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drawings/drawing19.xml" ContentType="application/vnd.openxmlformats-officedocument.drawing+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C6500D03-82C1-4F9C-B94B-74E96A93E325}" xr6:coauthVersionLast="47" xr6:coauthVersionMax="47" xr10:uidLastSave="{00000000-0000-0000-0000-000000000000}"/>
  <bookViews>
    <workbookView xWindow="390" yWindow="390" windowWidth="28800" windowHeight="15345" firstSheet="41" activeTab="46" xr2:uid="{992023F3-CAB7-4E5B-A348-08D563A0EF40}"/>
  </bookViews>
  <sheets>
    <sheet name="Home" sheetId="71" r:id="rId1"/>
    <sheet name="Results" sheetId="13" r:id="rId2"/>
    <sheet name="Input - Enterprise" sheetId="72" r:id="rId3"/>
    <sheet name="Input - Site" sheetId="75" r:id="rId4"/>
    <sheet name="Input - Pasture Beef" sheetId="78" r:id="rId5"/>
    <sheet name="Input - Pasture Beef (Enteric)" sheetId="84" r:id="rId6"/>
    <sheet name="Input - Livestock sales" sheetId="77" r:id="rId7"/>
    <sheet name="Input - Beef cattle purchases" sheetId="108" r:id="rId8"/>
    <sheet name="Input - Pasture" sheetId="104" r:id="rId9"/>
    <sheet name="Input - Fert Prod System" sheetId="76" r:id="rId10"/>
    <sheet name="Input - Fertiliser" sheetId="86" r:id="rId11"/>
    <sheet name="Input - Fuel" sheetId="97" r:id="rId12"/>
    <sheet name="Input - Electricity" sheetId="94" r:id="rId13"/>
    <sheet name="Input - Farm Inputs" sheetId="109" r:id="rId14"/>
    <sheet name="Input - Freight" sheetId="110" r:id="rId15"/>
    <sheet name="Input - Manure sent off-site" sheetId="111" r:id="rId16"/>
    <sheet name="3.2.1.1-2 Enteric Methane" sheetId="85" r:id="rId17"/>
    <sheet name="4.2.1.1-2 Methane" sheetId="79" r:id="rId18"/>
    <sheet name="4.2.1.3-4 Soil direct N20" sheetId="80" r:id="rId19"/>
    <sheet name="4.2.1.5-6 Soil Atmos Dep" sheetId="81" r:id="rId20"/>
    <sheet name="4.2.1.7-8 Soil leach runoff" sheetId="82" r:id="rId21"/>
    <sheet name="5.1.1.1-2 Inorganic fert N2O" sheetId="87" r:id="rId22"/>
    <sheet name="5.1.1.3-4 Inorganic fert CO2" sheetId="88" r:id="rId23"/>
    <sheet name="5.2.1.1-2 Organic Fert N2O" sheetId="89" r:id="rId24"/>
    <sheet name="5.3.1.1-2 Lime CO2" sheetId="90" r:id="rId25"/>
    <sheet name="5.4.1.1-4 Atmos deposition" sheetId="91" r:id="rId26"/>
    <sheet name="5.5.1.1-2 Leaching and runoff" sheetId="92" r:id="rId27"/>
    <sheet name="6.2.1.1-2 Pasture residue N2O" sheetId="105" r:id="rId28"/>
    <sheet name="6.3.1.1-2 Leach runoff pasture" sheetId="106" r:id="rId29"/>
    <sheet name="8.1.1.1-2 Transport fuel" sheetId="98" r:id="rId30"/>
    <sheet name="8.2.1.1-2 Stationary fuel" sheetId="99" r:id="rId31"/>
    <sheet name="14.1.1-2 Purchased electricity" sheetId="95" r:id="rId32"/>
    <sheet name="15 Scope 3" sheetId="112" r:id="rId33"/>
    <sheet name="Calcs - Manure sent off-site" sheetId="113" r:id="rId34"/>
    <sheet name="Constants - Pasture Beef" sheetId="83" r:id="rId35"/>
    <sheet name="Constants - Ag Residue" sheetId="107" r:id="rId36"/>
    <sheet name="Constants - Common Livestock" sheetId="115" r:id="rId37"/>
    <sheet name="Constants - Electricity" sheetId="96" r:id="rId38"/>
    <sheet name="Constants - Fertiliser" sheetId="93" r:id="rId39"/>
    <sheet name="Constants - Fuel" sheetId="100" r:id="rId40"/>
    <sheet name="Constants - Scope 3" sheetId="114" r:id="rId41"/>
    <sheet name="Constants - Common" sheetId="74" r:id="rId42"/>
    <sheet name="Acknowledgements" sheetId="117" r:id="rId43"/>
    <sheet name="Input - Solid waste" sheetId="101" r:id="rId44"/>
    <sheet name="10.1.1-2 Solid waste treatment" sheetId="102" r:id="rId45"/>
    <sheet name="Constants - Solid Waste" sheetId="103" r:id="rId46"/>
    <sheet name="Overview" sheetId="116" r:id="rId47"/>
  </sheets>
  <definedNames>
    <definedName name="_Toc225350871" localSheetId="25">'5.4.1.1-4 Atmos deposition'!$C$1</definedName>
    <definedName name="_Toc225350871" localSheetId="26">'5.5.1.1-2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28">_xlfn.LAMBDA(_xlpm.M_burnc,_xlpm.CC_c,_xlpm.EF_CH4,_xlpm.C_CH4, (_xlpm.M_burnc * _xlpm.CC_c) * _xlpm.EF_CH4 * _xlpm.C_CH4 * 10 ^ (-3))</definedName>
    <definedName name="AgResidue_Equations_FieldBurning.VEERG_6_4_1_1__1__MethaneEmissionsFromBurningOfCropResidues" localSheetId="35">_xlfn.LAMBDA(_xlpm.M_burnc,_xlpm.CC_c,_xlpm.EF_CH4,_xlpm.C_CH4, (_xlpm.M_burnc * _xlpm.CC_c) * _xlpm.EF_CH4 * _xlpm.C_CH4 * 10 ^ (-3))</definedName>
    <definedName name="AgResidue_Equations_FieldBurning.VEERG_6_4_1_1__1__MethaneEmissionsFromBurningOfCropResidues" localSheetId="8">_xlfn.LAMBDA(_xlpm.M_burnc,_xlpm.CC_c,_xlpm.EF_CH4,_xlpm.C_CH4, (_xlpm.M_burnc * _xlpm.CC_c) * _xlpm.EF_CH4 * _xlpm.C_CH4 * 10 ^ (-3))</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35">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8">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28">_xlfn.LAMBDA("E_{CH4}=\sum\nolimits_c(M_{burn,c}\times CC_{c})\times EF_{CH4}\times C_{CH4}\times 10^{-3}")</definedName>
    <definedName name="AgResidue_Equations_FieldBurning.VEERG_6_4_1_1__1__MethaneEmissionsFromBurningOfCropResidues_LatexEquation" localSheetId="35">_xlfn.LAMBDA("E_{CH4}=\sum\nolimits_c(M_{burn,c}\times CC_{c})\times EF_{CH4}\times C_{CH4}\times 10^{-3}")</definedName>
    <definedName name="AgResidue_Equations_FieldBurning.VEERG_6_4_1_1__1__MethaneEmissionsFromBurningOfCropResidues_LatexEquation" localSheetId="8">_xlfn.LAMBDA("E_{CH4}=\sum\nolimits_c(M_{burn,c}\times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28">_xlfn.LAMBDA(_xlpm.M_burnc,_xlpm.NC_AGc,_xlpm.EF_N2O,_xlpm.C_N2O, (_xlpm.M_burnc * _xlpm.NC_AGc) * _xlpm.EF_N2O * _xlpm.C_N2O * 10 ^ (-3))</definedName>
    <definedName name="AgResidue_Equations_FieldBurning.VEERG_6_4_1_1__2__NitrousOxideEmissionsFromBurningOfCropResidues" localSheetId="35">_xlfn.LAMBDA(_xlpm.M_burnc,_xlpm.NC_AGc,_xlpm.EF_N2O,_xlpm.C_N2O, (_xlpm.M_burnc * _xlpm.NC_AGc) * _xlpm.EF_N2O * _xlpm.C_N2O * 10 ^ (-3))</definedName>
    <definedName name="AgResidue_Equations_FieldBurning.VEERG_6_4_1_1__2__NitrousOxideEmissionsFromBurningOfCropResidues" localSheetId="8">_xlfn.LAMBDA(_xlpm.M_burnc,_xlpm.NC_AGc,_xlpm.EF_N2O,_xlpm.C_N2O, (_xlpm.M_burnc * _xlpm.NC_AGc) * _xlpm.EF_N2O * _xlpm.C_N2O * 10 ^ (-3))</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35">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8">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28">_xlfn.LAMBDA("E_{N2O}=\sum\nolimits_c(M_{burn,c}\times NC_{AGc})\times EF_{N2O}\times C_{N2O}\times 10^{-3}")</definedName>
    <definedName name="AgResidue_Equations_FieldBurning.VEERG_6_4_1_1__2__NitrousOxideEmissionsFromBurningOfCropResidues_LatexEquation" localSheetId="35">_xlfn.LAMBDA("E_{N2O}=\sum\nolimits_c(M_{burn,c}\times NC_{AGc})\times EF_{N2O}\times C_{N2O}\times 10^{-3}")</definedName>
    <definedName name="AgResidue_Equations_FieldBurning.VEERG_6_4_1_1__2__NitrousOxideEmissionsFromBurningOfCropResidues_LatexEquation" localSheetId="8">_xlfn.LAMBDA("E_{N2O}=\sum\nolimits_c(M_{burn,c}\times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28">_xlfn.LAMBDA(_xlpm.P_c,_xlpm.R_AGc,_xlpm.S_c,_xlpm.DM_c,_xlpm.Z_c,_xlpm.F_c, _xlpm.P_c * _xlpm.R_AGc * _xlpm.S_c * _xlpm.DM_c * _xlpm.Z_c * _xlpm.F_c)</definedName>
    <definedName name="AgResidue_Equations_FieldBurning.VEERG_6_4_1_1__3__MassOfCropResidueBurnt" localSheetId="35">_xlfn.LAMBDA(_xlpm.P_c,_xlpm.R_AGc,_xlpm.S_c,_xlpm.DM_c,_xlpm.Z_c,_xlpm.F_c, _xlpm.P_c * _xlpm.R_AGc * _xlpm.S_c * _xlpm.DM_c * _xlpm.Z_c * _xlpm.F_c)</definedName>
    <definedName name="AgResidue_Equations_FieldBurning.VEERG_6_4_1_1__3__MassOfCropResidueBurnt" localSheetId="8">_xlfn.LAMBDA(_xlpm.P_c,_xlpm.R_AGc,_xlpm.S_c,_xlpm.DM_c,_xlpm.Z_c,_xlpm.F_c, _xlpm.P_c * _xlpm.R_AGc * _xlpm.S_c * _xlpm.DM_c * _xlpm.Z_c * _xlpm.F_c)</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35">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8">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7">_xlfn.LAMBDA("M_burnc")</definedName>
    <definedName name="AgResidue_Equations_FieldBurning.VEERG_6_4_1_1__3__MassOfCropResidueBurnt_Variable" localSheetId="28">_xlfn.LAMBDA("M_burnc")</definedName>
    <definedName name="AgResidue_Equations_FieldBurning.VEERG_6_4_1_1__3__MassOfCropResidueBurnt_Variable" localSheetId="35">_xlfn.LAMBDA("M_burnc")</definedName>
    <definedName name="AgResidue_Equations_FieldBurning.VEERG_6_4_1_1__3__MassOfCropResidueBurnt_Variable" localSheetId="8">_xlfn.LAMBDA("M_burnc")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6">_xlfn.LAMBDA(_xlpm.CropType,_xlpm.CropTypeArray,_xlpm.ResidueCropRatioArray,
    1/(1+Common_InputFunctions.Utility_LookupValueInTableNumber(_xlpm.CropType, _xlpm.CropTypeArray, _xlpm.ResidueCropRatioArray))
)</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6">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 localSheetId="44">_xlfn.LAMBDA(_xlpm.Month,_xlpm.LivestockClass,_xlpm.HeadAtStart,_xlpm.LiveweightAtStart,_xlpm.LiveweightGain, '10.1.1-2 Solid waste treatment'!CommonLivestock_InputFunctions.LivestockMovement_ProportionalAverageLiveweightAddedDuringMonth(_xlpm.Month, _xlpm.LivestockClass, _xlpm.HeadAtStart) + '10.1.1-2 Solid waste treatment'!CommonLivestock_InputFunctions.LivestockMovement_ProportionalAverageLiveweightRemainingAtEndOfMonth(_xlpm.Month,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1">_xlfn.LAMBDA(_xlpm.Month,_xlpm.LivestockClass,_xlpm.HeadAtStart,_xlpm.LiveweightAtStart,_xlpm.LiveweightGain, '14.1.1-2 Purchased electricity'!CommonLivestock_InputFunctions.LivestockMovement_ProportionalAverageLiveweightAddedDuringMonth(_xlpm.Month, _xlpm.LivestockClass, _xlpm.HeadAtStart) + '14.1.1-2 Purchased electricity'!CommonLivestock_InputFunctions.LivestockMovement_ProportionalAverageLiveweightRemainingAtEndOfMonth(_xlpm.Month,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6">_xlfn.LAMBDA(_xlpm.Month,_xlpm.LivestockClass,_xlpm.HeadAtStart,_xlpm.LiveweightAtStart,_xlpm.LiveweightGain, '3.2.1.1-2 Enteric Methane'!CommonLivestock_InputFunctions.LivestockMovement_ProportionalAverageLiveweightAddedDuringMonth(_xlpm.Month, _xlpm.LivestockClass, _xlpm.HeadAtStart) + '3.2.1.1-2 Enteric Methane'!CommonLivestock_InputFunctions.LivestockMovement_ProportionalAverageLiveweightRemainingAtEndOfMonth(_xlpm.Month,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7">_xlfn.LAMBDA(_xlpm.Month,_xlpm.LivestockClass,_xlpm.HeadAtStart,_xlpm.LiveweightAtStart,_xlpm.LiveweightGain, '4.2.1.1-2 Methane'!CommonLivestock_InputFunctions.LivestockMovement_ProportionalAverageLiveweightAddedDuringMonth(_xlpm.Month, _xlpm.LivestockClass, _xlpm.HeadAtStart) + '4.2.1.1-2 Methane'!CommonLivestock_InputFunctions.LivestockMovement_ProportionalAverageLiveweightRemainingAtEndOfMonth(_xlpm.Month,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8">_xlfn.LAMBDA(_xlpm.Month,_xlpm.LivestockClass,_xlpm.HeadAtStart,_xlpm.LiveweightAtStart,_xlpm.LiveweightGain, '4.2.1.3-4 Soil direct N20'!CommonLivestock_InputFunctions.LivestockMovement_ProportionalAverageLiveweightAddedDuringMonth(_xlpm.Month, _xlpm.LivestockClass, _xlpm.HeadAtStart) + '4.2.1.3-4 Soil direct N20'!CommonLivestock_InputFunctions.LivestockMovement_ProportionalAverageLiveweightRemainingAtEndOfMonth(_xlpm.Month,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9">_xlfn.LAMBDA(_xlpm.Month,_xlpm.LivestockClass,_xlpm.HeadAtStart,_xlpm.LiveweightAtStart,_xlpm.LiveweightGain, '4.2.1.5-6 Soil Atmos Dep'!CommonLivestock_InputFunctions.LivestockMovement_ProportionalAverageLiveweightAddedDuringMonth(_xlpm.Month, _xlpm.LivestockClass, _xlpm.HeadAtStart) + '4.2.1.5-6 Soil Atmos Dep'!CommonLivestock_InputFunctions.LivestockMovement_ProportionalAverageLiveweightRemainingAtEndOfMonth(_xlpm.Month,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0">_xlfn.LAMBDA(_xlpm.Month,_xlpm.LivestockClass,_xlpm.HeadAtStart,_xlpm.LiveweightAtStart,_xlpm.LiveweightGain, '4.2.1.7-8 Soil leach runoff'!CommonLivestock_InputFunctions.LivestockMovement_ProportionalAverageLiveweightAddedDuringMonth(_xlpm.Month, _xlpm.LivestockClass, _xlpm.HeadAtStart) + '4.2.1.7-8 Soil leach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1">_xlfn.LAMBDA(_xlpm.Month,_xlpm.LivestockClass,_xlpm.HeadAtStart,_xlpm.LiveweightAtStart,_xlpm.LiveweightGain, '5.1.1.1-2 Inorganic fert N2O'!CommonLivestock_InputFunctions.LivestockMovement_ProportionalAverageLiveweightAddedDuringMonth(_xlpm.Month, _xlpm.LivestockClass, _xlpm.HeadAtStart) + '5.1.1.1-2 Inorganic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2">_xlfn.LAMBDA(_xlpm.Month,_xlpm.LivestockClass,_xlpm.HeadAtStart,_xlpm.LiveweightAtStart,_xlpm.LiveweightGain, '5.1.1.3-4 Inorganic fert CO2'!CommonLivestock_InputFunctions.LivestockMovement_ProportionalAverageLiveweightAddedDuringMonth(_xlpm.Month, _xlpm.LivestockClass, _xlpm.HeadAtStart) + '5.1.1.3-4 Inorganic fert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3">_xlfn.LAMBDA(_xlpm.Month,_xlpm.LivestockClass,_xlpm.HeadAtStart,_xlpm.LiveweightAtStart,_xlpm.LiveweightGain, '5.2.1.1-2 Organic Fert N2O'!CommonLivestock_InputFunctions.LivestockMovement_ProportionalAverageLiveweightAddedDuringMonth(_xlpm.Month, _xlpm.LivestockClass, _xlpm.HeadAtStart) + '5.2.1.1-2 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4">_xlfn.LAMBDA(_xlpm.Month,_xlpm.LivestockClass,_xlpm.HeadAtStart,_xlpm.LiveweightAtStart,_xlpm.LiveweightGain, '5.3.1.1-2 Lime CO2'!CommonLivestock_InputFunctions.LivestockMovement_ProportionalAverageLiveweightAddedDuringMonth(_xlpm.Month, _xlpm.LivestockClass, _xlpm.HeadAtStart) + '5.3.1.1-2 Lime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5">_xlfn.LAMBDA(_xlpm.Month,_xlpm.LivestockClass,_xlpm.HeadAtStart,_xlpm.LiveweightAtStart,_xlpm.LiveweightGain, '5.4.1.1-4 Atmos deposition'!CommonLivestock_InputFunctions.LivestockMovement_ProportionalAverageLiveweightAddedDuringMonth(_xlpm.Month, _xlpm.LivestockClass, _xlpm.HeadAtStart) + '5.4.1.1-4 Atmos deposition'!CommonLivestock_InputFunctions.LivestockMovement_ProportionalAverageLiveweightRemainingAtEndOfMonth(_xlpm.Month,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6">_xlfn.LAMBDA(_xlpm.Month,_xlpm.LivestockClass,_xlpm.HeadAtStart,_xlpm.LiveweightAtStart,_xlpm.LiveweightGain, '5.5.1.1-2 Leaching and runoff'!CommonLivestock_InputFunctions.LivestockMovement_ProportionalAverageLiveweightAddedDuringMonth(_xlpm.Month, _xlpm.LivestockClass, _xlpm.HeadAtStart) + '5.5.1.1-2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7">_xlfn.LAMBDA(_xlpm.Month,_xlpm.LivestockClass,_xlpm.HeadAtStart,_xlpm.LiveweightAtStart,_xlpm.LiveweightGain, '6.2.1.1-2 Pasture residue N2O'!CommonLivestock_InputFunctions.LivestockMovement_ProportionalAverageLiveweightAddedDuringMonth(_xlpm.Month, _xlpm.LivestockClass, _xlpm.HeadAtStart) + '6.2.1.1-2 Pasture residue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8">_xlfn.LAMBDA(_xlpm.Month,_xlpm.LivestockClass,_xlpm.HeadAtStart,_xlpm.LiveweightAtStart,_xlpm.LiveweightGain, '6.3.1.1-2 Leach runoff pasture'!CommonLivestock_InputFunctions.LivestockMovement_ProportionalAverageLiveweightAddedDuringMonth(_xlpm.Month, _xlpm.LivestockClass, _xlpm.HeadAtStart) + '6.3.1.1-2 Leach runoff pasture'!CommonLivestock_InputFunctions.LivestockMovement_ProportionalAverageLiveweightRemainingAtEndOfMonth(_xlpm.Month,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29">_xlfn.LAMBDA(_xlpm.Month,_xlpm.LivestockClass,_xlpm.HeadAtStart,_xlpm.LiveweightAtStart,_xlpm.LiveweightGain, '8.1.1.1-2 Transport fuel'!CommonLivestock_InputFunctions.LivestockMovement_ProportionalAverageLiveweightAddedDuringMonth(_xlpm.Month, _xlpm.LivestockClass, _xlpm.HeadAtStart) + '8.1.1.1-2 Transport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0">_xlfn.LAMBDA(_xlpm.Month,_xlpm.LivestockClass,_xlpm.HeadAtStart,_xlpm.LiveweightAtStart,_xlpm.LiveweightGain, '8.2.1.1-2 Stationary fuel'!CommonLivestock_InputFunctions.LivestockMovement_ProportionalAverageLiveweightAddedDuringMonth(_xlpm.Month, _xlpm.LivestockClass, _xlpm.HeadAtStart) + '8.2.1.1-2 Stationary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42">_xlfn.LAMBDA(_xlpm.Month,_xlpm.LivestockClass,_xlpm.HeadAtStart,_xlpm.LiveweightAtStart,_xlpm.LiveweightGain, Acknowledgements!CommonLivestock_InputFunctions.LivestockMovement_ProportionalAverageLiveweightAddedDuringMonth(_xlpm.Month, _xlpm.LivestockClass, _xlpm.HeadAtStart) + Acknowledgements!CommonLivestock_InputFunctions.LivestockMovement_ProportionalAverageLiveweightRemainingAtEndOfMonth(_xlpm.Month,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5">_xlfn.LAMBDA(_xlpm.Month,_xlpm.LivestockClass,_xlpm.HeadAtStart,_xlpm.LiveweightAtStart,_xlpm.LiveweightGain, 'Constants - Ag Residue'!CommonLivestock_InputFunctions.LivestockMovement_ProportionalAverageLiveweightAddedDuringMonth(_xlpm.Month, _xlpm.LivestockClass, _xlpm.HeadAtStart) + 'Constants - Ag Residue'!CommonLivestock_InputFunctions.LivestockMovement_ProportionalAverageLiveweightRemainingAtEndOfMonth(_xlpm.Month,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6">_xlfn.LAMBDA(_xlpm.Month,_xlpm.LivestockClass,_xlpm.HeadAtStart,_xlpm.LiveweightAtStart,_xlpm.LiveweightGain, 'Constants - Common Livestock'!CommonLivestock_InputFunctions.LivestockMovement_ProportionalAverageLiveweightAddedDuringMonth(_xlpm.Month, _xlpm.LivestockClass, _xlpm.HeadAtStart) + 'Constants - Common Livestock'!CommonLivestock_InputFunctions.LivestockMovement_ProportionalAverageLiveweightRemainingAtEndOfMonth(_xlpm.Month,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7">_xlfn.LAMBDA(_xlpm.Month,_xlpm.LivestockClass,_xlpm.HeadAtStart,_xlpm.LiveweightAtStart,_xlpm.LiveweightGain, 'Constants - Electricity'!CommonLivestock_InputFunctions.LivestockMovement_ProportionalAverageLiveweightAddedDuringMonth(_xlpm.Month, _xlpm.LivestockClass, _xlpm.HeadAtStart) + 'Constants - Electricity'!CommonLivestock_InputFunctions.LivestockMovement_ProportionalAverageLiveweightRemainingAtEndOfMonth(_xlpm.Month,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8">_xlfn.LAMBDA(_xlpm.Month,_xlpm.LivestockClass,_xlpm.HeadAtStart,_xlpm.LiveweightAtStart,_xlpm.LiveweightGain, 'Constants - Fertiliser'!CommonLivestock_InputFunctions.LivestockMovement_ProportionalAverageLiveweightAddedDuringMonth(_xlpm.Month, _xlpm.LivestockClass, _xlpm.HeadAtStart) + 'Constants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9">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4">_xlfn.LAMBDA(_xlpm.Month,_xlpm.LivestockClass,_xlpm.HeadAtStart,_xlpm.LiveweightAtStart,_xlpm.LiveweightGain, 'Constants - Pasture Beef'!CommonLivestock_InputFunctions.LivestockMovement_ProportionalAverageLiveweightAddedDuringMonth(_xlpm.Month, _xlpm.LivestockClass, _xlpm.HeadAtStart) + 'Constants - Pasture Beef'!CommonLivestock_InputFunctions.LivestockMovement_ProportionalAverageLiveweightRemainingAtEndOfMonth(_xlpm.Month,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45">_xlfn.LAMBDA(_xlpm.Month,_xlpm.LivestockClass,_xlpm.HeadAtStart,_xlpm.LiveweightAtStart,_xlpm.LiveweightGain, 'Constants - Solid Waste'!CommonLivestock_InputFunctions.LivestockMovement_ProportionalAverageLiveweightAddedDuringMonth(_xlpm.Month, _xlpm.LivestockClass, _xlpm.HeadAtStart) + 'Constants - Solid Waste'!CommonLivestock_InputFunctions.LivestockMovement_ProportionalAverageLiveweightRemainingAtEndOfMonth(_xlpm.Month,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2">_xlfn.LAMBDA(_xlpm.Month,_xlpm.LivestockClass,_xlpm.HeadAtStart,_xlpm.LiveweightAtStart,_xlpm.LiveweightGain, 'Input - Electricity'!CommonLivestock_InputFunctions.LivestockMovement_ProportionalAverageLiveweightAddedDuringMonth(_xlpm.Month, _xlpm.LivestockClass, _xlpm.HeadAtStart) + 'Input - Electricity'!CommonLivestock_InputFunctions.LivestockMovement_ProportionalAverageLiveweightRemainingAtEndOfMonth(_xlpm.Month,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'Input - Fertiliser'!CommonLivestock_InputFunctions.LivestockMovement_ProportionalAverageLiveweightAddedDuringMonth(_xlpm.Month, _xlpm.LivestockClass, _xlpm.HeadAtStart) + 'Input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8">_xlfn.LAMBDA(_xlpm.Month,_xlpm.LivestockClass,_xlpm.HeadAtStart,_xlpm.LiveweightAtStart,_xlpm.LiveweightGain, 'Input - Pasture'!CommonLivestock_InputFunctions.LivestockMovement_ProportionalAverageLiveweightAddedDuringMonth(_xlpm.Month, _xlpm.LivestockClass, _xlpm.HeadAtStart) + 'Input - Pasture'!CommonLivestock_InputFunctions.LivestockMovement_ProportionalAverageLiveweightRemainingAtEndOfMonth(_xlpm.Month,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'Input - Pasture Beef (Enteric)'!CommonLivestock_InputFunctions.LivestockMovement_ProportionalAverageLiveweightAddedDuringMonth(_xlpm.Month, _xlpm.LivestockClass, _xlpm.HeadAtStart) + 'Input - Pasture Beef (Enteric)'!CommonLivestock_InputFunctions.LivestockMovement_ProportionalAverageLiveweightRemainingAtEndOfMonth(_xlpm.Month,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43">_xlfn.LAMBDA(_xlpm.Month,_xlpm.LivestockClass,_xlpm.HeadAtStart,_xlpm.LiveweightAtStart,_xlpm.LiveweightGain, 'Input - Solid waste'!CommonLivestock_InputFunctions.LivestockMovement_ProportionalAverageLiveweightAddedDuringMonth(_xlpm.Month, _xlpm.LivestockClass, _xlpm.HeadAtStart) + 'Input - Solid waste'!CommonLivestock_InputFunctions.LivestockMovement_ProportionalAverageLiveweightRemainingAtEndOfMonth(_xlpm.Month,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46">_xlfn.LAMBDA(_xlpm.Month,_xlpm.LivestockClass,_xlpm.HeadAtStart,_xlpm.LiveweightAtStart,_xlpm.LiveweightGain, Overview!CommonLivestock_InputFunctions.LivestockMovement_ProportionalAverageLiveweightAddedDuringMonth(_xlpm.Month, _xlpm.LivestockClass, _xlpm.HeadAtStart) + Overview!CommonLivestock_InputFunctions.LivestockMovement_ProportionalAverageLiveweightRemainingAtEndOfMonth(_xlpm.Month,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4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2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4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4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4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4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4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2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4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4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4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4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4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2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4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4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4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4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44">_xlfn.LAMBDA(_xlpm.LivestockClass,_xlpm.MovementDate,_xlpm.WeightAtMovementDate,_xlpm.Head, IFERROR(_xlpm.Head * (_xlpm.WeightAtMovementDate + '10.1.1-2 Solid waste treatment'!CommonLivestock_InputFunctions.LivestockMovement_LiveweightGrownDuringMonthPerHead(_xlpm.LivestockClass, _xlpm.MovementDate)), 0))</definedName>
    <definedName name="CommonLivestock_InputFunctions.LivestockMovement_LiveweightAddedDuringMonth" localSheetId="31">_xlfn.LAMBDA(_xlpm.LivestockClass,_xlpm.MovementDate,_xlpm.WeightAtMovementDate,_xlpm.Head, IFERROR(_xlpm.Head * (_xlpm.WeightAtMovementDate + '14.1.1-2 Purchased electricity'!CommonLivestock_InputFunctions.LivestockMovement_LiveweightGrownDuringMonthPerHead(_xlpm.LivestockClass, _xlpm.MovementDate)), 0))</definedName>
    <definedName name="CommonLivestock_InputFunctions.LivestockMovement_LiveweightAddedDuringMonth" localSheetId="16">_xlfn.LAMBDA(_xlpm.LivestockClass,_xlpm.MovementDate,_xlpm.WeightAtMovementDate,_xlpm.Head, IFERROR(_xlpm.Head * (_xlpm.WeightAtMovementDate + '3.2.1.1-2 Enteric Methane'!CommonLivestock_InputFunctions.LivestockMovement_LiveweightGrownDuringMonthPerHead(_xlpm.LivestockClass, _xlpm.MovementDate)), 0))</definedName>
    <definedName name="CommonLivestock_InputFunctions.LivestockMovement_LiveweightAddedDuringMonth" localSheetId="17">_xlfn.LAMBDA(_xlpm.LivestockClass,_xlpm.MovementDate,_xlpm.WeightAtMovementDate,_xlpm.Head, IFERROR(_xlpm.Head * (_xlpm.WeightAtMovementDate + '4.2.1.1-2 Methane'!CommonLivestock_InputFunctions.LivestockMovement_LiveweightGrownDuringMonthPerHead(_xlpm.LivestockClass, _xlpm.MovementDate)), 0))</definedName>
    <definedName name="CommonLivestock_InputFunctions.LivestockMovement_LiveweightAddedDuringMonth" localSheetId="18">_xlfn.LAMBDA(_xlpm.LivestockClass,_xlpm.MovementDate,_xlpm.WeightAtMovementDate,_xlpm.Head, IFERROR(_xlpm.Head * (_xlpm.WeightAtMovementDate + '4.2.1.3-4 Soil direct N20'!CommonLivestock_InputFunctions.LivestockMovement_LiveweightGrownDuringMonthPerHead(_xlpm.LivestockClass, _xlpm.MovementDate)), 0))</definedName>
    <definedName name="CommonLivestock_InputFunctions.LivestockMovement_LiveweightAddedDuringMonth" localSheetId="19">_xlfn.LAMBDA(_xlpm.LivestockClass,_xlpm.MovementDate,_xlpm.WeightAtMovementDate,_xlpm.Head, IFERROR(_xlpm.Head * (_xlpm.WeightAtMovementDate + '4.2.1.5-6 Soil Atmos Dep'!CommonLivestock_InputFunctions.LivestockMovement_LiveweightGrownDuringMonthPerHead(_xlpm.LivestockClass, _xlpm.MovementDate)), 0))</definedName>
    <definedName name="CommonLivestock_InputFunctions.LivestockMovement_LiveweightAddedDuringMonth" localSheetId="20">_xlfn.LAMBDA(_xlpm.LivestockClass,_xlpm.MovementDate,_xlpm.WeightAtMovementDate,_xlpm.Head, IFERROR(_xlpm.Head * (_xlpm.WeightAtMovementDate + '4.2.1.7-8 Soil leach runoff'!CommonLivestock_InputFunctions.LivestockMovement_LiveweightGrownDuringMonthPerHead(_xlpm.LivestockClass, _xlpm.MovementDate)), 0))</definedName>
    <definedName name="CommonLivestock_InputFunctions.LivestockMovement_LiveweightAddedDuringMonth" localSheetId="21">_xlfn.LAMBDA(_xlpm.LivestockClass,_xlpm.MovementDate,_xlpm.WeightAtMovementDate,_xlpm.Head, IFERROR(_xlpm.Head * (_xlpm.WeightAtMovementDate + '5.1.1.1-2 Inorganic fert N2O'!CommonLivestock_InputFunctions.LivestockMovement_LiveweightGrownDuringMonthPerHead(_xlpm.LivestockClass, _xlpm.MovementDate)), 0))</definedName>
    <definedName name="CommonLivestock_InputFunctions.LivestockMovement_LiveweightAddedDuringMonth" localSheetId="22">_xlfn.LAMBDA(_xlpm.LivestockClass,_xlpm.MovementDate,_xlpm.WeightAtMovementDate,_xlpm.Head, IFERROR(_xlpm.Head * (_xlpm.WeightAtMovementDate + '5.1.1.3-4 Inorganic fert CO2'!CommonLivestock_InputFunctions.LivestockMovement_LiveweightGrownDuringMonthPerHead(_xlpm.LivestockClass, _xlpm.MovementDate)), 0))</definedName>
    <definedName name="CommonLivestock_InputFunctions.LivestockMovement_LiveweightAddedDuringMonth" localSheetId="23">_xlfn.LAMBDA(_xlpm.LivestockClass,_xlpm.MovementDate,_xlpm.WeightAtMovementDate,_xlpm.Head, IFERROR(_xlpm.Head * (_xlpm.WeightAtMovementDate + '5.2.1.1-2 Organic Fert N2O'!CommonLivestock_InputFunctions.LivestockMovement_LiveweightGrownDuringMonthPerHead(_xlpm.LivestockClass, _xlpm.MovementDate)), 0))</definedName>
    <definedName name="CommonLivestock_InputFunctions.LivestockMovement_LiveweightAddedDuringMonth" localSheetId="24">_xlfn.LAMBDA(_xlpm.LivestockClass,_xlpm.MovementDate,_xlpm.WeightAtMovementDate,_xlpm.Head, IFERROR(_xlpm.Head * (_xlpm.WeightAtMovementDate + '5.3.1.1-2 Lime CO2'!CommonLivestock_InputFunctions.LivestockMovement_LiveweightGrownDuringMonthPerHead(_xlpm.LivestockClass, _xlpm.MovementDate)), 0))</definedName>
    <definedName name="CommonLivestock_InputFunctions.LivestockMovement_LiveweightAddedDuringMonth" localSheetId="25">_xlfn.LAMBDA(_xlpm.LivestockClass,_xlpm.MovementDate,_xlpm.WeightAtMovementDate,_xlpm.Head, IFERROR(_xlpm.Head * (_xlpm.WeightAtMovementDate + '5.4.1.1-4 Atmos deposition'!CommonLivestock_InputFunctions.LivestockMovement_LiveweightGrownDuringMonthPerHead(_xlpm.LivestockClass, _xlpm.MovementDate)), 0))</definedName>
    <definedName name="CommonLivestock_InputFunctions.LivestockMovement_LiveweightAddedDuringMonth" localSheetId="26">_xlfn.LAMBDA(_xlpm.LivestockClass,_xlpm.MovementDate,_xlpm.WeightAtMovementDate,_xlpm.Head, IFERROR(_xlpm.Head * (_xlpm.WeightAtMovementDate + '5.5.1.1-2 Leaching and runoff'!CommonLivestock_InputFunctions.LivestockMovement_LiveweightGrownDuringMonthPerHead(_xlpm.LivestockClass, _xlpm.MovementDate)), 0))</definedName>
    <definedName name="CommonLivestock_InputFunctions.LivestockMovement_LiveweightAddedDuringMonth" localSheetId="27">_xlfn.LAMBDA(_xlpm.LivestockClass,_xlpm.MovementDate,_xlpm.WeightAtMovementDate,_xlpm.Head, IFERROR(_xlpm.Head * (_xlpm.WeightAtMovementDate + '6.2.1.1-2 Pasture residue N2O'!CommonLivestock_InputFunctions.LivestockMovement_LiveweightGrownDuringMonthPerHead(_xlpm.LivestockClass, _xlpm.MovementDate)), 0))</definedName>
    <definedName name="CommonLivestock_InputFunctions.LivestockMovement_LiveweightAddedDuringMonth" localSheetId="28">_xlfn.LAMBDA(_xlpm.LivestockClass,_xlpm.MovementDate,_xlpm.WeightAtMovementDate,_xlpm.Head, IFERROR(_xlpm.Head * (_xlpm.WeightAtMovementDate + '6.3.1.1-2 Leach runoff pasture'!CommonLivestock_InputFunctions.LivestockMovement_LiveweightGrownDuringMonthPerHead(_xlpm.LivestockClass, _xlpm.MovementDate)), 0))</definedName>
    <definedName name="CommonLivestock_InputFunctions.LivestockMovement_LiveweightAddedDuringMonth" localSheetId="29">_xlfn.LAMBDA(_xlpm.LivestockClass,_xlpm.MovementDate,_xlpm.WeightAtMovementDate,_xlpm.Head, IFERROR(_xlpm.Head * (_xlpm.WeightAtMovementDate + '8.1.1.1-2 Transport fuel'!CommonLivestock_InputFunctions.LivestockMovement_LiveweightGrownDuringMonthPerHead(_xlpm.LivestockClass, _xlpm.MovementDate)), 0))</definedName>
    <definedName name="CommonLivestock_InputFunctions.LivestockMovement_LiveweightAddedDuringMonth" localSheetId="30">_xlfn.LAMBDA(_xlpm.LivestockClass,_xlpm.MovementDate,_xlpm.WeightAtMovementDate,_xlpm.Head, IFERROR(_xlpm.Head * (_xlpm.WeightAtMovementDate + '8.2.1.1-2 Stationary fuel'!CommonLivestock_InputFunctions.LivestockMovement_LiveweightGrownDuringMonthPerHead(_xlpm.LivestockClass, _xlpm.MovementDate)), 0))</definedName>
    <definedName name="CommonLivestock_InputFunctions.LivestockMovement_LiveweightAddedDuringMonth" localSheetId="42">_xlfn.LAMBDA(_xlpm.LivestockClass,_xlpm.MovementDate,_xlpm.WeightAtMovementDate,_xlpm.Head, IFERROR(_xlpm.Head * (_xlpm.WeightAtMovementDate + Acknowledgements!CommonLivestock_InputFunctions.LivestockMovement_LiveweightGrownDuringMonthPerHead(_xlpm.LivestockClass, _xlpm.MovementDate)), 0))</definedName>
    <definedName name="CommonLivestock_InputFunctions.LivestockMovement_LiveweightAddedDuringMonth" localSheetId="35">_xlfn.LAMBDA(_xlpm.LivestockClass,_xlpm.MovementDate,_xlpm.WeightAtMovementDate,_xlpm.Head, IFERROR(_xlpm.Head * (_xlpm.WeightAtMovementDate + 'Constants - Ag Residue'!CommonLivestock_InputFunctions.LivestockMovement_LiveweightGrownDuringMonthPerHead(_xlpm.LivestockClass, _xlpm.MovementDate)), 0))</definedName>
    <definedName name="CommonLivestock_InputFunctions.LivestockMovement_LiveweightAddedDuringMonth" localSheetId="36">_xlfn.LAMBDA(_xlpm.LivestockClass,_xlpm.MovementDate,_xlpm.WeightAtMovementDate,_xlpm.Head, IFERROR(_xlpm.Head * (_xlpm.WeightAtMovementDate + 'Constants - Common Livestock'!CommonLivestock_InputFunctions.LivestockMovement_LiveweightGrownDuringMonthPerHead(_xlpm.LivestockClass, _xlpm.MovementDate)), 0))</definedName>
    <definedName name="CommonLivestock_InputFunctions.LivestockMovement_LiveweightAddedDuringMonth" localSheetId="37">_xlfn.LAMBDA(_xlpm.LivestockClass,_xlpm.MovementDate,_xlpm.WeightAtMovementDate,_xlpm.Head, IFERROR(_xlpm.Head * (_xlpm.WeightAtMovementDate + 'Constants - Electricity'!CommonLivestock_InputFunctions.LivestockMovement_LiveweightGrownDuringMonthPerHead(_xlpm.LivestockClass, _xlpm.MovementDate)), 0))</definedName>
    <definedName name="CommonLivestock_InputFunctions.LivestockMovement_LiveweightAddedDuringMonth" localSheetId="38">_xlfn.LAMBDA(_xlpm.LivestockClass,_xlpm.MovementDate,_xlpm.WeightAtMovementDate,_xlpm.Head, IFERROR(_xlpm.Head * (_xlpm.WeightAtMovementDate + 'Constants - Fertiliser'!CommonLivestock_InputFunctions.LivestockMovement_LiveweightGrownDuringMonthPerHead(_xlpm.LivestockClass, _xlpm.MovementDate)), 0))</definedName>
    <definedName name="CommonLivestock_InputFunctions.LivestockMovement_LiveweightAddedDuringMonth" localSheetId="39">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34">_xlfn.LAMBDA(_xlpm.LivestockClass,_xlpm.MovementDate,_xlpm.WeightAtMovementDate,_xlpm.Head, IFERROR(_xlpm.Head * (_xlpm.WeightAtMovementDate + 'Constants - Pasture Beef'!CommonLivestock_InputFunctions.LivestockMovement_LiveweightGrownDuringMonthPerHead(_xlpm.LivestockClass, _xlpm.MovementDate)), 0))</definedName>
    <definedName name="CommonLivestock_InputFunctions.LivestockMovement_LiveweightAddedDuringMonth" localSheetId="45">_xlfn.LAMBDA(_xlpm.LivestockClass,_xlpm.MovementDate,_xlpm.WeightAtMovementDate,_xlpm.Head, IFERROR(_xlpm.Head * (_xlpm.WeightAtMovementDate + 'Constants - Solid Waste'!CommonLivestock_InputFunctions.LivestockMovement_LiveweightGrownDuringMonthPerHead(_xlpm.LivestockClass, _xlpm.MovementDate)), 0))</definedName>
    <definedName name="CommonLivestock_InputFunctions.LivestockMovement_LiveweightAddedDuringMonth" localSheetId="12">_xlfn.LAMBDA(_xlpm.LivestockClass,_xlpm.MovementDate,_xlpm.WeightAtMovementDate,_xlpm.Head, IFERROR(_xlpm.Head * (_xlpm.WeightAtMovementDate + 'Input - Electricity'!CommonLivestock_InputFunctions.LivestockMovement_LiveweightGrownDuringMonthPerHead(_xlpm.LivestockClass,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'Input - Fertiliser'!CommonLivestock_InputFunctions.LivestockMovement_LiveweightGrownDuringMonthPerHead(_xlpm.LivestockClass,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 localSheetId="8">_xlfn.LAMBDA(_xlpm.LivestockClass,_xlpm.MovementDate,_xlpm.WeightAtMovementDate,_xlpm.Head, IFERROR(_xlpm.Head * (_xlpm.WeightAtMovementDate + 'Input - Pasture'!CommonLivestock_InputFunctions.LivestockMovement_LiveweightGrownDuringMonthPerHead(_xlpm.LivestockClass,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'Input - Pasture Beef (Enteric)'!CommonLivestock_InputFunctions.LivestockMovement_LiveweightGrownDuringMonthPerHead(_xlpm.LivestockClass, _xlpm.MovementDate)), 0))</definedName>
    <definedName name="CommonLivestock_InputFunctions.LivestockMovement_LiveweightAddedDuringMonth" localSheetId="43">_xlfn.LAMBDA(_xlpm.LivestockClass,_xlpm.MovementDate,_xlpm.WeightAtMovementDate,_xlpm.Head, IFERROR(_xlpm.Head * (_xlpm.WeightAtMovementDate + 'Input - Solid waste'!CommonLivestock_InputFunctions.LivestockMovement_LiveweightGrownDuringMonthPerHead(_xlpm.LivestockClass, _xlpm.MovementDate)), 0))</definedName>
    <definedName name="CommonLivestock_InputFunctions.LivestockMovement_LiveweightAddedDuringMonth" localSheetId="46">_xlfn.LAMBDA(_xlpm.LivestockClass,_xlpm.MovementDate,_xlpm.WeightAtMovementDate,_xlpm.Head, IFERROR(_xlpm.Head * (_xlpm.WeightAtMovementDate + Overview!CommonLivestock_InputFunctions.LivestockMovement_LiveweightGrownDuringMonthPerHead(_xlpm.LivestockClass,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4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2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4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4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4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4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44">_xlfn.LAMBDA(_xlpm.LivestockClass,_xlpm.Month, '10.1.1-2 Solid waste treatment'!CommonLivestock_InputFunctions.LivestockMovement_LiveweightGrownDuringMonthPerHead(_xlpm.LivestockClass, EOMONTH(_xlpm.Month, -1) + 1))</definedName>
    <definedName name="CommonLivestock_InputFunctions.LivestockMovement_LiveweightGrownFromMonthStartPerHead" localSheetId="31">_xlfn.LAMBDA(_xlpm.LivestockClass,_xlpm.Month, '14.1.1-2 Purchased electricity'!CommonLivestock_InputFunctions.LivestockMovement_LiveweightGrownDuringMonthPerHead(_xlpm.LivestockClass, EOMONTH(_xlpm.Month, -1) + 1))</definedName>
    <definedName name="CommonLivestock_InputFunctions.LivestockMovement_LiveweightGrownFromMonthStartPerHead" localSheetId="16">_xlfn.LAMBDA(_xlpm.LivestockClass,_xlpm.Month, '3.2.1.1-2 Enteric Methane'!CommonLivestock_InputFunctions.LivestockMovement_LiveweightGrownDuringMonthPerHead(_xlpm.LivestockClass, EOMONTH(_xlpm.Month, -1) + 1))</definedName>
    <definedName name="CommonLivestock_InputFunctions.LivestockMovement_LiveweightGrownFromMonthStartPerHead" localSheetId="17">_xlfn.LAMBDA(_xlpm.LivestockClass,_xlpm.Month, '4.2.1.1-2 Methane'!CommonLivestock_InputFunctions.LivestockMovement_LiveweightGrownDuringMonthPerHead(_xlpm.LivestockClass, EOMONTH(_xlpm.Month, -1) + 1))</definedName>
    <definedName name="CommonLivestock_InputFunctions.LivestockMovement_LiveweightGrownFromMonthStartPerHead" localSheetId="18">_xlfn.LAMBDA(_xlpm.LivestockClass,_xlpm.Month, '4.2.1.3-4 Soil direct N20'!CommonLivestock_InputFunctions.LivestockMovement_LiveweightGrownDuringMonthPerHead(_xlpm.LivestockClass, EOMONTH(_xlpm.Month, -1) + 1))</definedName>
    <definedName name="CommonLivestock_InputFunctions.LivestockMovement_LiveweightGrownFromMonthStartPerHead" localSheetId="19">_xlfn.LAMBDA(_xlpm.LivestockClass,_xlpm.Month, '4.2.1.5-6 Soil Atmos Dep'!CommonLivestock_InputFunctions.LivestockMovement_LiveweightGrownDuringMonthPerHead(_xlpm.LivestockClass, EOMONTH(_xlpm.Month, -1) + 1))</definedName>
    <definedName name="CommonLivestock_InputFunctions.LivestockMovement_LiveweightGrownFromMonthStartPerHead" localSheetId="20">_xlfn.LAMBDA(_xlpm.LivestockClass,_xlpm.Month, '4.2.1.7-8 Soil leach runoff'!CommonLivestock_InputFunctions.LivestockMovement_LiveweightGrownDuringMonthPerHead(_xlpm.LivestockClass, EOMONTH(_xlpm.Month, -1) + 1))</definedName>
    <definedName name="CommonLivestock_InputFunctions.LivestockMovement_LiveweightGrownFromMonthStartPerHead" localSheetId="21">_xlfn.LAMBDA(_xlpm.LivestockClass,_xlpm.Month, '5.1.1.1-2 Inorganic fert N2O'!CommonLivestock_InputFunctions.LivestockMovement_LiveweightGrownDuringMonthPerHead(_xlpm.LivestockClass, EOMONTH(_xlpm.Month, -1) + 1))</definedName>
    <definedName name="CommonLivestock_InputFunctions.LivestockMovement_LiveweightGrownFromMonthStartPerHead" localSheetId="22">_xlfn.LAMBDA(_xlpm.LivestockClass,_xlpm.Month, '5.1.1.3-4 Inorganic fert CO2'!CommonLivestock_InputFunctions.LivestockMovement_LiveweightGrownDuringMonthPerHead(_xlpm.LivestockClass, EOMONTH(_xlpm.Month, -1) + 1))</definedName>
    <definedName name="CommonLivestock_InputFunctions.LivestockMovement_LiveweightGrownFromMonthStartPerHead" localSheetId="23">_xlfn.LAMBDA(_xlpm.LivestockClass,_xlpm.Month, '5.2.1.1-2 Organic Fert N2O'!CommonLivestock_InputFunctions.LivestockMovement_LiveweightGrownDuringMonthPerHead(_xlpm.LivestockClass, EOMONTH(_xlpm.Month, -1) + 1))</definedName>
    <definedName name="CommonLivestock_InputFunctions.LivestockMovement_LiveweightGrownFromMonthStartPerHead" localSheetId="24">_xlfn.LAMBDA(_xlpm.LivestockClass,_xlpm.Month, '5.3.1.1-2 Lime CO2'!CommonLivestock_InputFunctions.LivestockMovement_LiveweightGrownDuringMonthPerHead(_xlpm.LivestockClass, EOMONTH(_xlpm.Month, -1) + 1))</definedName>
    <definedName name="CommonLivestock_InputFunctions.LivestockMovement_LiveweightGrownFromMonthStartPerHead" localSheetId="25">_xlfn.LAMBDA(_xlpm.LivestockClass,_xlpm.Month, '5.4.1.1-4 Atmos deposition'!CommonLivestock_InputFunctions.LivestockMovement_LiveweightGrownDuringMonthPerHead(_xlpm.LivestockClass, EOMONTH(_xlpm.Month, -1) + 1))</definedName>
    <definedName name="CommonLivestock_InputFunctions.LivestockMovement_LiveweightGrownFromMonthStartPerHead" localSheetId="26">_xlfn.LAMBDA(_xlpm.LivestockClass,_xlpm.Month, '5.5.1.1-2 Leaching and runoff'!CommonLivestock_InputFunctions.LivestockMovement_LiveweightGrownDuringMonthPerHead(_xlpm.LivestockClass, EOMONTH(_xlpm.Month, -1) + 1))</definedName>
    <definedName name="CommonLivestock_InputFunctions.LivestockMovement_LiveweightGrownFromMonthStartPerHead" localSheetId="27">_xlfn.LAMBDA(_xlpm.LivestockClass,_xlpm.Month, '6.2.1.1-2 Pasture residue N2O'!CommonLivestock_InputFunctions.LivestockMovement_LiveweightGrownDuringMonthPerHead(_xlpm.LivestockClass, EOMONTH(_xlpm.Month, -1) + 1))</definedName>
    <definedName name="CommonLivestock_InputFunctions.LivestockMovement_LiveweightGrownFromMonthStartPerHead" localSheetId="28">_xlfn.LAMBDA(_xlpm.LivestockClass,_xlpm.Month, '6.3.1.1-2 Leach runoff pasture'!CommonLivestock_InputFunctions.LivestockMovement_LiveweightGrownDuringMonthPerHead(_xlpm.LivestockClass, EOMONTH(_xlpm.Month, -1) + 1))</definedName>
    <definedName name="CommonLivestock_InputFunctions.LivestockMovement_LiveweightGrownFromMonthStartPerHead" localSheetId="29">_xlfn.LAMBDA(_xlpm.LivestockClass,_xlpm.Month, '8.1.1.1-2 Transport fuel'!CommonLivestock_InputFunctions.LivestockMovement_LiveweightGrownDuringMonthPerHead(_xlpm.LivestockClass, EOMONTH(_xlpm.Month, -1) + 1))</definedName>
    <definedName name="CommonLivestock_InputFunctions.LivestockMovement_LiveweightGrownFromMonthStartPerHead" localSheetId="30">_xlfn.LAMBDA(_xlpm.LivestockClass,_xlpm.Month, '8.2.1.1-2 Stationary fuel'!CommonLivestock_InputFunctions.LivestockMovement_LiveweightGrownDuringMonthPerHead(_xlpm.LivestockClass, EOMONTH(_xlpm.Month, -1) + 1))</definedName>
    <definedName name="CommonLivestock_InputFunctions.LivestockMovement_LiveweightGrownFromMonthStartPerHead" localSheetId="42">_xlfn.LAMBDA(_xlpm.LivestockClass,_xlpm.Month, Acknowledgements!CommonLivestock_InputFunctions.LivestockMovement_LiveweightGrownDuringMonthPerHead(_xlpm.LivestockClass, EOMONTH(_xlpm.Month, -1) + 1))</definedName>
    <definedName name="CommonLivestock_InputFunctions.LivestockMovement_LiveweightGrownFromMonthStartPerHead" localSheetId="35">_xlfn.LAMBDA(_xlpm.LivestockClass,_xlpm.Month, 'Constants - Ag Residue'!CommonLivestock_InputFunctions.LivestockMovement_LiveweightGrownDuringMonthPerHead(_xlpm.LivestockClass, EOMONTH(_xlpm.Month, -1) + 1))</definedName>
    <definedName name="CommonLivestock_InputFunctions.LivestockMovement_LiveweightGrownFromMonthStartPerHead" localSheetId="36">_xlfn.LAMBDA(_xlpm.LivestockClass,_xlpm.Month, 'Constants - Common Livestock'!CommonLivestock_InputFunctions.LivestockMovement_LiveweightGrownDuringMonthPerHead(_xlpm.LivestockClass, EOMONTH(_xlpm.Month, -1) + 1))</definedName>
    <definedName name="CommonLivestock_InputFunctions.LivestockMovement_LiveweightGrownFromMonthStartPerHead" localSheetId="37">_xlfn.LAMBDA(_xlpm.LivestockClass,_xlpm.Month, 'Constants - Electricity'!CommonLivestock_InputFunctions.LivestockMovement_LiveweightGrownDuringMonthPerHead(_xlpm.LivestockClass, EOMONTH(_xlpm.Month, -1) + 1))</definedName>
    <definedName name="CommonLivestock_InputFunctions.LivestockMovement_LiveweightGrownFromMonthStartPerHead" localSheetId="38">_xlfn.LAMBDA(_xlpm.LivestockClass,_xlpm.Month, 'Constants - Fertiliser'!CommonLivestock_InputFunctions.LivestockMovement_LiveweightGrownDuringMonthPerHead(_xlpm.LivestockClass, EOMONTH(_xlpm.Month, -1) + 1))</definedName>
    <definedName name="CommonLivestock_InputFunctions.LivestockMovement_LiveweightGrownFromMonthStartPerHead" localSheetId="39">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34">_xlfn.LAMBDA(_xlpm.LivestockClass,_xlpm.Month, 'Constants - Pasture Beef'!CommonLivestock_InputFunctions.LivestockMovement_LiveweightGrownDuringMonthPerHead(_xlpm.LivestockClass, EOMONTH(_xlpm.Month, -1) + 1))</definedName>
    <definedName name="CommonLivestock_InputFunctions.LivestockMovement_LiveweightGrownFromMonthStartPerHead" localSheetId="45">_xlfn.LAMBDA(_xlpm.LivestockClass,_xlpm.Month, 'Constants - Solid Waste'!CommonLivestock_InputFunctions.LivestockMovement_LiveweightGrownDuringMonthPerHead(_xlpm.LivestockClass, EOMONTH(_xlpm.Month, -1) + 1))</definedName>
    <definedName name="CommonLivestock_InputFunctions.LivestockMovement_LiveweightGrownFromMonthStartPerHead" localSheetId="12">_xlfn.LAMBDA(_xlpm.LivestockClass,_xlpm.Month, 'Input - Electricity'!CommonLivestock_InputFunctions.LivestockMovement_LiveweightGrownDuringMonthPerHead(_xlpm.LivestockClass,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'Input - Fertiliser'!CommonLivestock_InputFunctions.LivestockMovement_LiveweightGrownDuringMonthPerHead(_xlpm.LivestockClass,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 localSheetId="8">_xlfn.LAMBDA(_xlpm.LivestockClass,_xlpm.Month, 'Input - Pasture'!CommonLivestock_InputFunctions.LivestockMovement_LiveweightGrownDuringMonthPerHead(_xlpm.LivestockClass,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'Input - Pasture Beef (Enteric)'!CommonLivestock_InputFunctions.LivestockMovement_LiveweightGrownDuringMonthPerHead(_xlpm.LivestockClass, EOMONTH(_xlpm.Month, -1) + 1))</definedName>
    <definedName name="CommonLivestock_InputFunctions.LivestockMovement_LiveweightGrownFromMonthStartPerHead" localSheetId="43">_xlfn.LAMBDA(_xlpm.LivestockClass,_xlpm.Month, 'Input - Solid waste'!CommonLivestock_InputFunctions.LivestockMovement_LiveweightGrownDuringMonthPerHead(_xlpm.LivestockClass, EOMONTH(_xlpm.Month, -1) + 1))</definedName>
    <definedName name="CommonLivestock_InputFunctions.LivestockMovement_LiveweightGrownFromMonthStartPerHead" localSheetId="46">_xlfn.LAMBDA(_xlpm.LivestockClass,_xlpm.Month, Overview!CommonLivestock_InputFunctions.LivestockMovement_LiveweightGrownDuringMonthPerHead(_xlpm.LivestockClass,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44">_xlfn.LAMBDA(_xlpm.LivestockClass,_xlpm.Month,_xlpm.HeadAtStartOfMonth, '10.1.1-2 Solid waste treatment'!CommonLivestock_InputFunctions.LivestockMovement_HeadRemainingAtMonthEnd(_xlpm.Month, _xlpm.LivestockClass, _xlpm.HeadAtStartOfMonth) * '10.1.1-2 Solid waste treatment'!CommonLivestock_InputFunctions.LivestockMovement_LiveweightGrownFromMonthStartPerHead(_xlpm.LivestockClass, _xlpm.Month))</definedName>
    <definedName name="CommonLivestock_InputFunctions.LivestockMovement_LiveweightGrownFromMonthStartTotal" localSheetId="31">_xlfn.LAMBDA(_xlpm.LivestockClass,_xlpm.Month,_xlpm.HeadAtStartOfMonth, '14.1.1-2 Purchased electricity'!CommonLivestock_InputFunctions.LivestockMovement_HeadRemainingAtMonthEnd(_xlpm.Month, _xlpm.LivestockClass, _xlpm.HeadAtStartOfMonth) * '14.1.1-2 Purchased electricity'!CommonLivestock_InputFunctions.LivestockMovement_LiveweightGrownFromMonthStartPerHead(_xlpm.LivestockClass, _xlpm.Month))</definedName>
    <definedName name="CommonLivestock_InputFunctions.LivestockMovement_LiveweightGrownFromMonthStartTotal" localSheetId="16">_xlfn.LAMBDA(_xlpm.LivestockClass,_xlpm.Month,_xlpm.HeadAtStartOfMonth, '3.2.1.1-2 Enteric Methane'!CommonLivestock_InputFunctions.LivestockMovement_HeadRemainingAtMonthEnd(_xlpm.Month, _xlpm.LivestockClass, _xlpm.HeadAtStartOfMonth) * '3.2.1.1-2 Enteric Methane'!CommonLivestock_InputFunctions.LivestockMovement_LiveweightGrownFromMonthStartPerHead(_xlpm.LivestockClass, _xlpm.Month))</definedName>
    <definedName name="CommonLivestock_InputFunctions.LivestockMovement_LiveweightGrownFromMonthStartTotal" localSheetId="17">_xlfn.LAMBDA(_xlpm.LivestockClass,_xlpm.Month,_xlpm.HeadAtStartOfMonth, '4.2.1.1-2 Methane'!CommonLivestock_InputFunctions.LivestockMovement_HeadRemainingAtMonthEnd(_xlpm.Month, _xlpm.LivestockClass, _xlpm.HeadAtStartOfMonth) * '4.2.1.1-2 Methane'!CommonLivestock_InputFunctions.LivestockMovement_LiveweightGrownFromMonthStartPerHead(_xlpm.LivestockClass, _xlpm.Month))</definedName>
    <definedName name="CommonLivestock_InputFunctions.LivestockMovement_LiveweightGrownFromMonthStartTotal" localSheetId="18">_xlfn.LAMBDA(_xlpm.LivestockClass,_xlpm.Month,_xlpm.HeadAtStartOfMonth, '4.2.1.3-4 Soil direct N20'!CommonLivestock_InputFunctions.LivestockMovement_HeadRemainingAtMonthEnd(_xlpm.Month, _xlpm.LivestockClass, _xlpm.HeadAtStartOfMonth) * '4.2.1.3-4 Soil direct N20'!CommonLivestock_InputFunctions.LivestockMovement_LiveweightGrownFromMonthStartPerHead(_xlpm.LivestockClass, _xlpm.Month))</definedName>
    <definedName name="CommonLivestock_InputFunctions.LivestockMovement_LiveweightGrownFromMonthStartTotal" localSheetId="19">_xlfn.LAMBDA(_xlpm.LivestockClass,_xlpm.Month,_xlpm.HeadAtStartOfMonth, '4.2.1.5-6 Soil Atmos Dep'!CommonLivestock_InputFunctions.LivestockMovement_HeadRemainingAtMonthEnd(_xlpm.Month, _xlpm.LivestockClass, _xlpm.HeadAtStartOfMonth) * '4.2.1.5-6 Soil Atmos Dep'!CommonLivestock_InputFunctions.LivestockMovement_LiveweightGrownFromMonthStartPerHead(_xlpm.LivestockClass, _xlpm.Month))</definedName>
    <definedName name="CommonLivestock_InputFunctions.LivestockMovement_LiveweightGrownFromMonthStartTotal" localSheetId="20">_xlfn.LAMBDA(_xlpm.LivestockClass,_xlpm.Month,_xlpm.HeadAtStartOfMonth, '4.2.1.7-8 Soil leach runoff'!CommonLivestock_InputFunctions.LivestockMovement_HeadRemainingAtMonthEnd(_xlpm.Month, _xlpm.LivestockClass, _xlpm.HeadAtStartOfMonth) * '4.2.1.7-8 Soil leach runoff'!CommonLivestock_InputFunctions.LivestockMovement_LiveweightGrownFromMonthStartPerHead(_xlpm.LivestockClass, _xlpm.Month))</definedName>
    <definedName name="CommonLivestock_InputFunctions.LivestockMovement_LiveweightGrownFromMonthStartTotal" localSheetId="21">_xlfn.LAMBDA(_xlpm.LivestockClass,_xlpm.Month,_xlpm.HeadAtStartOfMonth, '5.1.1.1-2 Inorganic fert N2O'!CommonLivestock_InputFunctions.LivestockMovement_HeadRemainingAtMonthEnd(_xlpm.Month, _xlpm.LivestockClass, _xlpm.HeadAtStartOfMonth) * '5.1.1.1-2 Inorganic fert N2O'!CommonLivestock_InputFunctions.LivestockMovement_LiveweightGrownFromMonthStartPerHead(_xlpm.LivestockClass, _xlpm.Month))</definedName>
    <definedName name="CommonLivestock_InputFunctions.LivestockMovement_LiveweightGrownFromMonthStartTotal" localSheetId="22">_xlfn.LAMBDA(_xlpm.LivestockClass,_xlpm.Month,_xlpm.HeadAtStartOfMonth, '5.1.1.3-4 Inorganic fert CO2'!CommonLivestock_InputFunctions.LivestockMovement_HeadRemainingAtMonthEnd(_xlpm.Month, _xlpm.LivestockClass, _xlpm.HeadAtStartOfMonth) * '5.1.1.3-4 Inorganic fert CO2'!CommonLivestock_InputFunctions.LivestockMovement_LiveweightGrownFromMonthStartPerHead(_xlpm.LivestockClass, _xlpm.Month))</definedName>
    <definedName name="CommonLivestock_InputFunctions.LivestockMovement_LiveweightGrownFromMonthStartTotal" localSheetId="23">_xlfn.LAMBDA(_xlpm.LivestockClass,_xlpm.Month,_xlpm.HeadAtStartOfMonth, '5.2.1.1-2 Organic Fert N2O'!CommonLivestock_InputFunctions.LivestockMovement_HeadRemainingAtMonthEnd(_xlpm.Month, _xlpm.LivestockClass, _xlpm.HeadAtStartOfMonth) * '5.2.1.1-2 Organic Fert N2O'!CommonLivestock_InputFunctions.LivestockMovement_LiveweightGrownFromMonthStartPerHead(_xlpm.LivestockClass, _xlpm.Month))</definedName>
    <definedName name="CommonLivestock_InputFunctions.LivestockMovement_LiveweightGrownFromMonthStartTotal" localSheetId="24">_xlfn.LAMBDA(_xlpm.LivestockClass,_xlpm.Month,_xlpm.HeadAtStartOfMonth, '5.3.1.1-2 Lime CO2'!CommonLivestock_InputFunctions.LivestockMovement_HeadRemainingAtMonthEnd(_xlpm.Month, _xlpm.LivestockClass, _xlpm.HeadAtStartOfMonth) * '5.3.1.1-2 Lime CO2'!CommonLivestock_InputFunctions.LivestockMovement_LiveweightGrownFromMonthStartPerHead(_xlpm.LivestockClass, _xlpm.Month))</definedName>
    <definedName name="CommonLivestock_InputFunctions.LivestockMovement_LiveweightGrownFromMonthStartTotal" localSheetId="25">_xlfn.LAMBDA(_xlpm.LivestockClass,_xlpm.Month,_xlpm.HeadAtStartOfMonth, '5.4.1.1-4 Atmos deposition'!CommonLivestock_InputFunctions.LivestockMovement_HeadRemainingAtMonthEnd(_xlpm.Month, _xlpm.LivestockClass, _xlpm.HeadAtStartOfMonth) * '5.4.1.1-4 Atmos deposition'!CommonLivestock_InputFunctions.LivestockMovement_LiveweightGrownFromMonthStartPerHead(_xlpm.LivestockClass, _xlpm.Month))</definedName>
    <definedName name="CommonLivestock_InputFunctions.LivestockMovement_LiveweightGrownFromMonthStartTotal" localSheetId="26">_xlfn.LAMBDA(_xlpm.LivestockClass,_xlpm.Month,_xlpm.HeadAtStartOfMonth, '5.5.1.1-2 Leaching and runoff'!CommonLivestock_InputFunctions.LivestockMovement_HeadRemainingAtMonthEnd(_xlpm.Month, _xlpm.LivestockClass, _xlpm.HeadAtStartOfMonth) * '5.5.1.1-2 Leaching and runoff'!CommonLivestock_InputFunctions.LivestockMovement_LiveweightGrownFromMonthStartPerHead(_xlpm.LivestockClass, _xlpm.Month))</definedName>
    <definedName name="CommonLivestock_InputFunctions.LivestockMovement_LiveweightGrownFromMonthStartTotal" localSheetId="27">_xlfn.LAMBDA(_xlpm.LivestockClass,_xlpm.Month,_xlpm.HeadAtStartOfMonth, '6.2.1.1-2 Pasture residue N2O'!CommonLivestock_InputFunctions.LivestockMovement_HeadRemainingAtMonthEnd(_xlpm.Month, _xlpm.LivestockClass, _xlpm.HeadAtStartOfMonth) * '6.2.1.1-2 Pasture residue N2O'!CommonLivestock_InputFunctions.LivestockMovement_LiveweightGrownFromMonthStartPerHead(_xlpm.LivestockClass, _xlpm.Month))</definedName>
    <definedName name="CommonLivestock_InputFunctions.LivestockMovement_LiveweightGrownFromMonthStartTotal" localSheetId="28">_xlfn.LAMBDA(_xlpm.LivestockClass,_xlpm.Month,_xlpm.HeadAtStartOfMonth, '6.3.1.1-2 Leach runoff pasture'!CommonLivestock_InputFunctions.LivestockMovement_HeadRemainingAtMonthEnd(_xlpm.Month, _xlpm.LivestockClass, _xlpm.HeadAtStartOfMonth) * '6.3.1.1-2 Leach runoff pasture'!CommonLivestock_InputFunctions.LivestockMovement_LiveweightGrownFromMonthStartPerHead(_xlpm.LivestockClass, _xlpm.Month))</definedName>
    <definedName name="CommonLivestock_InputFunctions.LivestockMovement_LiveweightGrownFromMonthStartTotal" localSheetId="29">_xlfn.LAMBDA(_xlpm.LivestockClass,_xlpm.Month,_xlpm.HeadAtStartOfMonth, '8.1.1.1-2 Transport fuel'!CommonLivestock_InputFunctions.LivestockMovement_HeadRemainingAtMonthEnd(_xlpm.Month, _xlpm.LivestockClass, _xlpm.HeadAtStartOfMonth) * '8.1.1.1-2 Transport fuel'!CommonLivestock_InputFunctions.LivestockMovement_LiveweightGrownFromMonthStartPerHead(_xlpm.LivestockClass, _xlpm.Month))</definedName>
    <definedName name="CommonLivestock_InputFunctions.LivestockMovement_LiveweightGrownFromMonthStartTotal" localSheetId="30">_xlfn.LAMBDA(_xlpm.LivestockClass,_xlpm.Month,_xlpm.HeadAtStartOfMonth, '8.2.1.1-2 Stationary fuel'!CommonLivestock_InputFunctions.LivestockMovement_HeadRemainingAtMonthEnd(_xlpm.Month, _xlpm.LivestockClass, _xlpm.HeadAtStartOfMonth) * '8.2.1.1-2 Stationary fuel'!CommonLivestock_InputFunctions.LivestockMovement_LiveweightGrownFromMonthStartPerHead(_xlpm.LivestockClass, _xlpm.Month))</definedName>
    <definedName name="CommonLivestock_InputFunctions.LivestockMovement_LiveweightGrownFromMonthStartTotal" localSheetId="42">_xlfn.LAMBDA(_xlpm.LivestockClass,_xlpm.Month,_xlpm.HeadAtStartOfMonth, Acknowledgements!CommonLivestock_InputFunctions.LivestockMovement_HeadRemainingAtMonthEnd(_xlpm.Month, _xlpm.LivestockClass, _xlpm.HeadAtStartOfMonth) * Acknowledgements!CommonLivestock_InputFunctions.LivestockMovement_LiveweightGrownFromMonthStartPerHead(_xlpm.LivestockClass, _xlpm.Month))</definedName>
    <definedName name="CommonLivestock_InputFunctions.LivestockMovement_LiveweightGrownFromMonthStartTotal" localSheetId="35">_xlfn.LAMBDA(_xlpm.LivestockClass,_xlpm.Month,_xlpm.HeadAtStartOfMonth, 'Constants - Ag Residue'!CommonLivestock_InputFunctions.LivestockMovement_HeadRemainingAtMonthEnd(_xlpm.Month, _xlpm.LivestockClass, _xlpm.HeadAtStartOfMonth) * 'Constants - Ag Residue'!CommonLivestock_InputFunctions.LivestockMovement_LiveweightGrownFromMonthStartPerHead(_xlpm.LivestockClass, _xlpm.Month))</definedName>
    <definedName name="CommonLivestock_InputFunctions.LivestockMovement_LiveweightGrownFromMonthStartTotal" localSheetId="36">_xlfn.LAMBDA(_xlpm.LivestockClass,_xlpm.Month,_xlpm.HeadAtStartOfMonth, 'Constants - Common Livestock'!CommonLivestock_InputFunctions.LivestockMovement_HeadRemainingAtMonthEnd(_xlpm.Month, _xlpm.LivestockClass, _xlpm.HeadAtStartOfMonth) * 'Constants - Common Livestock'!CommonLivestock_InputFunctions.LivestockMovement_LiveweightGrownFromMonthStartPerHead(_xlpm.LivestockClass, _xlpm.Month))</definedName>
    <definedName name="CommonLivestock_InputFunctions.LivestockMovement_LiveweightGrownFromMonthStartTotal" localSheetId="37">_xlfn.LAMBDA(_xlpm.LivestockClass,_xlpm.Month,_xlpm.HeadAtStartOfMonth, 'Constants - Electricity'!CommonLivestock_InputFunctions.LivestockMovement_HeadRemainingAtMonthEnd(_xlpm.Month, _xlpm.LivestockClass, _xlpm.HeadAtStartOfMonth) * 'Constants - Electricity'!CommonLivestock_InputFunctions.LivestockMovement_LiveweightGrownFromMonthStartPerHead(_xlpm.LivestockClass, _xlpm.Month))</definedName>
    <definedName name="CommonLivestock_InputFunctions.LivestockMovement_LiveweightGrownFromMonthStartTotal" localSheetId="38">_xlfn.LAMBDA(_xlpm.LivestockClass,_xlpm.Month,_xlpm.HeadAtStartOfMonth, 'Constants - Fertiliser'!CommonLivestock_InputFunctions.LivestockMovement_HeadRemainingAtMonthEnd(_xlpm.Month, _xlpm.LivestockClass, _xlpm.HeadAtStartOfMonth) * 'Constants - Fertiliser'!CommonLivestock_InputFunctions.LivestockMovement_LiveweightGrownFromMonthStartPerHead(_xlpm.LivestockClass, _xlpm.Month))</definedName>
    <definedName name="CommonLivestock_InputFunctions.LivestockMovement_LiveweightGrownFromMonthStartTotal" localSheetId="39">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34">_xlfn.LAMBDA(_xlpm.LivestockClass,_xlpm.Month,_xlpm.HeadAtStartOfMonth, 'Constants - Pasture Beef'!CommonLivestock_InputFunctions.LivestockMovement_HeadRemainingAtMonthEnd(_xlpm.Month, _xlpm.LivestockClass, _xlpm.HeadAtStartOfMonth) * 'Constants - Pasture Beef'!CommonLivestock_InputFunctions.LivestockMovement_LiveweightGrownFromMonthStartPerHead(_xlpm.LivestockClass, _xlpm.Month))</definedName>
    <definedName name="CommonLivestock_InputFunctions.LivestockMovement_LiveweightGrownFromMonthStartTotal" localSheetId="45">_xlfn.LAMBDA(_xlpm.LivestockClass,_xlpm.Month,_xlpm.HeadAtStartOfMonth, 'Constants - Solid Waste'!CommonLivestock_InputFunctions.LivestockMovement_HeadRemainingAtMonthEnd(_xlpm.Month, _xlpm.LivestockClass, _xlpm.HeadAtStartOfMonth) * 'Constants - Solid Waste'!CommonLivestock_InputFunctions.LivestockMovement_LiveweightGrownFromMonthStartPerHead(_xlpm.LivestockClass, _xlpm.Month))</definedName>
    <definedName name="CommonLivestock_InputFunctions.LivestockMovement_LiveweightGrownFromMonthStartTotal" localSheetId="12">_xlfn.LAMBDA(_xlpm.LivestockClass,_xlpm.Month,_xlpm.HeadAtStartOfMonth, 'Input - Electricity'!CommonLivestock_InputFunctions.LivestockMovement_HeadRemainingAtMonthEnd(_xlpm.Month, _xlpm.LivestockClass, _xlpm.HeadAtStartOfMonth) * 'Input - Electricity'!CommonLivestock_InputFunctions.LivestockMovement_LiveweightGrownFromMonthStartPerHead(_xlpm.LivestockClass,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'Input - Fertiliser'!CommonLivestock_InputFunctions.LivestockMovement_HeadRemainingAtMonthEnd(_xlpm.Month, _xlpm.LivestockClass, _xlpm.HeadAtStartOfMonth) * 'Input - Fertiliser'!CommonLivestock_InputFunctions.LivestockMovement_LiveweightGrownFromMonthStartPerHead(_xlpm.LivestockClass,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 localSheetId="8">_xlfn.LAMBDA(_xlpm.LivestockClass,_xlpm.Month,_xlpm.HeadAtStartOfMonth, 'Input - Pasture'!CommonLivestock_InputFunctions.LivestockMovement_HeadRemainingAtMonthEnd(_xlpm.Month, _xlpm.LivestockClass, _xlpm.HeadAtStartOfMonth) * 'Input - Pasture'!CommonLivestock_InputFunctions.LivestockMovement_LiveweightGrownFromMonthStartPerHead(_xlpm.LivestockClass,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'Input - Pasture Beef (Enteric)'!CommonLivestock_InputFunctions.LivestockMovement_HeadRemainingAtMonthEnd(_xlpm.Month, _xlpm.LivestockClass, _xlpm.HeadAtStartOfMonth) * 'Input - Pasture Beef (Enteric)'!CommonLivestock_InputFunctions.LivestockMovement_LiveweightGrownFromMonthStartPerHead(_xlpm.LivestockClass, _xlpm.Month))</definedName>
    <definedName name="CommonLivestock_InputFunctions.LivestockMovement_LiveweightGrownFromMonthStartTotal" localSheetId="43">_xlfn.LAMBDA(_xlpm.LivestockClass,_xlpm.Month,_xlpm.HeadAtStartOfMonth, 'Input - Solid waste'!CommonLivestock_InputFunctions.LivestockMovement_HeadRemainingAtMonthEnd(_xlpm.Month, _xlpm.LivestockClass, _xlpm.HeadAtStartOfMonth) * 'Input - Solid waste'!CommonLivestock_InputFunctions.LivestockMovement_LiveweightGrownFromMonthStartPerHead(_xlpm.LivestockClass, _xlpm.Month))</definedName>
    <definedName name="CommonLivestock_InputFunctions.LivestockMovement_LiveweightGrownFromMonthStartTotal" localSheetId="46">_xlfn.LAMBDA(_xlpm.LivestockClass,_xlpm.Month,_xlpm.HeadAtStartOfMonth, Overview!CommonLivestock_InputFunctions.LivestockMovement_HeadRemainingAtMonthEnd(_xlpm.Month, _xlpm.LivestockClass, _xlpm.HeadAtStartOfMonth) * Overview!CommonLivestock_InputFunctions.LivestockMovement_LiveweightGrownFromMonthStartPerHead(_xlpm.LivestockClass,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44">_xlfn.LAMBDA(_xlpm.LivestockClass,_xlpm.MovementDate,_xlpm.Head, '10.1.1-2 Solid waste treatment'!CommonLivestock_InputFunctions.LivestockMovement_LiveweightGrownDuringMonthPerHead(_xlpm.LivestockClass, _xlpm.MovementDate) * _xlpm.Head)</definedName>
    <definedName name="CommonLivestock_InputFunctions.LivestockMovement_LiveweightGrownFromMovementDateTotal" localSheetId="31">_xlfn.LAMBDA(_xlpm.LivestockClass,_xlpm.MovementDate,_xlpm.Head, '14.1.1-2 Purchased electricity'!CommonLivestock_InputFunctions.LivestockMovement_LiveweightGrownDuringMonthPerHead(_xlpm.LivestockClass, _xlpm.MovementDate) * _xlpm.Head)</definedName>
    <definedName name="CommonLivestock_InputFunctions.LivestockMovement_LiveweightGrownFromMovementDateTotal" localSheetId="16">_xlfn.LAMBDA(_xlpm.LivestockClass,_xlpm.MovementDate,_xlpm.Head, '3.2.1.1-2 Enteric Methane'!CommonLivestock_InputFunctions.LivestockMovement_LiveweightGrownDuringMonthPerHead(_xlpm.LivestockClass, _xlpm.MovementDate) * _xlpm.Head)</definedName>
    <definedName name="CommonLivestock_InputFunctions.LivestockMovement_LiveweightGrownFromMovementDateTotal" localSheetId="17">_xlfn.LAMBDA(_xlpm.LivestockClass,_xlpm.MovementDate,_xlpm.Head, '4.2.1.1-2 Methane'!CommonLivestock_InputFunctions.LivestockMovement_LiveweightGrownDuringMonthPerHead(_xlpm.LivestockClass, _xlpm.MovementDate) * _xlpm.Head)</definedName>
    <definedName name="CommonLivestock_InputFunctions.LivestockMovement_LiveweightGrownFromMovementDateTotal" localSheetId="18">_xlfn.LAMBDA(_xlpm.LivestockClass,_xlpm.MovementDate,_xlpm.Head, '4.2.1.3-4 Soil direct N20'!CommonLivestock_InputFunctions.LivestockMovement_LiveweightGrownDuringMonthPerHead(_xlpm.LivestockClass, _xlpm.MovementDate) * _xlpm.Head)</definedName>
    <definedName name="CommonLivestock_InputFunctions.LivestockMovement_LiveweightGrownFromMovementDateTotal" localSheetId="19">_xlfn.LAMBDA(_xlpm.LivestockClass,_xlpm.MovementDate,_xlpm.Head, '4.2.1.5-6 Soil Atmos Dep'!CommonLivestock_InputFunctions.LivestockMovement_LiveweightGrownDuringMonthPerHead(_xlpm.LivestockClass, _xlpm.MovementDate) * _xlpm.Head)</definedName>
    <definedName name="CommonLivestock_InputFunctions.LivestockMovement_LiveweightGrownFromMovementDateTotal" localSheetId="20">_xlfn.LAMBDA(_xlpm.LivestockClass,_xlpm.MovementDate,_xlpm.Head, '4.2.1.7-8 Soil leach runoff'!CommonLivestock_InputFunctions.LivestockMovement_LiveweightGrownDuringMonthPerHead(_xlpm.LivestockClass, _xlpm.MovementDate) * _xlpm.Head)</definedName>
    <definedName name="CommonLivestock_InputFunctions.LivestockMovement_LiveweightGrownFromMovementDateTotal" localSheetId="21">_xlfn.LAMBDA(_xlpm.LivestockClass,_xlpm.MovementDate,_xlpm.Head, '5.1.1.1-2 Inorganic fert N2O'!CommonLivestock_InputFunctions.LivestockMovement_LiveweightGrownDuringMonthPerHead(_xlpm.LivestockClass, _xlpm.MovementDate) * _xlpm.Head)</definedName>
    <definedName name="CommonLivestock_InputFunctions.LivestockMovement_LiveweightGrownFromMovementDateTotal" localSheetId="22">_xlfn.LAMBDA(_xlpm.LivestockClass,_xlpm.MovementDate,_xlpm.Head, '5.1.1.3-4 Inorganic fert CO2'!CommonLivestock_InputFunctions.LivestockMovement_LiveweightGrownDuringMonthPerHead(_xlpm.LivestockClass, _xlpm.MovementDate) * _xlpm.Head)</definedName>
    <definedName name="CommonLivestock_InputFunctions.LivestockMovement_LiveweightGrownFromMovementDateTotal" localSheetId="23">_xlfn.LAMBDA(_xlpm.LivestockClass,_xlpm.MovementDate,_xlpm.Head, '5.2.1.1-2 Organic Fert N2O'!CommonLivestock_InputFunctions.LivestockMovement_LiveweightGrownDuringMonthPerHead(_xlpm.LivestockClass, _xlpm.MovementDate) * _xlpm.Head)</definedName>
    <definedName name="CommonLivestock_InputFunctions.LivestockMovement_LiveweightGrownFromMovementDateTotal" localSheetId="24">_xlfn.LAMBDA(_xlpm.LivestockClass,_xlpm.MovementDate,_xlpm.Head, '5.3.1.1-2 Lime CO2'!CommonLivestock_InputFunctions.LivestockMovement_LiveweightGrownDuringMonthPerHead(_xlpm.LivestockClass, _xlpm.MovementDate) * _xlpm.Head)</definedName>
    <definedName name="CommonLivestock_InputFunctions.LivestockMovement_LiveweightGrownFromMovementDateTotal" localSheetId="25">_xlfn.LAMBDA(_xlpm.LivestockClass,_xlpm.MovementDate,_xlpm.Head, '5.4.1.1-4 Atmos deposition'!CommonLivestock_InputFunctions.LivestockMovement_LiveweightGrownDuringMonthPerHead(_xlpm.LivestockClass, _xlpm.MovementDate) * _xlpm.Head)</definedName>
    <definedName name="CommonLivestock_InputFunctions.LivestockMovement_LiveweightGrownFromMovementDateTotal" localSheetId="26">_xlfn.LAMBDA(_xlpm.LivestockClass,_xlpm.MovementDate,_xlpm.Head, '5.5.1.1-2 Leaching and runoff'!CommonLivestock_InputFunctions.LivestockMovement_LiveweightGrownDuringMonthPerHead(_xlpm.LivestockClass, _xlpm.MovementDate) * _xlpm.Head)</definedName>
    <definedName name="CommonLivestock_InputFunctions.LivestockMovement_LiveweightGrownFromMovementDateTotal" localSheetId="27">_xlfn.LAMBDA(_xlpm.LivestockClass,_xlpm.MovementDate,_xlpm.Head, '6.2.1.1-2 Pasture residue N2O'!CommonLivestock_InputFunctions.LivestockMovement_LiveweightGrownDuringMonthPerHead(_xlpm.LivestockClass, _xlpm.MovementDate) * _xlpm.Head)</definedName>
    <definedName name="CommonLivestock_InputFunctions.LivestockMovement_LiveweightGrownFromMovementDateTotal" localSheetId="28">_xlfn.LAMBDA(_xlpm.LivestockClass,_xlpm.MovementDate,_xlpm.Head, '6.3.1.1-2 Leach runoff pasture'!CommonLivestock_InputFunctions.LivestockMovement_LiveweightGrownDuringMonthPerHead(_xlpm.LivestockClass, _xlpm.MovementDate) * _xlpm.Head)</definedName>
    <definedName name="CommonLivestock_InputFunctions.LivestockMovement_LiveweightGrownFromMovementDateTotal" localSheetId="29">_xlfn.LAMBDA(_xlpm.LivestockClass,_xlpm.MovementDate,_xlpm.Head, '8.1.1.1-2 Transport fuel'!CommonLivestock_InputFunctions.LivestockMovement_LiveweightGrownDuringMonthPerHead(_xlpm.LivestockClass, _xlpm.MovementDate) * _xlpm.Head)</definedName>
    <definedName name="CommonLivestock_InputFunctions.LivestockMovement_LiveweightGrownFromMovementDateTotal" localSheetId="30">_xlfn.LAMBDA(_xlpm.LivestockClass,_xlpm.MovementDate,_xlpm.Head, '8.2.1.1-2 Stationary fuel'!CommonLivestock_InputFunctions.LivestockMovement_LiveweightGrownDuringMonthPerHead(_xlpm.LivestockClass, _xlpm.MovementDate) * _xlpm.Head)</definedName>
    <definedName name="CommonLivestock_InputFunctions.LivestockMovement_LiveweightGrownFromMovementDateTotal" localSheetId="42">_xlfn.LAMBDA(_xlpm.LivestockClass,_xlpm.MovementDate,_xlpm.Head, Acknowledgements!CommonLivestock_InputFunctions.LivestockMovement_LiveweightGrownDuringMonthPerHead(_xlpm.LivestockClass, _xlpm.MovementDate) * _xlpm.Head)</definedName>
    <definedName name="CommonLivestock_InputFunctions.LivestockMovement_LiveweightGrownFromMovementDateTotal" localSheetId="35">_xlfn.LAMBDA(_xlpm.LivestockClass,_xlpm.MovementDate,_xlpm.Head, 'Constants - Ag Residue'!CommonLivestock_InputFunctions.LivestockMovement_LiveweightGrownDuringMonthPerHead(_xlpm.LivestockClass, _xlpm.MovementDate) * _xlpm.Head)</definedName>
    <definedName name="CommonLivestock_InputFunctions.LivestockMovement_LiveweightGrownFromMovementDateTotal" localSheetId="36">_xlfn.LAMBDA(_xlpm.LivestockClass,_xlpm.MovementDate,_xlpm.Head, 'Constants - Common Livestock'!CommonLivestock_InputFunctions.LivestockMovement_LiveweightGrownDuringMonthPerHead(_xlpm.LivestockClass, _xlpm.MovementDate) * _xlpm.Head)</definedName>
    <definedName name="CommonLivestock_InputFunctions.LivestockMovement_LiveweightGrownFromMovementDateTotal" localSheetId="37">_xlfn.LAMBDA(_xlpm.LivestockClass,_xlpm.MovementDate,_xlpm.Head, 'Constants - Electricity'!CommonLivestock_InputFunctions.LivestockMovement_LiveweightGrownDuringMonthPerHead(_xlpm.LivestockClass, _xlpm.MovementDate) * _xlpm.Head)</definedName>
    <definedName name="CommonLivestock_InputFunctions.LivestockMovement_LiveweightGrownFromMovementDateTotal" localSheetId="38">_xlfn.LAMBDA(_xlpm.LivestockClass,_xlpm.MovementDate,_xlpm.Head, 'Constants - Fertiliser'!CommonLivestock_InputFunctions.LivestockMovement_LiveweightGrownDuringMonthPerHead(_xlpm.LivestockClass, _xlpm.MovementDate) * _xlpm.Head)</definedName>
    <definedName name="CommonLivestock_InputFunctions.LivestockMovement_LiveweightGrownFromMovementDateTotal" localSheetId="39">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34">_xlfn.LAMBDA(_xlpm.LivestockClass,_xlpm.MovementDate,_xlpm.Head, 'Constants - Pasture Beef'!CommonLivestock_InputFunctions.LivestockMovement_LiveweightGrownDuringMonthPerHead(_xlpm.LivestockClass, _xlpm.MovementDate) * _xlpm.Head)</definedName>
    <definedName name="CommonLivestock_InputFunctions.LivestockMovement_LiveweightGrownFromMovementDateTotal" localSheetId="45">_xlfn.LAMBDA(_xlpm.LivestockClass,_xlpm.MovementDate,_xlpm.Head, 'Constants - Solid Waste'!CommonLivestock_InputFunctions.LivestockMovement_LiveweightGrownDuringMonthPerHead(_xlpm.LivestockClass, _xlpm.MovementDate) * _xlpm.Head)</definedName>
    <definedName name="CommonLivestock_InputFunctions.LivestockMovement_LiveweightGrownFromMovementDateTotal" localSheetId="12">_xlfn.LAMBDA(_xlpm.LivestockClass,_xlpm.MovementDate,_xlpm.Head, 'Input - Electricity'!CommonLivestock_InputFunctions.LivestockMovement_LiveweightGrownDuringMonthPerHead(_xlpm.LivestockClass,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'Input - Fertiliser'!CommonLivestock_InputFunctions.LivestockMovement_LiveweightGrownDuringMonthPerHead(_xlpm.LivestockClass,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 localSheetId="8">_xlfn.LAMBDA(_xlpm.LivestockClass,_xlpm.MovementDate,_xlpm.Head, 'Input - Pasture'!CommonLivestock_InputFunctions.LivestockMovement_LiveweightGrownDuringMonthPerHead(_xlpm.LivestockClass,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'Input - Pasture Beef (Enteric)'!CommonLivestock_InputFunctions.LivestockMovement_LiveweightGrownDuringMonthPerHead(_xlpm.LivestockClass, _xlpm.MovementDate) * _xlpm.Head)</definedName>
    <definedName name="CommonLivestock_InputFunctions.LivestockMovement_LiveweightGrownFromMovementDateTotal" localSheetId="43">_xlfn.LAMBDA(_xlpm.LivestockClass,_xlpm.MovementDate,_xlpm.Head, 'Input - Solid waste'!CommonLivestock_InputFunctions.LivestockMovement_LiveweightGrownDuringMonthPerHead(_xlpm.LivestockClass, _xlpm.MovementDate) * _xlpm.Head)</definedName>
    <definedName name="CommonLivestock_InputFunctions.LivestockMovement_LiveweightGrownFromMovementDateTotal" localSheetId="46">_xlfn.LAMBDA(_xlpm.LivestockClass,_xlpm.MovementDate,_xlpm.Head, Overview!CommonLivestock_InputFunctions.LivestockMovement_LiveweightGrownDuringMonthPerHead(_xlpm.LivestockClass,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44">_xlfn.LAMBDA(_xlpm.Month,_xlpm.LivestockClass,_xlpm.HeadAtStart, '10.1.1-2 Solid waste treatment'!CommonLivestock_InputFunctions.LivestockMovement_ProportionHeadAddedDuringMonth(_xlpm.Month, _xlpm.LivestockClass, _xlpm.HeadAtStart) * '10.1.1-2 Solid waste treatment'!CommonLivestock_InputFunctions.LivestockMovement_AverageLiveweightAddedDuringMonth(_xlpm.Month, _xlpm.LivestockClass))</definedName>
    <definedName name="CommonLivestock_InputFunctions.LivestockMovement_ProportionalAverageLiveweightAddedDuringMonth" localSheetId="31">_xlfn.LAMBDA(_xlpm.Month,_xlpm.LivestockClass,_xlpm.HeadAtStart, '14.1.1-2 Purchased electricity'!CommonLivestock_InputFunctions.LivestockMovement_ProportionHeadAddedDuringMonth(_xlpm.Month, _xlpm.LivestockClass, _xlpm.HeadAtStart) * '14.1.1-2 Purchased electricity'!CommonLivestock_InputFunctions.LivestockMovement_AverageLiveweightAddedDuringMonth(_xlpm.Month, _xlpm.LivestockClass))</definedName>
    <definedName name="CommonLivestock_InputFunctions.LivestockMovement_ProportionalAverageLiveweightAddedDuringMonth" localSheetId="16">_xlfn.LAMBDA(_xlpm.Month,_xlpm.LivestockClass,_xlpm.HeadAtStart, '3.2.1.1-2 Enteric Methane'!CommonLivestock_InputFunctions.LivestockMovement_ProportionHeadAddedDuringMonth(_xlpm.Month, _xlpm.LivestockClass, _xlpm.HeadAtStart) * '3.2.1.1-2 Enteric Methane'!CommonLivestock_InputFunctions.LivestockMovement_AverageLiveweightAddedDuringMonth(_xlpm.Month, _xlpm.LivestockClass))</definedName>
    <definedName name="CommonLivestock_InputFunctions.LivestockMovement_ProportionalAverageLiveweightAddedDuringMonth" localSheetId="17">_xlfn.LAMBDA(_xlpm.Month,_xlpm.LivestockClass,_xlpm.HeadAtStart, '4.2.1.1-2 Methane'!CommonLivestock_InputFunctions.LivestockMovement_ProportionHeadAddedDuringMonth(_xlpm.Month, _xlpm.LivestockClass, _xlpm.HeadAtStart) * '4.2.1.1-2 Methane'!CommonLivestock_InputFunctions.LivestockMovement_AverageLiveweightAddedDuringMonth(_xlpm.Month, _xlpm.LivestockClass))</definedName>
    <definedName name="CommonLivestock_InputFunctions.LivestockMovement_ProportionalAverageLiveweightAddedDuringMonth" localSheetId="18">_xlfn.LAMBDA(_xlpm.Month,_xlpm.LivestockClass,_xlpm.HeadAtStart, '4.2.1.3-4 Soil direct N20'!CommonLivestock_InputFunctions.LivestockMovement_ProportionHeadAddedDuringMonth(_xlpm.Month, _xlpm.LivestockClass, _xlpm.HeadAtStart) * '4.2.1.3-4 Soil direct N20'!CommonLivestock_InputFunctions.LivestockMovement_AverageLiveweightAddedDuringMonth(_xlpm.Month, _xlpm.LivestockClass))</definedName>
    <definedName name="CommonLivestock_InputFunctions.LivestockMovement_ProportionalAverageLiveweightAddedDuringMonth" localSheetId="19">_xlfn.LAMBDA(_xlpm.Month,_xlpm.LivestockClass,_xlpm.HeadAtStart, '4.2.1.5-6 Soil Atmos Dep'!CommonLivestock_InputFunctions.LivestockMovement_ProportionHeadAddedDuringMonth(_xlpm.Month, _xlpm.LivestockClass, _xlpm.HeadAtStart) * '4.2.1.5-6 Soil Atmos Dep'!CommonLivestock_InputFunctions.LivestockMovement_AverageLiveweightAddedDuringMonth(_xlpm.Month, _xlpm.LivestockClass))</definedName>
    <definedName name="CommonLivestock_InputFunctions.LivestockMovement_ProportionalAverageLiveweightAddedDuringMonth" localSheetId="20">_xlfn.LAMBDA(_xlpm.Month,_xlpm.LivestockClass,_xlpm.HeadAtStart, '4.2.1.7-8 Soil leach runoff'!CommonLivestock_InputFunctions.LivestockMovement_ProportionHeadAddedDuringMonth(_xlpm.Month, _xlpm.LivestockClass, _xlpm.HeadAtStart) * '4.2.1.7-8 Soil leach runoff'!CommonLivestock_InputFunctions.LivestockMovement_AverageLiveweightAddedDuringMonth(_xlpm.Month, _xlpm.LivestockClass))</definedName>
    <definedName name="CommonLivestock_InputFunctions.LivestockMovement_ProportionalAverageLiveweightAddedDuringMonth" localSheetId="21">_xlfn.LAMBDA(_xlpm.Month,_xlpm.LivestockClass,_xlpm.HeadAtStart, '5.1.1.1-2 Inorganic fert N2O'!CommonLivestock_InputFunctions.LivestockMovement_ProportionHeadAddedDuringMonth(_xlpm.Month, _xlpm.LivestockClass, _xlpm.HeadAtStart) * '5.1.1.1-2 Inorganic fert N2O'!CommonLivestock_InputFunctions.LivestockMovement_AverageLiveweightAddedDuringMonth(_xlpm.Month, _xlpm.LivestockClass))</definedName>
    <definedName name="CommonLivestock_InputFunctions.LivestockMovement_ProportionalAverageLiveweightAddedDuringMonth" localSheetId="22">_xlfn.LAMBDA(_xlpm.Month,_xlpm.LivestockClass,_xlpm.HeadAtStart, '5.1.1.3-4 Inorganic fert CO2'!CommonLivestock_InputFunctions.LivestockMovement_ProportionHeadAddedDuringMonth(_xlpm.Month, _xlpm.LivestockClass, _xlpm.HeadAtStart) * '5.1.1.3-4 Inorganic fert CO2'!CommonLivestock_InputFunctions.LivestockMovement_AverageLiveweightAddedDuringMonth(_xlpm.Month, _xlpm.LivestockClass))</definedName>
    <definedName name="CommonLivestock_InputFunctions.LivestockMovement_ProportionalAverageLiveweightAddedDuringMonth" localSheetId="23">_xlfn.LAMBDA(_xlpm.Month,_xlpm.LivestockClass,_xlpm.HeadAtStart, '5.2.1.1-2 Organic Fert N2O'!CommonLivestock_InputFunctions.LivestockMovement_ProportionHeadAddedDuringMonth(_xlpm.Month, _xlpm.LivestockClass, _xlpm.HeadAtStart) * '5.2.1.1-2 Organic Fert N2O'!CommonLivestock_InputFunctions.LivestockMovement_AverageLiveweightAddedDuringMonth(_xlpm.Month, _xlpm.LivestockClass))</definedName>
    <definedName name="CommonLivestock_InputFunctions.LivestockMovement_ProportionalAverageLiveweightAddedDuringMonth" localSheetId="24">_xlfn.LAMBDA(_xlpm.Month,_xlpm.LivestockClass,_xlpm.HeadAtStart, '5.3.1.1-2 Lime CO2'!CommonLivestock_InputFunctions.LivestockMovement_ProportionHeadAddedDuringMonth(_xlpm.Month, _xlpm.LivestockClass, _xlpm.HeadAtStart) * '5.3.1.1-2 Lime CO2'!CommonLivestock_InputFunctions.LivestockMovement_AverageLiveweightAddedDuringMonth(_xlpm.Month, _xlpm.LivestockClass))</definedName>
    <definedName name="CommonLivestock_InputFunctions.LivestockMovement_ProportionalAverageLiveweightAddedDuringMonth" localSheetId="25">_xlfn.LAMBDA(_xlpm.Month,_xlpm.LivestockClass,_xlpm.HeadAtStart, '5.4.1.1-4 Atmos deposition'!CommonLivestock_InputFunctions.LivestockMovement_ProportionHeadAddedDuringMonth(_xlpm.Month, _xlpm.LivestockClass, _xlpm.HeadAtStart) * '5.4.1.1-4 Atmos deposition'!CommonLivestock_InputFunctions.LivestockMovement_AverageLiveweightAddedDuringMonth(_xlpm.Month, _xlpm.LivestockClass))</definedName>
    <definedName name="CommonLivestock_InputFunctions.LivestockMovement_ProportionalAverageLiveweightAddedDuringMonth" localSheetId="26">_xlfn.LAMBDA(_xlpm.Month,_xlpm.LivestockClass,_xlpm.HeadAtStart, '5.5.1.1-2 Leaching and runoff'!CommonLivestock_InputFunctions.LivestockMovement_ProportionHeadAddedDuringMonth(_xlpm.Month, _xlpm.LivestockClass, _xlpm.HeadAtStart) * '5.5.1.1-2 Leaching and runoff'!CommonLivestock_InputFunctions.LivestockMovement_AverageLiveweightAddedDuringMonth(_xlpm.Month, _xlpm.LivestockClass))</definedName>
    <definedName name="CommonLivestock_InputFunctions.LivestockMovement_ProportionalAverageLiveweightAddedDuringMonth" localSheetId="27">_xlfn.LAMBDA(_xlpm.Month,_xlpm.LivestockClass,_xlpm.HeadAtStart, '6.2.1.1-2 Pasture residue N2O'!CommonLivestock_InputFunctions.LivestockMovement_ProportionHeadAddedDuringMonth(_xlpm.Month, _xlpm.LivestockClass, _xlpm.HeadAtStart) * '6.2.1.1-2 Pasture residue N2O'!CommonLivestock_InputFunctions.LivestockMovement_AverageLiveweightAddedDuringMonth(_xlpm.Month, _xlpm.LivestockClass))</definedName>
    <definedName name="CommonLivestock_InputFunctions.LivestockMovement_ProportionalAverageLiveweightAddedDuringMonth" localSheetId="28">_xlfn.LAMBDA(_xlpm.Month,_xlpm.LivestockClass,_xlpm.HeadAtStart, '6.3.1.1-2 Leach runoff pasture'!CommonLivestock_InputFunctions.LivestockMovement_ProportionHeadAddedDuringMonth(_xlpm.Month, _xlpm.LivestockClass, _xlpm.HeadAtStart) * '6.3.1.1-2 Leach runoff pasture'!CommonLivestock_InputFunctions.LivestockMovement_AverageLiveweightAddedDuringMonth(_xlpm.Month, _xlpm.LivestockClass))</definedName>
    <definedName name="CommonLivestock_InputFunctions.LivestockMovement_ProportionalAverageLiveweightAddedDuringMonth" localSheetId="29">_xlfn.LAMBDA(_xlpm.Month,_xlpm.LivestockClass,_xlpm.HeadAtStart, '8.1.1.1-2 Transport fuel'!CommonLivestock_InputFunctions.LivestockMovement_ProportionHeadAddedDuringMonth(_xlpm.Month, _xlpm.LivestockClass, _xlpm.HeadAtStart) * '8.1.1.1-2 Transport fuel'!CommonLivestock_InputFunctions.LivestockMovement_AverageLiveweightAddedDuringMonth(_xlpm.Month, _xlpm.LivestockClass))</definedName>
    <definedName name="CommonLivestock_InputFunctions.LivestockMovement_ProportionalAverageLiveweightAddedDuringMonth" localSheetId="30">_xlfn.LAMBDA(_xlpm.Month,_xlpm.LivestockClass,_xlpm.HeadAtStart, '8.2.1.1-2 Stationary fuel'!CommonLivestock_InputFunctions.LivestockMovement_ProportionHeadAddedDuringMonth(_xlpm.Month, _xlpm.LivestockClass, _xlpm.HeadAtStart) * '8.2.1.1-2 Stationary fuel'!CommonLivestock_InputFunctions.LivestockMovement_AverageLiveweightAddedDuringMonth(_xlpm.Month, _xlpm.LivestockClass))</definedName>
    <definedName name="CommonLivestock_InputFunctions.LivestockMovement_ProportionalAverageLiveweightAddedDuringMonth" localSheetId="42">_xlfn.LAMBDA(_xlpm.Month,_xlpm.LivestockClass,_xlpm.HeadAtStart, Acknowledgements!CommonLivestock_InputFunctions.LivestockMovement_ProportionHeadAddedDuringMonth(_xlpm.Month, _xlpm.LivestockClass, _xlpm.HeadAtStart) * Acknowledgements!CommonLivestock_InputFunctions.LivestockMovement_AverageLiveweightAddedDuringMonth(_xlpm.Month, _xlpm.LivestockClass))</definedName>
    <definedName name="CommonLivestock_InputFunctions.LivestockMovement_ProportionalAverageLiveweightAddedDuringMonth" localSheetId="35">_xlfn.LAMBDA(_xlpm.Month,_xlpm.LivestockClass,_xlpm.HeadAtStart, 'Constants - Ag Residue'!CommonLivestock_InputFunctions.LivestockMovement_ProportionHeadAddedDuringMonth(_xlpm.Month, _xlpm.LivestockClass, _xlpm.HeadAtStart) * 'Constants - Ag Residue'!CommonLivestock_InputFunctions.LivestockMovement_AverageLiveweightAddedDuringMonth(_xlpm.Month, _xlpm.LivestockClass))</definedName>
    <definedName name="CommonLivestock_InputFunctions.LivestockMovement_ProportionalAverageLiveweightAddedDuringMonth" localSheetId="36">_xlfn.LAMBDA(_xlpm.Month,_xlpm.LivestockClass,_xlpm.HeadAtStart, 'Constants - Common Livestock'!CommonLivestock_InputFunctions.LivestockMovement_ProportionHeadAddedDuringMonth(_xlpm.Month, _xlpm.LivestockClass, _xlpm.HeadAtStart) * 'Constants - Common Livestock'!CommonLivestock_InputFunctions.LivestockMovement_AverageLiveweightAddedDuringMonth(_xlpm.Month, _xlpm.LivestockClass))</definedName>
    <definedName name="CommonLivestock_InputFunctions.LivestockMovement_ProportionalAverageLiveweightAddedDuringMonth" localSheetId="37">_xlfn.LAMBDA(_xlpm.Month,_xlpm.LivestockClass,_xlpm.HeadAtStart, 'Constants - Electricity'!CommonLivestock_InputFunctions.LivestockMovement_ProportionHeadAddedDuringMonth(_xlpm.Month, _xlpm.LivestockClass, _xlpm.HeadAtStart) * 'Constants - Electricity'!CommonLivestock_InputFunctions.LivestockMovement_AverageLiveweightAddedDuringMonth(_xlpm.Month, _xlpm.LivestockClass))</definedName>
    <definedName name="CommonLivestock_InputFunctions.LivestockMovement_ProportionalAverageLiveweightAddedDuringMonth" localSheetId="38">_xlfn.LAMBDA(_xlpm.Month,_xlpm.LivestockClass,_xlpm.HeadAtStart, 'Constants - Fertiliser'!CommonLivestock_InputFunctions.LivestockMovement_ProportionHeadAddedDuringMonth(_xlpm.Month, _xlpm.LivestockClass, _xlpm.HeadAtStart) * 'Constants - Fertiliser'!CommonLivestock_InputFunctions.LivestockMovement_AverageLiveweightAddedDuringMonth(_xlpm.Month, _xlpm.LivestockClass))</definedName>
    <definedName name="CommonLivestock_InputFunctions.LivestockMovement_ProportionalAverageLiveweightAddedDuringMonth" localSheetId="39">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34">_xlfn.LAMBDA(_xlpm.Month,_xlpm.LivestockClass,_xlpm.HeadAtStart, 'Constants - Pasture Beef'!CommonLivestock_InputFunctions.LivestockMovement_ProportionHeadAddedDuringMonth(_xlpm.Month, _xlpm.LivestockClass, _xlpm.HeadAtStart) * 'Constants - Pasture Beef'!CommonLivestock_InputFunctions.LivestockMovement_AverageLiveweightAddedDuringMonth(_xlpm.Month, _xlpm.LivestockClass))</definedName>
    <definedName name="CommonLivestock_InputFunctions.LivestockMovement_ProportionalAverageLiveweightAddedDuringMonth" localSheetId="45">_xlfn.LAMBDA(_xlpm.Month,_xlpm.LivestockClass,_xlpm.HeadAtStart, 'Constants - Solid Waste'!CommonLivestock_InputFunctions.LivestockMovement_ProportionHeadAddedDuringMonth(_xlpm.Month, _xlpm.LivestockClass, _xlpm.HeadAtStart) * 'Constants - Solid Waste'!CommonLivestock_InputFunctions.LivestockMovement_AverageLiveweightAddedDuringMonth(_xlpm.Month, _xlpm.LivestockClass))</definedName>
    <definedName name="CommonLivestock_InputFunctions.LivestockMovement_ProportionalAverageLiveweightAddedDuringMonth" localSheetId="12">_xlfn.LAMBDA(_xlpm.Month,_xlpm.LivestockClass,_xlpm.HeadAtStart, 'Input - Electricity'!CommonLivestock_InputFunctions.LivestockMovement_ProportionHeadAddedDuringMonth(_xlpm.Month, _xlpm.LivestockClass, _xlpm.HeadAtStart) * 'Input - Electricity'!CommonLivestock_InputFunctions.LivestockMovement_AverageLiveweightAddedDuringMonth(_xlpm.Month, _xlpm.LivestockClass))</definedName>
    <definedName name="CommonLivestock_InputFunctions.LivestockMovement_ProportionalAverageLiveweightAddedDuringMonth" localSheetId="10">_xlfn.LAMBDA(_xlpm.Month,_xlpm.LivestockClass,_xlpm.HeadAtStart, 'Input - Fertiliser'!CommonLivestock_InputFunctions.LivestockMovement_ProportionHeadAddedDuringMonth(_xlpm.Month, _xlpm.LivestockClass, _xlpm.HeadAtStart) * 'Input - Fertiliser'!CommonLivestock_InputFunctions.LivestockMovement_AverageLiveweightAddedDuringMonth(_xlpm.Month, _xlpm.LivestockClass))</definedName>
    <definedName name="CommonLivestock_InputFunctions.LivestockMovement_ProportionalAverageLiveweightAddedDuringMonth" localSheetId="11">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 localSheetId="8">_xlfn.LAMBDA(_xlpm.Month,_xlpm.LivestockClass,_xlpm.HeadAtStart, 'Input - Pasture'!CommonLivestock_InputFunctions.LivestockMovement_ProportionHeadAddedDuringMonth(_xlpm.Month, _xlpm.LivestockClass, _xlpm.HeadAtStart) * 'Input - Pasture'!CommonLivestock_InputFunctions.LivestockMovement_AverageLiveweightAddedDuringMonth(_xlpm.Month,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'Input - Pasture Beef (Enteric)'!CommonLivestock_InputFunctions.LivestockMovement_ProportionHeadAddedDuringMonth(_xlpm.Month, _xlpm.LivestockClass, _xlpm.HeadAtStart) * 'Input - Pasture Beef (Enteric)'!CommonLivestock_InputFunctions.LivestockMovement_AverageLiveweightAddedDuringMonth(_xlpm.Month, _xlpm.LivestockClass))</definedName>
    <definedName name="CommonLivestock_InputFunctions.LivestockMovement_ProportionalAverageLiveweightAddedDuringMonth" localSheetId="43">_xlfn.LAMBDA(_xlpm.Month,_xlpm.LivestockClass,_xlpm.HeadAtStart, 'Input - Solid waste'!CommonLivestock_InputFunctions.LivestockMovement_ProportionHeadAddedDuringMonth(_xlpm.Month, _xlpm.LivestockClass, _xlpm.HeadAtStart) * 'Input - Solid waste'!CommonLivestock_InputFunctions.LivestockMovement_AverageLiveweightAddedDuringMonth(_xlpm.Month, _xlpm.LivestockClass))</definedName>
    <definedName name="CommonLivestock_InputFunctions.LivestockMovement_ProportionalAverageLiveweightAddedDuringMonth" localSheetId="46">_xlfn.LAMBDA(_xlpm.Month,_xlpm.LivestockClass,_xlpm.HeadAtStart, Overview!CommonLivestock_InputFunctions.LivestockMovement_ProportionHeadAddedDuringMonth(_xlpm.Month, _xlpm.LivestockClass, _xlpm.HeadAtStart) * Overview!CommonLivestock_InputFunctions.LivestockMovement_AverageLiveweightAddedDuringMonth(_xlpm.Month,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44">_xlfn.LAMBDA(_xlpm.Month,_xlpm.LivestockClass,_xlpm.HeadAtStart,_xlpm.LiveweightAtStart,_xlpm.LiveweightGain, '10.1.1-2 Solid waste treatment'!CommonLivestock_InputFunctions.LivestockMovement_ProportionHeadRemainingAtEndOfMonth(_xlpm.Month,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1">_xlfn.LAMBDA(_xlpm.Month,_xlpm.LivestockClass,_xlpm.HeadAtStart,_xlpm.LiveweightAtStart,_xlpm.LiveweightGain, '14.1.1-2 Purchased electricity'!CommonLivestock_InputFunctions.LivestockMovement_ProportionHeadRemainingAtEndOfMonth(_xlpm.Month,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6">_xlfn.LAMBDA(_xlpm.Month,_xlpm.LivestockClass,_xlpm.HeadAtStart,_xlpm.LiveweightAtStart,_xlpm.LiveweightGain, '3.2.1.1-2 Enteric Methane'!CommonLivestock_InputFunctions.LivestockMovement_ProportionHeadRemainingAtEndOfMonth(_xlpm.Month,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7">_xlfn.LAMBDA(_xlpm.Month,_xlpm.LivestockClass,_xlpm.HeadAtStart,_xlpm.LiveweightAtStart,_xlpm.LiveweightGain, '4.2.1.1-2 Methane'!CommonLivestock_InputFunctions.LivestockMovement_ProportionHeadRemainingAtEndOfMonth(_xlpm.Month,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8">_xlfn.LAMBDA(_xlpm.Month,_xlpm.LivestockClass,_xlpm.HeadAtStart,_xlpm.LiveweightAtStart,_xlpm.LiveweightGain, '4.2.1.3-4 Soil direct N20'!CommonLivestock_InputFunctions.LivestockMovement_ProportionHeadRemainingAtEndOfMonth(_xlpm.Month,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9">_xlfn.LAMBDA(_xlpm.Month,_xlpm.LivestockClass,_xlpm.HeadAtStart,_xlpm.LiveweightAtStart,_xlpm.LiveweightGain, '4.2.1.5-6 Soil Atmos Dep'!CommonLivestock_InputFunctions.LivestockMovement_ProportionHeadRemainingAtEndOfMonth(_xlpm.Month,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0">_xlfn.LAMBDA(_xlpm.Month,_xlpm.LivestockClass,_xlpm.HeadAtStart,_xlpm.LiveweightAtStart,_xlpm.LiveweightGain, '4.2.1.7-8 Soil leach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1">_xlfn.LAMBDA(_xlpm.Month,_xlpm.LivestockClass,_xlpm.HeadAtStart,_xlpm.LiveweightAtStart,_xlpm.LiveweightGain, '5.1.1.1-2 Inorganic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2">_xlfn.LAMBDA(_xlpm.Month,_xlpm.LivestockClass,_xlpm.HeadAtStart,_xlpm.LiveweightAtStart,_xlpm.LiveweightGain, '5.1.1.3-4 Inorganic fert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3">_xlfn.LAMBDA(_xlpm.Month,_xlpm.LivestockClass,_xlpm.HeadAtStart,_xlpm.LiveweightAtStart,_xlpm.LiveweightGain, '5.2.1.1-2 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4">_xlfn.LAMBDA(_xlpm.Month,_xlpm.LivestockClass,_xlpm.HeadAtStart,_xlpm.LiveweightAtStart,_xlpm.LiveweightGain, '5.3.1.1-2 Lime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5">_xlfn.LAMBDA(_xlpm.Month,_xlpm.LivestockClass,_xlpm.HeadAtStart,_xlpm.LiveweightAtStart,_xlpm.LiveweightGain, '5.4.1.1-4 Atmos deposition'!CommonLivestock_InputFunctions.LivestockMovement_ProportionHeadRemainingAtEndOfMonth(_xlpm.Month,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6">_xlfn.LAMBDA(_xlpm.Month,_xlpm.LivestockClass,_xlpm.HeadAtStart,_xlpm.LiveweightAtStart,_xlpm.LiveweightGain, '5.5.1.1-2 Leaching and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7">_xlfn.LAMBDA(_xlpm.Month,_xlpm.LivestockClass,_xlpm.HeadAtStart,_xlpm.LiveweightAtStart,_xlpm.LiveweightGain, '6.2.1.1-2 Pasture residue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8">_xlfn.LAMBDA(_xlpm.Month,_xlpm.LivestockClass,_xlpm.HeadAtStart,_xlpm.LiveweightAtStart,_xlpm.LiveweightGain, '6.3.1.1-2 Leach runoff pasture'!CommonLivestock_InputFunctions.LivestockMovement_ProportionHeadRemainingAtEndOfMonth(_xlpm.Month,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29">_xlfn.LAMBDA(_xlpm.Month,_xlpm.LivestockClass,_xlpm.HeadAtStart,_xlpm.LiveweightAtStart,_xlpm.LiveweightGain, '8.1.1.1-2 Transport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0">_xlfn.LAMBDA(_xlpm.Month,_xlpm.LivestockClass,_xlpm.HeadAtStart,_xlpm.LiveweightAtStart,_xlpm.LiveweightGain, '8.2.1.1-2 Stationary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42">_xlfn.LAMBDA(_xlpm.Month,_xlpm.LivestockClass,_xlpm.HeadAtStart,_xlpm.LiveweightAtStart,_xlpm.LiveweightGain, Acknowledgements!CommonLivestock_InputFunctions.LivestockMovement_ProportionHeadRemainingAtEndOfMonth(_xlpm.Month,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5">_xlfn.LAMBDA(_xlpm.Month,_xlpm.LivestockClass,_xlpm.HeadAtStart,_xlpm.LiveweightAtStart,_xlpm.LiveweightGain, 'Constants - Ag Residue'!CommonLivestock_InputFunctions.LivestockMovement_ProportionHeadRemainingAtEndOfMonth(_xlpm.Month,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6">_xlfn.LAMBDA(_xlpm.Month,_xlpm.LivestockClass,_xlpm.HeadAtStart,_xlpm.LiveweightAtStart,_xlpm.LiveweightGain, 'Constants - Common Livestock'!CommonLivestock_InputFunctions.LivestockMovement_ProportionHeadRemainingAtEndOfMonth(_xlpm.Month,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7">_xlfn.LAMBDA(_xlpm.Month,_xlpm.LivestockClass,_xlpm.HeadAtStart,_xlpm.LiveweightAtStart,_xlpm.LiveweightGain, 'Constants - Electricity'!CommonLivestock_InputFunctions.LivestockMovement_ProportionHeadRemainingAtEndOfMonth(_xlpm.Month,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8">_xlfn.LAMBDA(_xlpm.Month,_xlpm.LivestockClass,_xlpm.HeadAtStart,_xlpm.LiveweightAtStart,_xlpm.LiveweightGain, 'Constants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9">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4">_xlfn.LAMBDA(_xlpm.Month,_xlpm.LivestockClass,_xlpm.HeadAtStart,_xlpm.LiveweightAtStart,_xlpm.LiveweightGain, 'Constants - Pasture Beef'!CommonLivestock_InputFunctions.LivestockMovement_ProportionHeadRemainingAtEndOfMonth(_xlpm.Month,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45">_xlfn.LAMBDA(_xlpm.Month,_xlpm.LivestockClass,_xlpm.HeadAtStart,_xlpm.LiveweightAtStart,_xlpm.LiveweightGain, 'Constants - Solid Waste'!CommonLivestock_InputFunctions.LivestockMovement_ProportionHeadRemainingAtEndOfMonth(_xlpm.Month,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2">_xlfn.LAMBDA(_xlpm.Month,_xlpm.LivestockClass,_xlpm.HeadAtStart,_xlpm.LiveweightAtStart,_xlpm.LiveweightGain, 'Input - Electricity'!CommonLivestock_InputFunctions.LivestockMovement_ProportionHeadRemainingAtEndOfMonth(_xlpm.Month,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'Input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8">_xlfn.LAMBDA(_xlpm.Month,_xlpm.LivestockClass,_xlpm.HeadAtStart,_xlpm.LiveweightAtStart,_xlpm.LiveweightGain, 'Input - Pasture'!CommonLivestock_InputFunctions.LivestockMovement_ProportionHeadRemainingAtEndOfMonth(_xlpm.Month,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'Input - Pasture Beef (Enteric)'!CommonLivestock_InputFunctions.LivestockMovement_ProportionHeadRemainingAtEndOfMonth(_xlpm.Month,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43">_xlfn.LAMBDA(_xlpm.Month,_xlpm.LivestockClass,_xlpm.HeadAtStart,_xlpm.LiveweightAtStart,_xlpm.LiveweightGain, 'Input - Solid waste'!CommonLivestock_InputFunctions.LivestockMovement_ProportionHeadRemainingAtEndOfMonth(_xlpm.Month,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46">_xlfn.LAMBDA(_xlpm.Month,_xlpm.LivestockClass,_xlpm.HeadAtStart,_xlpm.LiveweightAtStart,_xlpm.LiveweightGain, Overview!CommonLivestock_InputFunctions.LivestockMovement_ProportionHeadRemainingAtEndOfMonth(_xlpm.Month,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44">_xlfn.LAMBDA(_xlpm.Month,_xlpm.LivestockClass,_xlpm.HeadAtStart, IFERROR(MIN(1, [0]!CommonLivestock_InputFunctions.LivestockMovement_HeadAddedDuringMonth(_xlpm.Month, _xlpm.LivestockClass) / '10.1.1-2 Solid waste treatment'!CommonLivestock_InputFunctions.LivestockMovement_HeadAtEndOfMonth(_xlpm.HeadAtStart, _xlpm.Month, _xlpm.LivestockClass)), 0))</definedName>
    <definedName name="CommonLivestock_InputFunctions.LivestockMovement_ProportionHeadAddedDuringMonth" localSheetId="31">_xlfn.LAMBDA(_xlpm.Month,_xlpm.LivestockClass,_xlpm.HeadAtStart, IFERROR(MIN(1, [0]!CommonLivestock_InputFunctions.LivestockMovement_HeadAddedDuringMonth(_xlpm.Month, _xlpm.LivestockClass) / '14.1.1-2 Purchased electricity'!CommonLivestock_InputFunctions.LivestockMovement_HeadAtEndOfMonth(_xlpm.HeadAtStart, _xlpm.Month, _xlpm.LivestockClass)), 0))</definedName>
    <definedName name="CommonLivestock_InputFunctions.LivestockMovement_ProportionHeadAddedDuringMonth" localSheetId="16">_xlfn.LAMBDA(_xlpm.Month,_xlpm.LivestockClass,_xlpm.HeadAtStart, IFERROR(MIN(1, [0]!CommonLivestock_InputFunctions.LivestockMovement_HeadAddedDuringMonth(_xlpm.Month, _xlpm.LivestockClass) / '3.2.1.1-2 Enteric Methane'!CommonLivestock_InputFunctions.LivestockMovement_HeadAtEndOfMonth(_xlpm.HeadAtStart, _xlpm.Month, _xlpm.LivestockClass)), 0))</definedName>
    <definedName name="CommonLivestock_InputFunctions.LivestockMovement_ProportionHeadAddedDuringMonth" localSheetId="17">_xlfn.LAMBDA(_xlpm.Month,_xlpm.LivestockClass,_xlpm.HeadAtStart, IFERROR(MIN(1, [0]!CommonLivestock_InputFunctions.LivestockMovement_HeadAddedDuringMonth(_xlpm.Month, _xlpm.LivestockClass) / '4.2.1.1-2 Methane'!CommonLivestock_InputFunctions.LivestockMovement_HeadAtEndOfMonth(_xlpm.HeadAtStart, _xlpm.Month, _xlpm.LivestockClass)), 0))</definedName>
    <definedName name="CommonLivestock_InputFunctions.LivestockMovement_ProportionHeadAddedDuringMonth" localSheetId="18">_xlfn.LAMBDA(_xlpm.Month,_xlpm.LivestockClass,_xlpm.HeadAtStart, IFERROR(MIN(1, [0]!CommonLivestock_InputFunctions.LivestockMovement_HeadAddedDuringMonth(_xlpm.Month, _xlpm.LivestockClass) / '4.2.1.3-4 Soil direct N20'!CommonLivestock_InputFunctions.LivestockMovement_HeadAtEndOfMonth(_xlpm.HeadAtStart, _xlpm.Month, _xlpm.LivestockClass)), 0))</definedName>
    <definedName name="CommonLivestock_InputFunctions.LivestockMovement_ProportionHeadAddedDuringMonth" localSheetId="19">_xlfn.LAMBDA(_xlpm.Month,_xlpm.LivestockClass,_xlpm.HeadAtStart, IFERROR(MIN(1, [0]!CommonLivestock_InputFunctions.LivestockMovement_HeadAddedDuringMonth(_xlpm.Month, _xlpm.LivestockClass) / '4.2.1.5-6 Soil Atmos Dep'!CommonLivestock_InputFunctions.LivestockMovement_HeadAtEndOfMonth(_xlpm.HeadAtStart, _xlpm.Month, _xlpm.LivestockClass)), 0))</definedName>
    <definedName name="CommonLivestock_InputFunctions.LivestockMovement_ProportionHeadAddedDuringMonth" localSheetId="20">_xlfn.LAMBDA(_xlpm.Month,_xlpm.LivestockClass,_xlpm.HeadAtStart, IFERROR(MIN(1, [0]!CommonLivestock_InputFunctions.LivestockMovement_HeadAddedDuringMonth(_xlpm.Month, _xlpm.LivestockClass) / '4.2.1.7-8 Soil leach runoff'!CommonLivestock_InputFunctions.LivestockMovement_HeadAtEndOfMonth(_xlpm.HeadAtStart, _xlpm.Month, _xlpm.LivestockClass)), 0))</definedName>
    <definedName name="CommonLivestock_InputFunctions.LivestockMovement_ProportionHeadAddedDuringMonth" localSheetId="21">_xlfn.LAMBDA(_xlpm.Month,_xlpm.LivestockClass,_xlpm.HeadAtStart, IFERROR(MIN(1, [0]!CommonLivestock_InputFunctions.LivestockMovement_HeadAddedDuringMonth(_xlpm.Month, _xlpm.LivestockClass) / '5.1.1.1-2 Inorganic fert N2O'!CommonLivestock_InputFunctions.LivestockMovement_HeadAtEndOfMonth(_xlpm.HeadAtStart, _xlpm.Month, _xlpm.LivestockClass)), 0))</definedName>
    <definedName name="CommonLivestock_InputFunctions.LivestockMovement_ProportionHeadAddedDuringMonth" localSheetId="22">_xlfn.LAMBDA(_xlpm.Month,_xlpm.LivestockClass,_xlpm.HeadAtStart, IFERROR(MIN(1, [0]!CommonLivestock_InputFunctions.LivestockMovement_HeadAddedDuringMonth(_xlpm.Month, _xlpm.LivestockClass) / '5.1.1.3-4 Inorganic fert CO2'!CommonLivestock_InputFunctions.LivestockMovement_HeadAtEndOfMonth(_xlpm.HeadAtStart, _xlpm.Month, _xlpm.LivestockClass)), 0))</definedName>
    <definedName name="CommonLivestock_InputFunctions.LivestockMovement_ProportionHeadAddedDuringMonth" localSheetId="23">_xlfn.LAMBDA(_xlpm.Month,_xlpm.LivestockClass,_xlpm.HeadAtStart, IFERROR(MIN(1, [0]!CommonLivestock_InputFunctions.LivestockMovement_HeadAddedDuringMonth(_xlpm.Month, _xlpm.LivestockClass) / '5.2.1.1-2 Organic Fert N2O'!CommonLivestock_InputFunctions.LivestockMovement_HeadAtEndOfMonth(_xlpm.HeadAtStart, _xlpm.Month, _xlpm.LivestockClass)), 0))</definedName>
    <definedName name="CommonLivestock_InputFunctions.LivestockMovement_ProportionHeadAddedDuringMonth" localSheetId="24">_xlfn.LAMBDA(_xlpm.Month,_xlpm.LivestockClass,_xlpm.HeadAtStart, IFERROR(MIN(1, [0]!CommonLivestock_InputFunctions.LivestockMovement_HeadAddedDuringMonth(_xlpm.Month, _xlpm.LivestockClass) / '5.3.1.1-2 Lime CO2'!CommonLivestock_InputFunctions.LivestockMovement_HeadAtEndOfMonth(_xlpm.HeadAtStart, _xlpm.Month, _xlpm.LivestockClass)), 0))</definedName>
    <definedName name="CommonLivestock_InputFunctions.LivestockMovement_ProportionHeadAddedDuringMonth" localSheetId="25">_xlfn.LAMBDA(_xlpm.Month,_xlpm.LivestockClass,_xlpm.HeadAtStart, IFERROR(MIN(1, [0]!CommonLivestock_InputFunctions.LivestockMovement_HeadAddedDuringMonth(_xlpm.Month, _xlpm.LivestockClass) / '5.4.1.1-4 Atmos deposition'!CommonLivestock_InputFunctions.LivestockMovement_HeadAtEndOfMonth(_xlpm.HeadAtStart, _xlpm.Month, _xlpm.LivestockClass)), 0))</definedName>
    <definedName name="CommonLivestock_InputFunctions.LivestockMovement_ProportionHeadAddedDuringMonth" localSheetId="26">_xlfn.LAMBDA(_xlpm.Month,_xlpm.LivestockClass,_xlpm.HeadAtStart, IFERROR(MIN(1, [0]!CommonLivestock_InputFunctions.LivestockMovement_HeadAddedDuringMonth(_xlpm.Month, _xlpm.LivestockClass) / '5.5.1.1-2 Leaching and runoff'!CommonLivestock_InputFunctions.LivestockMovement_HeadAtEndOfMonth(_xlpm.HeadAtStart, _xlpm.Month, _xlpm.LivestockClass)), 0))</definedName>
    <definedName name="CommonLivestock_InputFunctions.LivestockMovement_ProportionHeadAddedDuringMonth" localSheetId="27">_xlfn.LAMBDA(_xlpm.Month,_xlpm.LivestockClass,_xlpm.HeadAtStart, IFERROR(MIN(1, [0]!CommonLivestock_InputFunctions.LivestockMovement_HeadAddedDuringMonth(_xlpm.Month, _xlpm.LivestockClass) / '6.2.1.1-2 Pasture residue N2O'!CommonLivestock_InputFunctions.LivestockMovement_HeadAtEndOfMonth(_xlpm.HeadAtStart, _xlpm.Month, _xlpm.LivestockClass)), 0))</definedName>
    <definedName name="CommonLivestock_InputFunctions.LivestockMovement_ProportionHeadAddedDuringMonth" localSheetId="28">_xlfn.LAMBDA(_xlpm.Month,_xlpm.LivestockClass,_xlpm.HeadAtStart, IFERROR(MIN(1, [0]!CommonLivestock_InputFunctions.LivestockMovement_HeadAddedDuringMonth(_xlpm.Month, _xlpm.LivestockClass) / '6.3.1.1-2 Leach runoff pasture'!CommonLivestock_InputFunctions.LivestockMovement_HeadAtEndOfMonth(_xlpm.HeadAtStart, _xlpm.Month, _xlpm.LivestockClass)), 0))</definedName>
    <definedName name="CommonLivestock_InputFunctions.LivestockMovement_ProportionHeadAddedDuringMonth" localSheetId="29">_xlfn.LAMBDA(_xlpm.Month,_xlpm.LivestockClass,_xlpm.HeadAtStart, IFERROR(MIN(1, [0]!CommonLivestock_InputFunctions.LivestockMovement_HeadAddedDuringMonth(_xlpm.Month, _xlpm.LivestockClass) / '8.1.1.1-2 Transport fuel'!CommonLivestock_InputFunctions.LivestockMovement_HeadAtEndOfMonth(_xlpm.HeadAtStart, _xlpm.Month, _xlpm.LivestockClass)), 0))</definedName>
    <definedName name="CommonLivestock_InputFunctions.LivestockMovement_ProportionHeadAddedDuringMonth" localSheetId="30">_xlfn.LAMBDA(_xlpm.Month,_xlpm.LivestockClass,_xlpm.HeadAtStart, IFERROR(MIN(1, [0]!CommonLivestock_InputFunctions.LivestockMovement_HeadAddedDuringMonth(_xlpm.Month, _xlpm.LivestockClass) / '8.2.1.1-2 Stationary fuel'!CommonLivestock_InputFunctions.LivestockMovement_HeadAtEndOfMonth(_xlpm.HeadAtStart, _xlpm.Month, _xlpm.LivestockClass)), 0))</definedName>
    <definedName name="CommonLivestock_InputFunctions.LivestockMovement_ProportionHeadAddedDuringMonth" localSheetId="42">_xlfn.LAMBDA(_xlpm.Month,_xlpm.LivestockClass,_xlpm.HeadAtStart, IFERROR(MIN(1, [0]!CommonLivestock_InputFunctions.LivestockMovement_HeadAddedDuringMonth(_xlpm.Month, _xlpm.LivestockClass) / Acknowledgements!CommonLivestock_InputFunctions.LivestockMovement_HeadAtEndOfMonth(_xlpm.HeadAtStart, _xlpm.Month, _xlpm.LivestockClass)), 0))</definedName>
    <definedName name="CommonLivestock_InputFunctions.LivestockMovement_ProportionHeadAddedDuringMonth" localSheetId="35">_xlfn.LAMBDA(_xlpm.Month,_xlpm.LivestockClass,_xlpm.HeadAtStart, IFERROR(MIN(1, [0]!CommonLivestock_InputFunctions.LivestockMovement_HeadAddedDuringMonth(_xlpm.Month, _xlpm.LivestockClass) / 'Constants - Ag Residue'!CommonLivestock_InputFunctions.LivestockMovement_HeadAtEndOfMonth(_xlpm.HeadAtStart, _xlpm.Month, _xlpm.LivestockClass)), 0))</definedName>
    <definedName name="CommonLivestock_InputFunctions.LivestockMovement_ProportionHeadAddedDuringMonth" localSheetId="36">_xlfn.LAMBDA(_xlpm.Month,_xlpm.LivestockClass,_xlpm.HeadAtStart, IFERROR(MIN(1, [0]!CommonLivestock_InputFunctions.LivestockMovement_HeadAddedDuringMonth(_xlpm.Month, _xlpm.LivestockClass) / 'Constants - Common Livestock'!CommonLivestock_InputFunctions.LivestockMovement_HeadAtEndOfMonth(_xlpm.HeadAtStart, _xlpm.Month, _xlpm.LivestockClass)), 0))</definedName>
    <definedName name="CommonLivestock_InputFunctions.LivestockMovement_ProportionHeadAddedDuringMonth" localSheetId="37">_xlfn.LAMBDA(_xlpm.Month,_xlpm.LivestockClass,_xlpm.HeadAtStart, IFERROR(MIN(1, [0]!CommonLivestock_InputFunctions.LivestockMovement_HeadAddedDuringMonth(_xlpm.Month, _xlpm.LivestockClass) / 'Constants - Electricity'!CommonLivestock_InputFunctions.LivestockMovement_HeadAtEndOfMonth(_xlpm.HeadAtStart, _xlpm.Month, _xlpm.LivestockClass)), 0))</definedName>
    <definedName name="CommonLivestock_InputFunctions.LivestockMovement_ProportionHeadAddedDuringMonth" localSheetId="38">_xlfn.LAMBDA(_xlpm.Month,_xlpm.LivestockClass,_xlpm.HeadAtStart, IFERROR(MIN(1, [0]!CommonLivestock_InputFunctions.LivestockMovement_HeadAddedDuringMonth(_xlpm.Month, _xlpm.LivestockClass) / 'Constants - Fertiliser'!CommonLivestock_InputFunctions.LivestockMovement_HeadAtEndOfMonth(_xlpm.HeadAtStart, _xlpm.Month, _xlpm.LivestockClass)), 0))</definedName>
    <definedName name="CommonLivestock_InputFunctions.LivestockMovement_ProportionHeadAddedDuringMonth" localSheetId="39">_xlfn.LAMBDA(_xlpm.Month,_xlpm.LivestockClass,_xlpm.HeadAtStart, IFERROR(MIN(1, [0]!CommonLivestock_InputFunctions.LivestockMovement_HeadAddedDuringMonth(_xlpm.Month,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34">_xlfn.LAMBDA(_xlpm.Month,_xlpm.LivestockClass,_xlpm.HeadAtStart, IFERROR(MIN(1, [0]!CommonLivestock_InputFunctions.LivestockMovement_HeadAddedDuringMonth(_xlpm.Month, _xlpm.LivestockClass) / 'Constants - Pasture Beef'!CommonLivestock_InputFunctions.LivestockMovement_HeadAtEndOfMonth(_xlpm.HeadAtStart, _xlpm.Month, _xlpm.LivestockClass)), 0))</definedName>
    <definedName name="CommonLivestock_InputFunctions.LivestockMovement_ProportionHeadAddedDuringMonth" localSheetId="45">_xlfn.LAMBDA(_xlpm.Month,_xlpm.LivestockClass,_xlpm.HeadAtStart, IFERROR(MIN(1, [0]!CommonLivestock_InputFunctions.LivestockMovement_HeadAddedDuringMonth(_xlpm.Month, _xlpm.LivestockClass) / 'Constants - Solid Waste'!CommonLivestock_InputFunctions.LivestockMovement_HeadAtEndOfMonth(_xlpm.HeadAtStart, _xlpm.Month, _xlpm.LivestockClass)), 0))</definedName>
    <definedName name="CommonLivestock_InputFunctions.LivestockMovement_ProportionHeadAddedDuringMonth" localSheetId="12">_xlfn.LAMBDA(_xlpm.Month,_xlpm.LivestockClass,_xlpm.HeadAtStart, IFERROR(MIN(1, [0]!CommonLivestock_InputFunctions.LivestockMovement_HeadAddedDuringMonth(_xlpm.Month, _xlpm.LivestockClass) / 'Input - Electricity'!CommonLivestock_InputFunctions.LivestockMovement_HeadAtEndOfMonth(_xlpm.HeadAtStart, _xlpm.Month, _xlpm.LivestockClass)), 0))</definedName>
    <definedName name="CommonLivestock_InputFunctions.LivestockMovement_ProportionHeadAddedDuringMonth" localSheetId="10">_xlfn.LAMBDA(_xlpm.Month,_xlpm.LivestockClass,_xlpm.HeadAtStart, IFERROR(MIN(1, [0]!CommonLivestock_InputFunctions.LivestockMovement_HeadAddedDuringMonth(_xlpm.Month, _xlpm.LivestockClass) / 'Input - Fertiliser'!CommonLivestock_InputFunctions.LivestockMovement_HeadAtEndOfMonth(_xlpm.HeadAtStart, _xlpm.Month, _xlpm.LivestockClass)), 0))</definedName>
    <definedName name="CommonLivestock_InputFunctions.LivestockMovement_ProportionHeadAddedDuringMonth" localSheetId="11">_xlfn.LAMBDA(_xlpm.Month,_xlpm.LivestockClass,_xlpm.HeadAtStart, IFERROR(MIN(1, [0]!CommonLivestock_InputFunctions.LivestockMovement_HeadAddedDuringMonth(_xlpm.Month,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 localSheetId="8">_xlfn.LAMBDA(_xlpm.Month,_xlpm.LivestockClass,_xlpm.HeadAtStart, IFERROR(MIN(1, [0]!CommonLivestock_InputFunctions.LivestockMovement_HeadAddedDuringMonth(_xlpm.Month, _xlpm.LivestockClass) / 'Input - Pasture'!CommonLivestock_InputFunctions.LivestockMovement_HeadAtEndOfMonth(_xlpm.HeadAtStart,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[0]!CommonLivestock_InputFunctions.LivestockMovement_HeadAddedDuringMonth(_xlpm.Month, _xlpm.LivestockClass) / 'Input - Pasture Beef (Enteric)'!CommonLivestock_InputFunctions.LivestockMovement_HeadAtEndOfMonth(_xlpm.HeadAtStart, _xlpm.Month, _xlpm.LivestockClass)), 0))</definedName>
    <definedName name="CommonLivestock_InputFunctions.LivestockMovement_ProportionHeadAddedDuringMonth" localSheetId="43">_xlfn.LAMBDA(_xlpm.Month,_xlpm.LivestockClass,_xlpm.HeadAtStart, IFERROR(MIN(1, [0]!CommonLivestock_InputFunctions.LivestockMovement_HeadAddedDuringMonth(_xlpm.Month, _xlpm.LivestockClass) / 'Input - Solid waste'!CommonLivestock_InputFunctions.LivestockMovement_HeadAtEndOfMonth(_xlpm.HeadAtStart, _xlpm.Month, _xlpm.LivestockClass)), 0))</definedName>
    <definedName name="CommonLivestock_InputFunctions.LivestockMovement_ProportionHeadAddedDuringMonth" localSheetId="46">_xlfn.LAMBDA(_xlpm.Month,_xlpm.LivestockClass,_xlpm.HeadAtStart, IFERROR(MIN(1, [0]!CommonLivestock_InputFunctions.LivestockMovement_HeadAddedDuringMonth(_xlpm.Month, _xlpm.LivestockClass) / Overview!CommonLivestock_InputFunctions.LivestockMovement_HeadAtEndOfMonth(_xlpm.HeadAtStart,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44">_xlfn.LAMBDA(_xlpm.Month,_xlpm.LivestockClass,_xlpm.HeadAtStart, IFERROR(MIN(1, '10.1.1-2 Solid waste treatment'!CommonLivestock_InputFunctions.LivestockMovement_HeadRemainingAtMonthEnd(_xlpm.Month, _xlpm.LivestockClass, _xlpm.HeadAtStart) / '10.1.1-2 Solid waste treatment'!CommonLivestock_InputFunctions.LivestockMovement_HeadAtEndOfMonth(_xlpm.HeadAtStart, _xlpm.Month, _xlpm.LivestockClass)), 0))</definedName>
    <definedName name="CommonLivestock_InputFunctions.LivestockMovement_ProportionHeadRemainingAtEndOfMonth" localSheetId="31">_xlfn.LAMBDA(_xlpm.Month,_xlpm.LivestockClass,_xlpm.HeadAtStart, IFERROR(MIN(1, '14.1.1-2 Purchased electricity'!CommonLivestock_InputFunctions.LivestockMovement_HeadRemainingAtMonthEnd(_xlpm.Month, _xlpm.LivestockClass, _xlpm.HeadAtStart) / '14.1.1-2 Purchased electricity'!CommonLivestock_InputFunctions.LivestockMovement_HeadAtEndOfMonth(_xlpm.HeadAtStart, _xlpm.Month, _xlpm.LivestockClass)), 0))</definedName>
    <definedName name="CommonLivestock_InputFunctions.LivestockMovement_ProportionHeadRemainingAtEndOfMonth" localSheetId="16">_xlfn.LAMBDA(_xlpm.Month,_xlpm.LivestockClass,_xlpm.HeadAtStart, IFERROR(MIN(1, '3.2.1.1-2 Enteric Methane'!CommonLivestock_InputFunctions.LivestockMovement_HeadRemainingAtMonthEnd(_xlpm.Month, _xlpm.LivestockClass, _xlpm.HeadAtStart) / '3.2.1.1-2 Enteric Methane'!CommonLivestock_InputFunctions.LivestockMovement_HeadAtEndOfMonth(_xlpm.HeadAtStart, _xlpm.Month, _xlpm.LivestockClass)), 0))</definedName>
    <definedName name="CommonLivestock_InputFunctions.LivestockMovement_ProportionHeadRemainingAtEndOfMonth" localSheetId="17">_xlfn.LAMBDA(_xlpm.Month,_xlpm.LivestockClass,_xlpm.HeadAtStart, IFERROR(MIN(1, '4.2.1.1-2 Methane'!CommonLivestock_InputFunctions.LivestockMovement_HeadRemainingAtMonthEnd(_xlpm.Month, _xlpm.LivestockClass, _xlpm.HeadAtStart) / '4.2.1.1-2 Methane'!CommonLivestock_InputFunctions.LivestockMovement_HeadAtEndOfMonth(_xlpm.HeadAtStart, _xlpm.Month, _xlpm.LivestockClass)), 0))</definedName>
    <definedName name="CommonLivestock_InputFunctions.LivestockMovement_ProportionHeadRemainingAtEndOfMonth" localSheetId="18">_xlfn.LAMBDA(_xlpm.Month,_xlpm.LivestockClass,_xlpm.HeadAtStart, IFERROR(MIN(1, '4.2.1.3-4 Soil direct N20'!CommonLivestock_InputFunctions.LivestockMovement_HeadRemainingAtMonthEnd(_xlpm.Month, _xlpm.LivestockClass, _xlpm.HeadAtStart) / '4.2.1.3-4 Soil direct N20'!CommonLivestock_InputFunctions.LivestockMovement_HeadAtEndOfMonth(_xlpm.HeadAtStart, _xlpm.Month, _xlpm.LivestockClass)), 0))</definedName>
    <definedName name="CommonLivestock_InputFunctions.LivestockMovement_ProportionHeadRemainingAtEndOfMonth" localSheetId="19">_xlfn.LAMBDA(_xlpm.Month,_xlpm.LivestockClass,_xlpm.HeadAtStart, IFERROR(MIN(1, '4.2.1.5-6 Soil Atmos Dep'!CommonLivestock_InputFunctions.LivestockMovement_HeadRemainingAtMonthEnd(_xlpm.Month, _xlpm.LivestockClass, _xlpm.HeadAtStart) / '4.2.1.5-6 Soil Atmos Dep'!CommonLivestock_InputFunctions.LivestockMovement_HeadAtEndOfMonth(_xlpm.HeadAtStart, _xlpm.Month, _xlpm.LivestockClass)), 0))</definedName>
    <definedName name="CommonLivestock_InputFunctions.LivestockMovement_ProportionHeadRemainingAtEndOfMonth" localSheetId="20">_xlfn.LAMBDA(_xlpm.Month,_xlpm.LivestockClass,_xlpm.HeadAtStart, IFERROR(MIN(1, '4.2.1.7-8 Soil leach runoff'!CommonLivestock_InputFunctions.LivestockMovement_HeadRemainingAtMonthEnd(_xlpm.Month, _xlpm.LivestockClass, _xlpm.HeadAtStart) / '4.2.1.7-8 Soil leach runoff'!CommonLivestock_InputFunctions.LivestockMovement_HeadAtEndOfMonth(_xlpm.HeadAtStart, _xlpm.Month, _xlpm.LivestockClass)), 0))</definedName>
    <definedName name="CommonLivestock_InputFunctions.LivestockMovement_ProportionHeadRemainingAtEndOfMonth" localSheetId="21">_xlfn.LAMBDA(_xlpm.Month,_xlpm.LivestockClass,_xlpm.HeadAtStart, IFERROR(MIN(1, '5.1.1.1-2 Inorganic fert N2O'!CommonLivestock_InputFunctions.LivestockMovement_HeadRemainingAtMonthEnd(_xlpm.Month, _xlpm.LivestockClass, _xlpm.HeadAtStart) / '5.1.1.1-2 Inorganic fert N2O'!CommonLivestock_InputFunctions.LivestockMovement_HeadAtEndOfMonth(_xlpm.HeadAtStart, _xlpm.Month, _xlpm.LivestockClass)), 0))</definedName>
    <definedName name="CommonLivestock_InputFunctions.LivestockMovement_ProportionHeadRemainingAtEndOfMonth" localSheetId="22">_xlfn.LAMBDA(_xlpm.Month,_xlpm.LivestockClass,_xlpm.HeadAtStart, IFERROR(MIN(1, '5.1.1.3-4 Inorganic fert CO2'!CommonLivestock_InputFunctions.LivestockMovement_HeadRemainingAtMonthEnd(_xlpm.Month, _xlpm.LivestockClass, _xlpm.HeadAtStart) / '5.1.1.3-4 Inorganic fert CO2'!CommonLivestock_InputFunctions.LivestockMovement_HeadAtEndOfMonth(_xlpm.HeadAtStart, _xlpm.Month, _xlpm.LivestockClass)), 0))</definedName>
    <definedName name="CommonLivestock_InputFunctions.LivestockMovement_ProportionHeadRemainingAtEndOfMonth" localSheetId="23">_xlfn.LAMBDA(_xlpm.Month,_xlpm.LivestockClass,_xlpm.HeadAtStart, IFERROR(MIN(1, '5.2.1.1-2 Organic Fert N2O'!CommonLivestock_InputFunctions.LivestockMovement_HeadRemainingAtMonthEnd(_xlpm.Month, _xlpm.LivestockClass, _xlpm.HeadAtStart) / '5.2.1.1-2 Organic Fert N2O'!CommonLivestock_InputFunctions.LivestockMovement_HeadAtEndOfMonth(_xlpm.HeadAtStart, _xlpm.Month, _xlpm.LivestockClass)), 0))</definedName>
    <definedName name="CommonLivestock_InputFunctions.LivestockMovement_ProportionHeadRemainingAtEndOfMonth" localSheetId="24">_xlfn.LAMBDA(_xlpm.Month,_xlpm.LivestockClass,_xlpm.HeadAtStart, IFERROR(MIN(1, '5.3.1.1-2 Lime CO2'!CommonLivestock_InputFunctions.LivestockMovement_HeadRemainingAtMonthEnd(_xlpm.Month, _xlpm.LivestockClass, _xlpm.HeadAtStart) / '5.3.1.1-2 Lime CO2'!CommonLivestock_InputFunctions.LivestockMovement_HeadAtEndOfMonth(_xlpm.HeadAtStart, _xlpm.Month, _xlpm.LivestockClass)), 0))</definedName>
    <definedName name="CommonLivestock_InputFunctions.LivestockMovement_ProportionHeadRemainingAtEndOfMonth" localSheetId="25">_xlfn.LAMBDA(_xlpm.Month,_xlpm.LivestockClass,_xlpm.HeadAtStart, IFERROR(MIN(1, '5.4.1.1-4 Atmos deposition'!CommonLivestock_InputFunctions.LivestockMovement_HeadRemainingAtMonthEnd(_xlpm.Month, _xlpm.LivestockClass, _xlpm.HeadAtStart) / '5.4.1.1-4 Atmos deposition'!CommonLivestock_InputFunctions.LivestockMovement_HeadAtEndOfMonth(_xlpm.HeadAtStart, _xlpm.Month, _xlpm.LivestockClass)), 0))</definedName>
    <definedName name="CommonLivestock_InputFunctions.LivestockMovement_ProportionHeadRemainingAtEndOfMonth" localSheetId="26">_xlfn.LAMBDA(_xlpm.Month,_xlpm.LivestockClass,_xlpm.HeadAtStart, IFERROR(MIN(1, '5.5.1.1-2 Leaching and runoff'!CommonLivestock_InputFunctions.LivestockMovement_HeadRemainingAtMonthEnd(_xlpm.Month, _xlpm.LivestockClass, _xlpm.HeadAtStart) / '5.5.1.1-2 Leaching and runoff'!CommonLivestock_InputFunctions.LivestockMovement_HeadAtEndOfMonth(_xlpm.HeadAtStart, _xlpm.Month, _xlpm.LivestockClass)), 0))</definedName>
    <definedName name="CommonLivestock_InputFunctions.LivestockMovement_ProportionHeadRemainingAtEndOfMonth" localSheetId="27">_xlfn.LAMBDA(_xlpm.Month,_xlpm.LivestockClass,_xlpm.HeadAtStart, IFERROR(MIN(1, '6.2.1.1-2 Pasture residue N2O'!CommonLivestock_InputFunctions.LivestockMovement_HeadRemainingAtMonthEnd(_xlpm.Month, _xlpm.LivestockClass, _xlpm.HeadAtStart) / '6.2.1.1-2 Pasture residue N2O'!CommonLivestock_InputFunctions.LivestockMovement_HeadAtEndOfMonth(_xlpm.HeadAtStart, _xlpm.Month, _xlpm.LivestockClass)), 0))</definedName>
    <definedName name="CommonLivestock_InputFunctions.LivestockMovement_ProportionHeadRemainingAtEndOfMonth" localSheetId="28">_xlfn.LAMBDA(_xlpm.Month,_xlpm.LivestockClass,_xlpm.HeadAtStart, IFERROR(MIN(1, '6.3.1.1-2 Leach runoff pasture'!CommonLivestock_InputFunctions.LivestockMovement_HeadRemainingAtMonthEnd(_xlpm.Month, _xlpm.LivestockClass, _xlpm.HeadAtStart) / '6.3.1.1-2 Leach runoff pasture'!CommonLivestock_InputFunctions.LivestockMovement_HeadAtEndOfMonth(_xlpm.HeadAtStart, _xlpm.Month, _xlpm.LivestockClass)), 0))</definedName>
    <definedName name="CommonLivestock_InputFunctions.LivestockMovement_ProportionHeadRemainingAtEndOfMonth" localSheetId="29">_xlfn.LAMBDA(_xlpm.Month,_xlpm.LivestockClass,_xlpm.HeadAtStart, IFERROR(MIN(1, '8.1.1.1-2 Transport fuel'!CommonLivestock_InputFunctions.LivestockMovement_HeadRemainingAtMonthEnd(_xlpm.Month, _xlpm.LivestockClass, _xlpm.HeadAtStart) / '8.1.1.1-2 Transport fuel'!CommonLivestock_InputFunctions.LivestockMovement_HeadAtEndOfMonth(_xlpm.HeadAtStart, _xlpm.Month, _xlpm.LivestockClass)), 0))</definedName>
    <definedName name="CommonLivestock_InputFunctions.LivestockMovement_ProportionHeadRemainingAtEndOfMonth" localSheetId="30">_xlfn.LAMBDA(_xlpm.Month,_xlpm.LivestockClass,_xlpm.HeadAtStart, IFERROR(MIN(1, '8.2.1.1-2 Stationary fuel'!CommonLivestock_InputFunctions.LivestockMovement_HeadRemainingAtMonthEnd(_xlpm.Month, _xlpm.LivestockClass, _xlpm.HeadAtStart) / '8.2.1.1-2 Stationary fuel'!CommonLivestock_InputFunctions.LivestockMovement_HeadAtEndOfMonth(_xlpm.HeadAtStart, _xlpm.Month, _xlpm.LivestockClass)), 0))</definedName>
    <definedName name="CommonLivestock_InputFunctions.LivestockMovement_ProportionHeadRemainingAtEndOfMonth" localSheetId="42">_xlfn.LAMBDA(_xlpm.Month,_xlpm.LivestockClass,_xlpm.HeadAtStart, IFERROR(MIN(1, Acknowledgements!CommonLivestock_InputFunctions.LivestockMovement_HeadRemainingAtMonthEnd(_xlpm.Month, _xlpm.LivestockClass, _xlpm.HeadAtStart) / Acknowledgements!CommonLivestock_InputFunctions.LivestockMovement_HeadAtEndOfMonth(_xlpm.HeadAtStart, _xlpm.Month, _xlpm.LivestockClass)), 0))</definedName>
    <definedName name="CommonLivestock_InputFunctions.LivestockMovement_ProportionHeadRemainingAtEndOfMonth" localSheetId="35">_xlfn.LAMBDA(_xlpm.Month,_xlpm.LivestockClass,_xlpm.HeadAtStart, IFERROR(MIN(1, 'Constants - Ag Residue'!CommonLivestock_InputFunctions.LivestockMovement_HeadRemainingAtMonthEnd(_xlpm.Month, _xlpm.LivestockClass, _xlpm.HeadAtStart) / 'Constants - Ag Residue'!CommonLivestock_InputFunctions.LivestockMovement_HeadAtEndOfMonth(_xlpm.HeadAtStart, _xlpm.Month, _xlpm.LivestockClass)), 0))</definedName>
    <definedName name="CommonLivestock_InputFunctions.LivestockMovement_ProportionHeadRemainingAtEndOfMonth" localSheetId="36">_xlfn.LAMBDA(_xlpm.Month,_xlpm.LivestockClass,_xlpm.HeadAtStart, IFERROR(MIN(1, 'Constants - Common Livestock'!CommonLivestock_InputFunctions.LivestockMovement_HeadRemainingAtMonthEnd(_xlpm.Month, _xlpm.LivestockClass, _xlpm.HeadAtStart) / 'Constants - Common Livestock'!CommonLivestock_InputFunctions.LivestockMovement_HeadAtEndOfMonth(_xlpm.HeadAtStart, _xlpm.Month, _xlpm.LivestockClass)), 0))</definedName>
    <definedName name="CommonLivestock_InputFunctions.LivestockMovement_ProportionHeadRemainingAtEndOfMonth" localSheetId="37">_xlfn.LAMBDA(_xlpm.Month,_xlpm.LivestockClass,_xlpm.HeadAtStart, IFERROR(MIN(1, 'Constants - Electricity'!CommonLivestock_InputFunctions.LivestockMovement_HeadRemainingAtMonthEnd(_xlpm.Month, _xlpm.LivestockClass, _xlpm.HeadAtStart) / 'Constants - Electricity'!CommonLivestock_InputFunctions.LivestockMovement_HeadAtEndOfMonth(_xlpm.HeadAtStart, _xlpm.Month, _xlpm.LivestockClass)), 0))</definedName>
    <definedName name="CommonLivestock_InputFunctions.LivestockMovement_ProportionHeadRemainingAtEndOfMonth" localSheetId="38">_xlfn.LAMBDA(_xlpm.Month,_xlpm.LivestockClass,_xlpm.HeadAtStart, IFERROR(MIN(1, 'Constants - Fertiliser'!CommonLivestock_InputFunctions.LivestockMovement_HeadRemainingAtMonthEnd(_xlpm.Month, _xlpm.LivestockClass, _xlpm.HeadAtStart) / 'Constants - Fertiliser'!CommonLivestock_InputFunctions.LivestockMovement_HeadAtEndOfMonth(_xlpm.HeadAtStart, _xlpm.Month, _xlpm.LivestockClass)), 0))</definedName>
    <definedName name="CommonLivestock_InputFunctions.LivestockMovement_ProportionHeadRemainingAtEndOfMonth" localSheetId="39">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34">_xlfn.LAMBDA(_xlpm.Month,_xlpm.LivestockClass,_xlpm.HeadAtStart, IFERROR(MIN(1, 'Constants - Pasture Beef'!CommonLivestock_InputFunctions.LivestockMovement_HeadRemainingAtMonthEnd(_xlpm.Month, _xlpm.LivestockClass, _xlpm.HeadAtStart) / 'Constants - Pasture Beef'!CommonLivestock_InputFunctions.LivestockMovement_HeadAtEndOfMonth(_xlpm.HeadAtStart, _xlpm.Month, _xlpm.LivestockClass)), 0))</definedName>
    <definedName name="CommonLivestock_InputFunctions.LivestockMovement_ProportionHeadRemainingAtEndOfMonth" localSheetId="45">_xlfn.LAMBDA(_xlpm.Month,_xlpm.LivestockClass,_xlpm.HeadAtStart, IFERROR(MIN(1, 'Constants - Solid Waste'!CommonLivestock_InputFunctions.LivestockMovement_HeadRemainingAtMonthEnd(_xlpm.Month, _xlpm.LivestockClass, _xlpm.HeadAtStart) / 'Constants - Solid Waste'!CommonLivestock_InputFunctions.LivestockMovement_HeadAtEndOfMonth(_xlpm.HeadAtStart, _xlpm.Month, _xlpm.LivestockClass)), 0))</definedName>
    <definedName name="CommonLivestock_InputFunctions.LivestockMovement_ProportionHeadRemainingAtEndOfMonth" localSheetId="12">_xlfn.LAMBDA(_xlpm.Month,_xlpm.LivestockClass,_xlpm.HeadAtStart, IFERROR(MIN(1, 'Input - Electricity'!CommonLivestock_InputFunctions.LivestockMovement_HeadRemainingAtMonthEnd(_xlpm.Month, _xlpm.LivestockClass, _xlpm.HeadAtStart) / 'Input - Electricity'!CommonLivestock_InputFunctions.LivestockMovement_HeadAtEndOfMonth(_xlpm.HeadAtStart, _xlpm.Month, _xlpm.LivestockClass)), 0))</definedName>
    <definedName name="CommonLivestock_InputFunctions.LivestockMovement_ProportionHeadRemainingAtEndOfMonth" localSheetId="10">_xlfn.LAMBDA(_xlpm.Month,_xlpm.LivestockClass,_xlpm.HeadAtStart, IFERROR(MIN(1, 'Input - Fertiliser'!CommonLivestock_InputFunctions.LivestockMovement_HeadRemainingAtMonthEnd(_xlpm.Month, _xlpm.LivestockClass, _xlpm.HeadAtStart) / 'Input - Fertiliser'!CommonLivestock_InputFunctions.LivestockMovement_HeadAtEndOfMonth(_xlpm.HeadAtStart, _xlpm.Month, _xlpm.LivestockClass)), 0))</definedName>
    <definedName name="CommonLivestock_InputFunctions.LivestockMovement_ProportionHeadRemainingAtEndOfMonth" localSheetId="11">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 localSheetId="8">_xlfn.LAMBDA(_xlpm.Month,_xlpm.LivestockClass,_xlpm.HeadAtStart, IFERROR(MIN(1, 'Input - Pasture'!CommonLivestock_InputFunctions.LivestockMovement_HeadRemainingAtMonthEnd(_xlpm.Month, _xlpm.LivestockClass, _xlpm.HeadAtStart) / 'Input - Pasture'!CommonLivestock_InputFunctions.LivestockMovement_HeadAtEndOfMonth(_xlpm.HeadAtStart,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'Input - Pasture Beef (Enteric)'!CommonLivestock_InputFunctions.LivestockMovement_HeadRemainingAtMonthEnd(_xlpm.Month, _xlpm.LivestockClass, _xlpm.HeadAtStart) / 'Input - Pasture Beef (Enteric)'!CommonLivestock_InputFunctions.LivestockMovement_HeadAtEndOfMonth(_xlpm.HeadAtStart, _xlpm.Month, _xlpm.LivestockClass)), 0))</definedName>
    <definedName name="CommonLivestock_InputFunctions.LivestockMovement_ProportionHeadRemainingAtEndOfMonth" localSheetId="43">_xlfn.LAMBDA(_xlpm.Month,_xlpm.LivestockClass,_xlpm.HeadAtStart, IFERROR(MIN(1, 'Input - Solid waste'!CommonLivestock_InputFunctions.LivestockMovement_HeadRemainingAtMonthEnd(_xlpm.Month, _xlpm.LivestockClass, _xlpm.HeadAtStart) / 'Input - Solid waste'!CommonLivestock_InputFunctions.LivestockMovement_HeadAtEndOfMonth(_xlpm.HeadAtStart, _xlpm.Month, _xlpm.LivestockClass)), 0))</definedName>
    <definedName name="CommonLivestock_InputFunctions.LivestockMovement_ProportionHeadRemainingAtEndOfMonth" localSheetId="46">_xlfn.LAMBDA(_xlpm.Month,_xlpm.LivestockClass,_xlpm.HeadAtStart, IFERROR(MIN(1, Overview!CommonLivestock_InputFunctions.LivestockMovement_HeadRemainingAtMonthEnd(_xlpm.Month, _xlpm.LivestockClass, _xlpm.HeadAtStart) / Overview!CommonLivestock_InputFunctions.LivestockMovement_HeadAtEndOfMonth(_xlpm.HeadAtStart,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44">_xlfn.LAMBDA(_xlpm.Month,_xlpm.LivestockClass,_xlpm.HeadAtStart, '10.1.1-2 Solid waste treatment'!CommonLivestock_InputFunctions.LivestockMovement_LiveweightGrownFromMonthStartTotal(_xlpm.LivestockClass,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1">_xlfn.LAMBDA(_xlpm.Month,_xlpm.LivestockClass,_xlpm.HeadAtStart, '14.1.1-2 Purchased electricity'!CommonLivestock_InputFunctions.LivestockMovement_LiveweightGrownFromMonthStartTotal(_xlpm.LivestockClass,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6">_xlfn.LAMBDA(_xlpm.Month,_xlpm.LivestockClass,_xlpm.HeadAtStart, '3.2.1.1-2 Enteric Methane'!CommonLivestock_InputFunctions.LivestockMovement_LiveweightGrownFromMonthStartTotal(_xlpm.LivestockClass,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7">_xlfn.LAMBDA(_xlpm.Month,_xlpm.LivestockClass,_xlpm.HeadAtStart, '4.2.1.1-2 Methane'!CommonLivestock_InputFunctions.LivestockMovement_LiveweightGrownFromMonthStartTotal(_xlpm.LivestockClass,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8">_xlfn.LAMBDA(_xlpm.Month,_xlpm.LivestockClass,_xlpm.HeadAtStart, '4.2.1.3-4 Soil direct N20'!CommonLivestock_InputFunctions.LivestockMovement_LiveweightGrownFromMonthStartTotal(_xlpm.LivestockClass,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9">_xlfn.LAMBDA(_xlpm.Month,_xlpm.LivestockClass,_xlpm.HeadAtStart, '4.2.1.5-6 Soil Atmos Dep'!CommonLivestock_InputFunctions.LivestockMovement_LiveweightGrownFromMonthStartTotal(_xlpm.LivestockClass,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0">_xlfn.LAMBDA(_xlpm.Month,_xlpm.LivestockClass,_xlpm.HeadAtStart, '4.2.1.7-8 Soil leach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1">_xlfn.LAMBDA(_xlpm.Month,_xlpm.LivestockClass,_xlpm.HeadAtStart, '5.1.1.1-2 Inorganic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2">_xlfn.LAMBDA(_xlpm.Month,_xlpm.LivestockClass,_xlpm.HeadAtStart, '5.1.1.3-4 Inorganic fert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3">_xlfn.LAMBDA(_xlpm.Month,_xlpm.LivestockClass,_xlpm.HeadAtStart, '5.2.1.1-2 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4">_xlfn.LAMBDA(_xlpm.Month,_xlpm.LivestockClass,_xlpm.HeadAtStart, '5.3.1.1-2 Lime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5">_xlfn.LAMBDA(_xlpm.Month,_xlpm.LivestockClass,_xlpm.HeadAtStart, '5.4.1.1-4 Atmos deposition'!CommonLivestock_InputFunctions.LivestockMovement_LiveweightGrownFromMonthStartTotal(_xlpm.LivestockClass,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6">_xlfn.LAMBDA(_xlpm.Month,_xlpm.LivestockClass,_xlpm.HeadAtStart, '5.5.1.1-2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7">_xlfn.LAMBDA(_xlpm.Month,_xlpm.LivestockClass,_xlpm.HeadAtStart, '6.2.1.1-2 Pasture residue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8">_xlfn.LAMBDA(_xlpm.Month,_xlpm.LivestockClass,_xlpm.HeadAtStart, '6.3.1.1-2 Leach runoff pasture'!CommonLivestock_InputFunctions.LivestockMovement_LiveweightGrownFromMonthStartTotal(_xlpm.LivestockClass,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29">_xlfn.LAMBDA(_xlpm.Month,_xlpm.LivestockClass,_xlpm.HeadAtStart, '8.1.1.1-2 Transport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0">_xlfn.LAMBDA(_xlpm.Month,_xlpm.LivestockClass,_xlpm.HeadAtStart, '8.2.1.1-2 Stationary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42">_xlfn.LAMBDA(_xlpm.Month,_xlpm.LivestockClass,_xlpm.HeadAtStart, Acknowledgements!CommonLivestock_InputFunctions.LivestockMovement_LiveweightGrownFromMonthStartTotal(_xlpm.LivestockClass,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5">_xlfn.LAMBDA(_xlpm.Month,_xlpm.LivestockClass,_xlpm.HeadAtStart, 'Constants - Ag Residue'!CommonLivestock_InputFunctions.LivestockMovement_LiveweightGrownFromMonthStartTotal(_xlpm.LivestockClass,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6">_xlfn.LAMBDA(_xlpm.Month,_xlpm.LivestockClass,_xlpm.HeadAtStart, 'Constants - Common Livestock'!CommonLivestock_InputFunctions.LivestockMovement_LiveweightGrownFromMonthStartTotal(_xlpm.LivestockClass,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7">_xlfn.LAMBDA(_xlpm.Month,_xlpm.LivestockClass,_xlpm.HeadAtStart, 'Constants - Electricity'!CommonLivestock_InputFunctions.LivestockMovement_LiveweightGrownFromMonthStartTotal(_xlpm.LivestockClass,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8">_xlfn.LAMBDA(_xlpm.Month,_xlpm.LivestockClass,_xlpm.HeadAtStart, 'Constants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9">_xlfn.LAMBDA(_xlpm.Month,_xlpm.LivestockClass,_xlpm.HeadAtStart, 'Constants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4">_xlfn.LAMBDA(_xlpm.Month,_xlpm.LivestockClass,_xlpm.HeadAtStart, 'Constants - Pasture Beef'!CommonLivestock_InputFunctions.LivestockMovement_LiveweightGrownFromMonthStartTotal(_xlpm.LivestockClass,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45">_xlfn.LAMBDA(_xlpm.Month,_xlpm.LivestockClass,_xlpm.HeadAtStart, 'Constants - Solid Waste'!CommonLivestock_InputFunctions.LivestockMovement_LiveweightGrownFromMonthStartTotal(_xlpm.LivestockClass,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2">_xlfn.LAMBDA(_xlpm.Month,_xlpm.LivestockClass,_xlpm.HeadAtStart, 'Input - Electricity'!CommonLivestock_InputFunctions.LivestockMovement_LiveweightGrownFromMonthStartTotal(_xlpm.LivestockClass,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'Input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'Input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8">_xlfn.LAMBDA(_xlpm.Month,_xlpm.LivestockClass,_xlpm.HeadAtStart, 'Input - Pasture'!CommonLivestock_InputFunctions.LivestockMovement_LiveweightGrownFromMonthStartTotal(_xlpm.LivestockClass,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'Input - Pasture Beef (Enteric)'!CommonLivestock_InputFunctions.LivestockMovement_LiveweightGrownFromMonthStartTotal(_xlpm.LivestockClass,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43">_xlfn.LAMBDA(_xlpm.Month,_xlpm.LivestockClass,_xlpm.HeadAtStart, 'Input - Solid waste'!CommonLivestock_InputFunctions.LivestockMovement_LiveweightGrownFromMonthStartTotal(_xlpm.LivestockClass,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46">_xlfn.LAMBDA(_xlpm.Month,_xlpm.LivestockClass,_xlpm.HeadAtStart, Overview!CommonLivestock_InputFunctions.LivestockMovement_LiveweightGrownFromMonthStartTotal(_xlpm.LivestockClass,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1">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3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40">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7">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2">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3">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4">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 localSheetId="15">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1">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3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40">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7">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2">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3">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4">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 localSheetId="15">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32">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3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0">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 localSheetId="32">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6">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3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40">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7">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3">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4">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1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 localSheetId="5">_xlfn.LAMBDA(_xlpm.LC_jk45calv,_xlpm.LC_jk45prev,_xlpm.FA_jk45calv,_xlpm.FA_jk45after,
    ((_xlpm.LC_jk45calv * _xlpm.FA_jk45calv) + (_xlpm.LC_jk45prev * _xlpm.FA_jk45after)) + (1 - (_xlpm.LC_jk45calv + _xlpm.LC_jk45prev))
  )</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1">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2">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3">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2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3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4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2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3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3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Beef cattle purchases'!Fertiliser_InputFunctions.Fertiliser_SumProductApplied(_xlpm.ChemicalCompound, _xlpm.ProductIngredient1, _xlpm.calculatedAmount1) + IFERROR('Input - Beef cattle purchases'!Fertiliser_InputFunctions.Fertiliser_SumProductApplied(_xlpm.ChemicalCompound, _xlpm.ProductIngredient2, _xlpm.calculatedAmount2), 0) + IFERROR('Input - Beef cattle purchases'!Fertiliser_InputFunctions.Fertiliser_SumProductApplied(_xlpm.ChemicalCompound, _xlpm.ProductIngredient3, _xlpm.calculatedAmount3), 0) + IFERROR('Input - Beef cattle purchases'!Fertiliser_InputFunctions.Fertiliser_SumProductApplied(_xlpm.ChemicalCompound, _xlpm.ProductIngredient4, _xlpm.calculatedAmount4), 0) + IFERROR('Input - Beef cattle purchases'!Fertiliser_InputFunctions.Fertiliser_SumProductApplied(_xlpm.ChemicalCompound, _xlpm.ProductIngredient5, _xlpm.calculatedAmount5), 0) + IFERROR('Input - Beef cattle purchases'!Fertiliser_InputFunctions.Fertiliser_SumProductApplied(_xlpm.ChemicalCompound,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 + IFERROR('Input - Farm Inputs'!Fertiliser_InputFunctions.Fertiliser_SumProductApplied(_xlpm.ChemicalCompound, _xlpm.ProductIngredient4, _xlpm.calculatedAmount4), 0) + IFERROR('Input - Farm Inputs'!Fertiliser_InputFunctions.Fertiliser_SumProductApplied(_xlpm.ChemicalCompound, _xlpm.ProductIngredient5, _xlpm.calculatedAmount5), 0) + IFERROR('Input - Farm Inputs'!Fertiliser_InputFunctions.Fertiliser_SumProductApplied(_xlpm.ChemicalCompound,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 localSheetId="4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Beef cattle purchases'!Fertiliser_InputFunctions.Fertiliser_SumProductApplied(_xlpm.ChemicalCompound, _xlpm.ProductIngredient1, _xlpm.calculatedAmount1, _xlpm.Source, _xlpm.ProductIngredientSource) + IFERROR('Input - Beef cattle purchases'!Fertiliser_InputFunctions.Fertiliser_SumProductApplied(_xlpm.ChemicalCompound, _xlpm.ProductIngredient2, _xlpm.calculatedAmount2, _xlpm.Source, _xlpm.ProductIngredientSource), 0) + IFERROR('Input - Beef cattle purchases'!Fertiliser_InputFunctions.Fertiliser_SumProductApplied(_xlpm.ChemicalCompound, _xlpm.ProductIngredient3, _xlpm.calculatedAmount3, _xlpm.Source, _xlpm.ProductIngredientSource), 0) + IFERROR('Input - Beef cattle purchases'!Fertiliser_InputFunctions.Fertiliser_SumProductApplied(_xlpm.ChemicalCompound, _xlpm.ProductIngredient4, _xlpm.calculatedAmount4, _xlpm.Source, _xlpm.ProductIngredientSource), 0) + IFERROR('Input - Beef cattle purchases'!Fertiliser_InputFunctions.Fertiliser_SumProductApplied(_xlpm.ChemicalCompound, _xlpm.ProductIngredient5, _xlpm.calculatedAmount5, _xlpm.Source, _xlpm.ProductIngredientSource), 0) + IFERROR('Input - Beef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Farm Inputs'!Fertiliser_InputFunctions.Fertiliser_SumProductApplied(_xlpm.ChemicalCompound, _xlpm.ProductIngredient1, _xlpm.calculatedAmount1, _xlpm.Source, _xlpm.ProductIngredientSource) + IFERROR('Input - Farm Inputs'!Fertiliser_InputFunctions.Fertiliser_SumProductApplied(_xlpm.ChemicalCompound, _xlpm.ProductIngredient2, _xlpm.calculatedAmount2, _xlpm.Source, _xlpm.ProductIngredientSource), 0) + IFERROR('Input - Farm Inputs'!Fertiliser_InputFunctions.Fertiliser_SumProductApplied(_xlpm.ChemicalCompound, _xlpm.ProductIngredient3, _xlpm.calculatedAmount3, _xlpm.Source, _xlpm.ProductIngredientSource), 0) + IFERROR('Input - Farm Inputs'!Fertiliser_InputFunctions.Fertiliser_SumProductApplied(_xlpm.ChemicalCompound, _xlpm.ProductIngredient4, _xlpm.calculatedAmount4, _xlpm.Source, _xlpm.ProductIngredientSource), 0) + IFERROR('Input - Farm Inputs'!Fertiliser_InputFunctions.Fertiliser_SumProductApplied(_xlpm.ChemicalCompound, _xlpm.ProductIngredient5, _xlpm.calculatedAmount5, _xlpm.Source, _xlpm.ProductIngredientSource), 0) + IFERROR('Input -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 localSheetId="32">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33">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40">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7">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3">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4">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5">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32">_xlfn.LAMBDA(("Table A.2.2.6: Fraction of inorganic fertiliser f that volatilises as NH3 and NOx ((kg NH3-N + NOx-N)/kg N) (FracGASFf)"))</definedName>
    <definedName name="Fertiliser_SourceData.Fertiliser_FracGASF_Source" localSheetId="21">_xlfn.LAMBDA(("Table A.2.2.6: Fraction of inorganic fertiliser f that volatilises as NH3 and NOx ((kg NH3-N + NOx-N)/kg N) (FracGASFf)"))</definedName>
    <definedName name="Fertiliser_SourceData.Fertiliser_FracGASF_Source" localSheetId="22">_xlfn.LAMBDA(("Table A.2.2.6: Fraction of inorganic fertiliser f that volatilises as NH3 and NOx ((kg NH3-N + NOx-N)/kg N) (FracGASFf)"))</definedName>
    <definedName name="Fertiliser_SourceData.Fertiliser_FracGASF_Source" localSheetId="23">_xlfn.LAMBDA(("Table A.2.2.6: Fraction of inorganic fertiliser f that volatilises as NH3 and NOx ((kg NH3-N + NOx-N)/kg N) (FracGASFf)"))</definedName>
    <definedName name="Fertiliser_SourceData.Fertiliser_FracGASF_Source" localSheetId="24">_xlfn.LAMBDA(("Table A.2.2.6: Fraction of inorganic fertiliser f that volatilises as NH3 and NOx ((kg NH3-N + NOx-N)/kg N) (FracGASFf)"))</definedName>
    <definedName name="Fertiliser_SourceData.Fertiliser_FracGASF_Source" localSheetId="25">_xlfn.LAMBDA(("Table A.2.2.6: Fraction of inorganic fertiliser f that volatilises as NH3 and NOx ((kg NH3-N + NOx-N)/kg N) (FracGASFf)"))</definedName>
    <definedName name="Fertiliser_SourceData.Fertiliser_FracGASF_Source" localSheetId="26">_xlfn.LAMBDA(("Table A.2.2.6: Fraction of inorganic fertiliser f that volatilises as NH3 and NOx ((kg NH3-N + NOx-N)/kg N) (FracGASFf)"))</definedName>
    <definedName name="Fertiliser_SourceData.Fertiliser_FracGASF_Source" localSheetId="33">_xlfn.LAMBDA(("Table A.2.2.6: Fraction of inorganic fertiliser f that volatilises as NH3 and NOx ((kg NH3-N + NOx-N)/kg N) (FracGASFf)"))</definedName>
    <definedName name="Fertiliser_SourceData.Fertiliser_FracGASF_Source" localSheetId="38">_xlfn.LAMBDA(("Table A.2.2.6: Fraction of inorganic fertiliser f that volatilises as NH3 and NOx ((kg NH3-N + NOx-N)/kg N) (FracGASFf)"))</definedName>
    <definedName name="Fertiliser_SourceData.Fertiliser_FracGASF_Source" localSheetId="40">_xlfn.LAMBDA(("Table A.2.2.6: Fraction of inorganic fertiliser f that volatilises as NH3 and NOx ((kg NH3-N + NOx-N)/kg N) (FracGASFf)"))</definedName>
    <definedName name="Fertiliser_SourceData.Fertiliser_FracGASF_Source" localSheetId="7">_xlfn.LAMBDA(("Table A.2.2.6: Fraction of inorganic fertiliser f that volatilises as NH3 and NOx ((kg NH3-N + NOx-N)/kg N) (FracGASFf)"))</definedName>
    <definedName name="Fertiliser_SourceData.Fertiliser_FracGASF_Source" localSheetId="13">_xlfn.LAMBDA(("Table A.2.2.6: Fraction of inorganic fertiliser f that volatilises as NH3 and NOx ((kg NH3-N + NOx-N)/kg N) (FracGASFf)"))</definedName>
    <definedName name="Fertiliser_SourceData.Fertiliser_FracGASF_Source" localSheetId="10">_xlfn.LAMBDA(("Table A.2.2.6: Fraction of inorganic fertiliser f that volatilises as NH3 and NOx ((kg NH3-N + NOx-N)/kg N) (FracGASFf)"))</definedName>
    <definedName name="Fertiliser_SourceData.Fertiliser_FracGASF_Source" localSheetId="14">_xlfn.LAMBDA(("Table A.2.2.6: Fraction of inorganic fertiliser f that volatilises as NH3 and NOx ((kg NH3-N + NOx-N)/kg N) (FracGASFf)"))</definedName>
    <definedName name="Fertiliser_SourceData.Fertiliser_FracGASF_Source" localSheetId="15">_xlfn.LAMBDA(("Table A.2.2.6: Fraction of inorganic fertiliser f that volatilises as NH3 and NOx ((kg NH3-N + NOx-N)/kg N) (FracGASFf)"))</definedName>
    <definedName name="Fertiliser_SourceData.Fertiliser_FracGASF_Source" localSheetId="46">_xlfn.LAMBDA(("Table A.2.2.6: Fraction of inorganic fertiliser f that volatilises as NH3 and NOx ((kg NH3-N + NOx-N)/kg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 localSheetId="32">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33">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40">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7">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3">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4">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5">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32">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2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2">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3">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4">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5">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6">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3">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38">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40">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7">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3">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0">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4">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5">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46">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32">_xlfn.LAMBDA(_xlpm.Q_Transtq,_xlpm.EC_Transq,_xlpm.EF_Trans1tqg, [0]!Fuel_Equations.VEERG_8_FuelCombustion(_xlpm.Q_Transtq, _xlpm.EC_Transq, _xlpm.EF_Trans1tqg))</definedName>
    <definedName name="Fuel_Equations.VEERG_8_1_1_1__1_FuelCombustionTransport" localSheetId="17">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 localSheetId="19">_xlfn.LAMBDA(_xlpm.Q_Transtq,_xlpm.EC_Transq,_xlpm.EF_Trans1tqg, [0]!Fuel_Equations.VEERG_8_FuelCombustion(_xlpm.Q_Transtq, _xlpm.EC_Transq, _xlpm.EF_Trans1tqg))</definedName>
    <definedName name="Fuel_Equations.VEERG_8_1_1_1__1_FuelCombustionTransport" localSheetId="20">_xlfn.LAMBDA(_xlpm.Q_Transtq,_xlpm.EC_Transq,_xlpm.EF_Trans1tqg, [0]!Fuel_Equations.VEERG_8_FuelCombustion(_xlpm.Q_Transtq, _xlpm.EC_Transq, _xlpm.EF_Trans1tqg))</definedName>
    <definedName name="Fuel_Equations.VEERG_8_1_1_1__1_FuelCombustionTransport" localSheetId="29">_xlfn.LAMBDA(_xlpm.Q_Transtq,_xlpm.EC_Transq,_xlpm.EF_Trans1tqg, [0]!Fuel_Equations.VEERG_8_FuelCombustion(_xlpm.Q_Transtq, _xlpm.EC_Transq, _xlpm.EF_Trans1tqg))</definedName>
    <definedName name="Fuel_Equations.VEERG_8_1_1_1__1_FuelCombustionTransport" localSheetId="30">_xlfn.LAMBDA(_xlpm.Q_Transtq,_xlpm.EC_Transq,_xlpm.EF_Trans1tqg, [0]!Fuel_Equations.VEERG_8_FuelCombustion(_xlpm.Q_Transtq, _xlpm.EC_Transq, _xlpm.EF_Trans1tqg))</definedName>
    <definedName name="Fuel_Equations.VEERG_8_1_1_1__1_FuelCombustionTransport" localSheetId="42">_xlfn.LAMBDA(_xlpm.Q_Transtq,_xlpm.EC_Transq,_xlpm.EF_Trans1tqg, [0]!Fuel_Equations.VEERG_8_FuelCombustion(_xlpm.Q_Transtq, _xlpm.EC_Transq, _xlpm.EF_Trans1tqg))</definedName>
    <definedName name="Fuel_Equations.VEERG_8_1_1_1__1_FuelCombustionTransport" localSheetId="33">_xlfn.LAMBDA(_xlpm.Q_Transtq,_xlpm.EC_Transq,_xlpm.EF_Trans1tqg, [0]!Fuel_Equations.VEERG_8_FuelCombustion(_xlpm.Q_Transtq, _xlpm.EC_Transq, _xlpm.EF_Trans1tqg))</definedName>
    <definedName name="Fuel_Equations.VEERG_8_1_1_1__1_FuelCombustionTransport" localSheetId="36">_xlfn.LAMBDA(_xlpm.Q_Transtq,_xlpm.EC_Transq,_xlpm.EF_Trans1tqg, [0]!Fuel_Equations.VEERG_8_FuelCombustion(_xlpm.Q_Transtq, _xlpm.EC_Transq, _xlpm.EF_Trans1tqg))</definedName>
    <definedName name="Fuel_Equations.VEERG_8_1_1_1__1_FuelCombustionTransport" localSheetId="39">_xlfn.LAMBDA(_xlpm.Q_Transtq,_xlpm.EC_Transq,_xlpm.EF_Trans1tqg, [0]!Fuel_Equations.VEERG_8_FuelCombustion(_xlpm.Q_Transtq, _xlpm.EC_Transq, _xlpm.EF_Trans1tqg))</definedName>
    <definedName name="Fuel_Equations.VEERG_8_1_1_1__1_FuelCombustionTransport" localSheetId="34">_xlfn.LAMBDA(_xlpm.Q_Transtq,_xlpm.EC_Transq,_xlpm.EF_Trans1tqg, [0]!Fuel_Equations.VEERG_8_FuelCombustion(_xlpm.Q_Transtq, _xlpm.EC_Transq, _xlpm.EF_Trans1tqg))</definedName>
    <definedName name="Fuel_Equations.VEERG_8_1_1_1__1_FuelCombustionTransport" localSheetId="40">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32">_xlfn.LAMBDA(_xlpm.Q_SCq,_xlpm.EC_SCq,_xlpm.EF_SC1qg, [0]!Fuel_Equations.VEERG_8_FuelCombustion(_xlpm.Q_SCq, _xlpm.EC_SCq, _xlpm.EF_SC1qg))</definedName>
    <definedName name="Fuel_Equations.VEERG_8_2_1_1__1_FuelCombustionStationary" localSheetId="17">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 localSheetId="19">_xlfn.LAMBDA(_xlpm.Q_SCq,_xlpm.EC_SCq,_xlpm.EF_SC1qg, [0]!Fuel_Equations.VEERG_8_FuelCombustion(_xlpm.Q_SCq, _xlpm.EC_SCq, _xlpm.EF_SC1qg))</definedName>
    <definedName name="Fuel_Equations.VEERG_8_2_1_1__1_FuelCombustionStationary" localSheetId="20">_xlfn.LAMBDA(_xlpm.Q_SCq,_xlpm.EC_SCq,_xlpm.EF_SC1qg, [0]!Fuel_Equations.VEERG_8_FuelCombustion(_xlpm.Q_SCq, _xlpm.EC_SCq, _xlpm.EF_SC1qg))</definedName>
    <definedName name="Fuel_Equations.VEERG_8_2_1_1__1_FuelCombustionStationary" localSheetId="29">_xlfn.LAMBDA(_xlpm.Q_SCq,_xlpm.EC_SCq,_xlpm.EF_SC1qg, [0]!Fuel_Equations.VEERG_8_FuelCombustion(_xlpm.Q_SCq, _xlpm.EC_SCq, _xlpm.EF_SC1qg))</definedName>
    <definedName name="Fuel_Equations.VEERG_8_2_1_1__1_FuelCombustionStationary" localSheetId="30">_xlfn.LAMBDA(_xlpm.Q_SCq,_xlpm.EC_SCq,_xlpm.EF_SC1qg, [0]!Fuel_Equations.VEERG_8_FuelCombustion(_xlpm.Q_SCq, _xlpm.EC_SCq, _xlpm.EF_SC1qg))</definedName>
    <definedName name="Fuel_Equations.VEERG_8_2_1_1__1_FuelCombustionStationary" localSheetId="42">_xlfn.LAMBDA(_xlpm.Q_SCq,_xlpm.EC_SCq,_xlpm.EF_SC1qg, [0]!Fuel_Equations.VEERG_8_FuelCombustion(_xlpm.Q_SCq, _xlpm.EC_SCq, _xlpm.EF_SC1qg))</definedName>
    <definedName name="Fuel_Equations.VEERG_8_2_1_1__1_FuelCombustionStationary" localSheetId="33">_xlfn.LAMBDA(_xlpm.Q_SCq,_xlpm.EC_SCq,_xlpm.EF_SC1qg, [0]!Fuel_Equations.VEERG_8_FuelCombustion(_xlpm.Q_SCq, _xlpm.EC_SCq, _xlpm.EF_SC1qg))</definedName>
    <definedName name="Fuel_Equations.VEERG_8_2_1_1__1_FuelCombustionStationary" localSheetId="36">_xlfn.LAMBDA(_xlpm.Q_SCq,_xlpm.EC_SCq,_xlpm.EF_SC1qg, [0]!Fuel_Equations.VEERG_8_FuelCombustion(_xlpm.Q_SCq, _xlpm.EC_SCq, _xlpm.EF_SC1qg))</definedName>
    <definedName name="Fuel_Equations.VEERG_8_2_1_1__1_FuelCombustionStationary" localSheetId="39">_xlfn.LAMBDA(_xlpm.Q_SCq,_xlpm.EC_SCq,_xlpm.EF_SC1qg, [0]!Fuel_Equations.VEERG_8_FuelCombustion(_xlpm.Q_SCq, _xlpm.EC_SCq, _xlpm.EF_SC1qg))</definedName>
    <definedName name="Fuel_Equations.VEERG_8_2_1_1__1_FuelCombustionStationary" localSheetId="34">_xlfn.LAMBDA(_xlpm.Q_SCq,_xlpm.EC_SCq,_xlpm.EF_SC1qg, [0]!Fuel_Equations.VEERG_8_FuelCombustion(_xlpm.Q_SCq, _xlpm.EC_SCq, _xlpm.EF_SC1qg))</definedName>
    <definedName name="Fuel_Equations.VEERG_8_2_1_1__1_FuelCombustionStationary" localSheetId="40">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9">_xlfn.LAMBDA(_xlpm.Cell,
    RIGHT(_xlpm.Cell,LEN(_xlpm.Cell)-FIND(", ",_xlpm.Cell))
)</definedName>
    <definedName name="Fuel_InputFunctions.Fuel_GetStationaryFuelString" localSheetId="30">_xlfn.LAMBDA(_xlpm.Cell,
    RIGHT(_xlpm.Cell,LEN(_xlpm.Cell)-FIND(", ",_xlpm.Cell))
)</definedName>
    <definedName name="Fuel_InputFunctions.Fuel_GetStationaryFuelString" localSheetId="39">_xlfn.LAMBDA(_xlpm.Cell,
    RIGHT(_xlpm.Cell,LEN(_xlpm.Cell)-FIND(", ",_xlpm.Cell))
)</definedName>
    <definedName name="Fuel_InputFunctions.Fuel_GetStationaryFuelString" localSheetId="11">_xlfn.LAMBDA(_xlpm.Cell,
    RIGHT(_xlpm.Cell,LEN(_xlpm.Cell)-FIND(", ",_xlpm.Cell))
)</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32">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29">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0">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39">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40">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7">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3">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4">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1">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 localSheetId="15">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32">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29">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0">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39">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40">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7">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3">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4">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1">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 localSheetId="15">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32">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29">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0">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39">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40">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7">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3">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4">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1">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 localSheetId="15">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32">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29">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0">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39">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40">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7">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3">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4">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1">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 localSheetId="15">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32">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29">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0">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39">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40">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7">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3">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4">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1">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 localSheetId="15">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6">'3.2.1.1-2 Enteric Methane'!$D$114:$N$118</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8">'6.3.1.1-2 Leach runoff pasture'!$N$44:$O$46</definedName>
    <definedName name="M1_Table_E_N2O">'5.1.1.1-2 Inorganic fert N2O'!$D$59:$E$78</definedName>
    <definedName name="M1_Table_E_N2O_Consumer_1" localSheetId="28">'6.3.1.1-2 Leach runoff pasture'!$D$44:$E$46</definedName>
    <definedName name="M1_Table_I_j_k_l" localSheetId="16">'3.2.1.1-2 Enteric Methane'!$D$63:$N$67</definedName>
    <definedName name="M1_Table_I_j_k_l" localSheetId="17">'4.2.1.1-2 Methane'!$D$83:$N$87</definedName>
    <definedName name="M1_Table_I_j_k_l" localSheetId="18">'4.2.1.1-2 Methane'!$D$83:$N$87</definedName>
    <definedName name="M1_Table_I_j_k_l" localSheetId="19">'4.2.1.1-2 Methane'!$D$83:$N$87</definedName>
    <definedName name="M1_Table_I_j_k_l" localSheetId="20">'4.2.1.1-2 Methane'!$D$83:$N$87</definedName>
    <definedName name="M1_Table_I_j_k_l" localSheetId="42">'4.2.1.1-2 Methane'!$D$83:$N$87</definedName>
    <definedName name="M1_Table_I_j_k_l" localSheetId="36">'4.2.1.1-2 Methane'!$D$83:$N$87</definedName>
    <definedName name="M1_Table_I_j_k_l" localSheetId="3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6">'3.2.1.1-2 Enteric Methane'!$D$20:$G$21</definedName>
    <definedName name="M1_Table_LC_j_k45">'4.2.1.1-2 Methane'!$D$21:$H$25</definedName>
    <definedName name="M1_Table_LC_j_k45_Consumer_1">'4.2.1.3-4 Soil direct N20'!$D$86:$G$87</definedName>
    <definedName name="M1_Table_LWG_j_k_l" localSheetId="16">'3.2.1.1-2 Enteric Methane'!$D$55:$N$59</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_leach_cp" localSheetId="28">'6.3.1.1-2 Leach runoff pasture'!$D$23:$I$25</definedName>
    <definedName name="M1_Table_MA_j_k45" localSheetId="16">'3.2.1.1-2 Enteric Methane'!$D$25:$P$29</definedName>
    <definedName name="M1_Table_MA_j_k45" localSheetId="17">'4.2.1.1-2 Methane'!$D$29:$R$33</definedName>
    <definedName name="M1_Table_MA_j_k45" localSheetId="18">'4.2.1.1-2 Methane'!$D$29:$R$33</definedName>
    <definedName name="M1_Table_MA_j_k45" localSheetId="19">'4.2.1.1-2 Methane'!$D$29:$R$33</definedName>
    <definedName name="M1_Table_MA_j_k45" localSheetId="20">'4.2.1.1-2 Methane'!$D$29:$R$33</definedName>
    <definedName name="M1_Table_MA_j_k45" localSheetId="42">'4.2.1.1-2 Methane'!$D$29:$R$33</definedName>
    <definedName name="M1_Table_MA_j_k45" localSheetId="36">'4.2.1.1-2 Methane'!$D$29:$R$33</definedName>
    <definedName name="M1_Table_MA_j_k45" localSheetId="3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6">'3.2.1.1-2 Enteric Methane'!$D$106:$N$110</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7">'4.2.1.1-2 Methane'!$D$130:$N$134</definedName>
    <definedName name="M1_Table_VS_j_k_l">#REF!</definedName>
    <definedName name="M1_Table_W_j_k_l" localSheetId="16">'3.2.1.1-2 Enteric Methane'!$D$47:$N$51</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6">'3.2.1.1-2 Enteric Methane'!$U$132:$AE$144</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6">'3.2.1.1-2 Enteric Methane'!$U$75:$AE$87</definedName>
    <definedName name="M2_Table_I_j_k_l" localSheetId="17">'4.2.1.1-2 Methane'!$W$75:$AG$87</definedName>
    <definedName name="M2_Table_I_j_k_l" localSheetId="18">'4.2.1.1-2 Methane'!$W$75:$AG$87</definedName>
    <definedName name="M2_Table_I_j_k_l" localSheetId="19">'4.2.1.1-2 Methane'!$W$75:$AG$87</definedName>
    <definedName name="M2_Table_I_j_k_l" localSheetId="20">'4.2.1.1-2 Methane'!$W$75:$AG$87</definedName>
    <definedName name="M2_Table_I_j_k_l" localSheetId="42">'4.2.1.1-2 Methane'!$W$75:$AG$87</definedName>
    <definedName name="M2_Table_I_j_k_l" localSheetId="36">'4.2.1.1-2 Methane'!$W$75:$AG$87</definedName>
    <definedName name="M2_Table_I_j_k_l" localSheetId="3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6">'3.2.1.1-2 Enteric Methane'!$U$21:$X$23</definedName>
    <definedName name="M2_Table_LC_j_k45">'4.2.1.3-4 Soil direct N20'!$U$91:$X$93</definedName>
    <definedName name="M2_Table_LC_j_k45_Consumer_1">'4.2.1.1-2 Methane'!$W$21:$Z$23</definedName>
    <definedName name="M2_Table_LW_j_k_l">'4.2.1.3-4 Soil direct N20'!$U$19:$AE$31</definedName>
    <definedName name="M2_Table_LWG_j_k_l" localSheetId="16">'3.2.1.1-2 Enteric Methane'!$U$59:$AE$71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8">'6.3.1.1-2 Leach runoff pasture'!$N$23:$S$23</definedName>
    <definedName name="M2_Table_MA_j_k45" localSheetId="16">'3.2.1.1-2 Enteric Methane'!$U$27:$AG$39</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 localSheetId="16">'3.2.1.1-2 Enteric Methane'!$U$116:$AE$128</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6">'3.2.1.1-2 Enteric Methane'!$U$43:$AE$55</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 localSheetId="32">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3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40">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7">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3">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4">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 localSheetId="15">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 localSheetId="32">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3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40">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7">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3">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4">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 localSheetId="15">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CarbonRemovalsFromPlantings">Results!$E$53</definedName>
    <definedName name="Result_EmissionsForWholeProductionCycle_Method1">Results!$E$42</definedName>
    <definedName name="Result_EmissionsForWholeProductionCycle_Method2">Results!$F$42</definedName>
    <definedName name="Result_Enterprise_Method1">Results!$H$28</definedName>
    <definedName name="Result_Enterprise_Method2">Results!$I$28</definedName>
    <definedName name="Result_NetEmissions_Method1">Results!$E$59</definedName>
    <definedName name="Result_NetEmissions_Method2">Results!$F$59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9">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0">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39">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 localSheetId="11">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9">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0">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39">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 localSheetId="11">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29">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0">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39">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
  )</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29">_xlfn.LAMBDA(_xlpm.E_N2O,_xlpm.E_ad,_xlpm.E_leach,
    _xlpm.E_N2O + _xlpm.E_ad + _xlpm.E_leach
  )</definedName>
    <definedName name="Scope3_Equations.VEERG_15_13_1_3__1_EmissionsFromSolidWasteTreatmentFacility" localSheetId="30">_xlfn.LAMBDA(_xlpm.E_N2O,_xlpm.E_ad,_xlpm.E_leach,
    _xlpm.E_N2O + _xlpm.E_ad + _xlpm.E_leach
  )</definedName>
    <definedName name="Scope3_Equations.VEERG_15_13_1_3__1_EmissionsFromSolidWasteTreatmentFacility" localSheetId="39">_xlfn.LAMBDA(_xlpm.E_N2O,_xlpm.E_ad,_xlpm.E_leach,
    _xlpm.E_N2O + _xlpm.E_ad + _xlpm.E_leach
  )</definedName>
    <definedName name="Scope3_Equations.VEERG_15_13_1_3__1_EmissionsFromSolidWasteTreatmentFacility" localSheetId="11">_xlfn.LAMBDA(_xlpm.E_N2O,_xlpm.E_ad,_xlpm.E_leach,
    _xlpm.E_N2O + _xlpm.E_ad + _xlpm.E_leach
  )</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 localSheetId="32">_xlfn.LAMBDA(0.24)</definedName>
    <definedName name="SourceData_Dairy.SourceData_Dairy_FractionOfNitrogenLostThroughLeachingAndRunoff_Data" localSheetId="33">_xlfn.LAMBDA(0.24)</definedName>
    <definedName name="SourceData_Dairy.SourceData_Dairy_FractionOfNitrogenLostThroughLeachingAndRunoff_Data" localSheetId="40">_xlfn.LAMBDA(0.24)</definedName>
    <definedName name="SourceData_Dairy.SourceData_Dairy_FractionOfNitrogenLostThroughLeachingAndRunoff_Data" localSheetId="7">_xlfn.LAMBDA(0.24)</definedName>
    <definedName name="SourceData_Dairy.SourceData_Dairy_FractionOfNitrogenLostThroughLeachingAndRunoff_Data" localSheetId="13">_xlfn.LAMBDA(0.24)</definedName>
    <definedName name="SourceData_Dairy.SourceData_Dairy_FractionOfNitrogenLostThroughLeachingAndRunoff_Data" localSheetId="14">_xlfn.LAMBDA(0.24)</definedName>
    <definedName name="SourceData_Dairy.SourceData_Dairy_FractionOfNitrogenLostThroughLeachingAndRunoff_Data" localSheetId="15">_xlfn.LAMBDA(0.24)</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 localSheetId="32">_xlfn.LAMBDA("Default fraction of N that is lost through leaching and runoff when manure is excreted to pasture, range and paddock (m=14).")</definedName>
    <definedName name="SourceData_Dairy.SourceData_Dairy_FractionOfNitrogenLostThroughLeachingAndRunoff_Title" localSheetId="33">_xlfn.LAMBDA("Default fraction of N that is lost through leaching and runoff when manure is excreted to pasture, range and paddock (m=14).")</definedName>
    <definedName name="SourceData_Dairy.SourceData_Dairy_FractionOfNitrogenLostThroughLeachingAndRunoff_Title" localSheetId="40">_xlfn.LAMBDA("Default fraction of N that is lost through leaching and runoff when manure is excreted to pasture, range and paddock (m=14).")</definedName>
    <definedName name="SourceData_Dairy.SourceData_Dairy_FractionOfNitrogenLostThroughLeachingAndRunoff_Title" localSheetId="7">_xlfn.LAMBDA("Default fraction of N that is lost through leaching and runoff when manure is excreted to pasture, range and paddock (m=14).")</definedName>
    <definedName name="SourceData_Dairy.SourceData_Dairy_FractionOfNitrogenLostThroughLeachingAndRunoff_Title" localSheetId="13">_xlfn.LAMBDA("Default fraction of N that is lost through leaching and runoff when manure is excreted to pasture, range and paddock (m=14).")</definedName>
    <definedName name="SourceData_Dairy.SourceData_Dairy_FractionOfNitrogenLostThroughLeachingAndRunoff_Title" localSheetId="14">_xlfn.LAMBDA("Default fraction of N that is lost through leaching and runoff when manure is excreted to pasture, range and paddock (m=14).")</definedName>
    <definedName name="SourceData_Dairy.SourceData_Dairy_FractionOfNitrogenLostThroughLeachingAndRunoff_Title" localSheetId="15">_xlfn.LAMBDA("Default fraction of N that is lost through leaching and runoff when manure is excreted to pasture, range and paddock (m=14).")</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 localSheetId="32">_xlfn.LAMBDA("Fraction")</definedName>
    <definedName name="SourceData_Dairy.SourceData_Dairy_FractionOfNitrogenLostThroughLeachingAndRunoff_Unit" localSheetId="33">_xlfn.LAMBDA("Fraction")</definedName>
    <definedName name="SourceData_Dairy.SourceData_Dairy_FractionOfNitrogenLostThroughLeachingAndRunoff_Unit" localSheetId="40">_xlfn.LAMBDA("Fraction")</definedName>
    <definedName name="SourceData_Dairy.SourceData_Dairy_FractionOfNitrogenLostThroughLeachingAndRunoff_Unit" localSheetId="7">_xlfn.LAMBDA("Fraction")</definedName>
    <definedName name="SourceData_Dairy.SourceData_Dairy_FractionOfNitrogenLostThroughLeachingAndRunoff_Unit" localSheetId="13">_xlfn.LAMBDA("Fraction")</definedName>
    <definedName name="SourceData_Dairy.SourceData_Dairy_FractionOfNitrogenLostThroughLeachingAndRunoff_Unit" localSheetId="14">_xlfn.LAMBDA("Fraction")</definedName>
    <definedName name="SourceData_Dairy.SourceData_Dairy_FractionOfNitrogenLostThroughLeachingAndRunoff_Unit" localSheetId="15">_xlfn.LAMBDA("Fraction")</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 localSheetId="32">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3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40">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7">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3">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4">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 localSheetId="15">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 localSheetId="32">_xlfn.LAMBDA(
    _xlfn.MAKEARRAY(3, 2,
      _xlfn.LAMBDA(_xlpm.r,_xlpm.c,
        INDEX({"Animal Class j","MRj";"Milking cows, and house cows",1.1;"All other cattle classes",1}, _xlpm.r, _xlpm.c)
      )
    )
  )</definedName>
    <definedName name="SourceData_Dairy.SourceData_Dairy_IncreasedMetabolicRateMilk_Data" localSheetId="33">_xlfn.LAMBDA(
    _xlfn.MAKEARRAY(3, 2,
      _xlfn.LAMBDA(_xlpm.r,_xlpm.c,
        INDEX({"Animal Class j","MRj";"Milking cows, and house cows",1.1;"All other cattle classes",1}, _xlpm.r, _xlpm.c)
      )
    )
  )</definedName>
    <definedName name="SourceData_Dairy.SourceData_Dairy_IncreasedMetabolicRateMilk_Data" localSheetId="40">_xlfn.LAMBDA(
    _xlfn.MAKEARRAY(3, 2,
      _xlfn.LAMBDA(_xlpm.r,_xlpm.c,
        INDEX({"Animal Class j","MRj";"Milking cows, and house cows",1.1;"All other cattle classes",1}, _xlpm.r, _xlpm.c)
      )
    )
  )</definedName>
    <definedName name="SourceData_Dairy.SourceData_Dairy_IncreasedMetabolicRateMilk_Data" localSheetId="7">_xlfn.LAMBDA(
    _xlfn.MAKEARRAY(3, 2,
      _xlfn.LAMBDA(_xlpm.r,_xlpm.c,
        INDEX({"Animal Class j","MRj";"Milking cows, and house cows",1.1;"All other cattle classes",1}, _xlpm.r, _xlpm.c)
      )
    )
  )</definedName>
    <definedName name="SourceData_Dairy.SourceData_Dairy_IncreasedMetabolicRateMilk_Data" localSheetId="13">_xlfn.LAMBDA(
    _xlfn.MAKEARRAY(3, 2,
      _xlfn.LAMBDA(_xlpm.r,_xlpm.c,
        INDEX({"Animal Class j","MRj";"Milking cows, and house cows",1.1;"All other cattle classes",1}, _xlpm.r, _xlpm.c)
      )
    )
  )</definedName>
    <definedName name="SourceData_Dairy.SourceData_Dairy_IncreasedMetabolicRateMilk_Data" localSheetId="14">_xlfn.LAMBDA(
    _xlfn.MAKEARRAY(3, 2,
      _xlfn.LAMBDA(_xlpm.r,_xlpm.c,
        INDEX({"Animal Class j","MRj";"Milking cows, and house cows",1.1;"All other cattle classes",1}, _xlpm.r, _xlpm.c)
      )
    )
  )</definedName>
    <definedName name="SourceData_Dairy.SourceData_Dairy_IncreasedMetabolicRateMilk_Data" localSheetId="15">_xlfn.LAMBDA(
    _xlfn.MAKEARRAY(3, 2,
      _xlfn.LAMBDA(_xlpm.r,_xlpm.c,
        INDEX({"Animal Class j","MRj";"Milking cows, and house cows",1.1;"All other cattle classes",1}, _xlpm.r, _xlpm.c)
      )
    )
  )</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 localSheetId="32">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3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40">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7">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3">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4">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 localSheetId="15">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 localSheetId="32">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3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40">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7">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3">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4">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 localSheetId="15">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 localSheetId="32">_xlfn.LAMBDA(
    _xlfn.MAKEARRAY(5, 2,
      _xlfn.LAMBDA(_xlpm.r,_xlpm.c,
        INDEX({"Class","Ij";"Boars",2.62;"Sows",2.3;"Gilts",2.5;"Others",1.71}, _xlpm.r, _xlpm.c)
      )
    )
  )</definedName>
    <definedName name="SourceData_Swine.SourceData_Swine_FeedIntake_Data" localSheetId="33">_xlfn.LAMBDA(
    _xlfn.MAKEARRAY(5, 2,
      _xlfn.LAMBDA(_xlpm.r,_xlpm.c,
        INDEX({"Class","Ij";"Boars",2.62;"Sows",2.3;"Gilts",2.5;"Others",1.71}, _xlpm.r, _xlpm.c)
      )
    )
  )</definedName>
    <definedName name="SourceData_Swine.SourceData_Swine_FeedIntake_Data" localSheetId="40">_xlfn.LAMBDA(
    _xlfn.MAKEARRAY(5, 2,
      _xlfn.LAMBDA(_xlpm.r,_xlpm.c,
        INDEX({"Class","Ij";"Boars",2.62;"Sows",2.3;"Gilts",2.5;"Others",1.71}, _xlpm.r, _xlpm.c)
      )
    )
  )</definedName>
    <definedName name="SourceData_Swine.SourceData_Swine_FeedIntake_Data" localSheetId="7">_xlfn.LAMBDA(
    _xlfn.MAKEARRAY(5, 2,
      _xlfn.LAMBDA(_xlpm.r,_xlpm.c,
        INDEX({"Class","Ij";"Boars",2.62;"Sows",2.3;"Gilts",2.5;"Others",1.71}, _xlpm.r, _xlpm.c)
      )
    )
  )</definedName>
    <definedName name="SourceData_Swine.SourceData_Swine_FeedIntake_Data" localSheetId="13">_xlfn.LAMBDA(
    _xlfn.MAKEARRAY(5, 2,
      _xlfn.LAMBDA(_xlpm.r,_xlpm.c,
        INDEX({"Class","Ij";"Boars",2.62;"Sows",2.3;"Gilts",2.5;"Others",1.71}, _xlpm.r, _xlpm.c)
      )
    )
  )</definedName>
    <definedName name="SourceData_Swine.SourceData_Swine_FeedIntake_Data" localSheetId="14">_xlfn.LAMBDA(
    _xlfn.MAKEARRAY(5, 2,
      _xlfn.LAMBDA(_xlpm.r,_xlpm.c,
        INDEX({"Class","Ij";"Boars",2.62;"Sows",2.3;"Gilts",2.5;"Others",1.71}, _xlpm.r, _xlpm.c)
      )
    )
  )</definedName>
    <definedName name="SourceData_Swine.SourceData_Swine_FeedIntake_Data" localSheetId="15">_xlfn.LAMBDA(
    _xlfn.MAKEARRAY(5, 2,
      _xlfn.LAMBDA(_xlpm.r,_xlpm.c,
        INDEX({"Class","Ij";"Boars",2.62;"Sows",2.3;"Gilts",2.5;"Others",1.71}, _xlpm.r, _xlpm.c)
      )
    )
  )</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 localSheetId="32">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3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40">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7">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3">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4">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 localSheetId="15">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 localSheetId="32">_xlfn.LAMBDA(
    _xlfn.MAKEARRAY(5, 2,
      _xlfn.LAMBDA(_xlpm.r,_xlpm.c,
        INDEX({"Class","VSj";"Boars",0.4;"Sows",0.46;"Gilts",0.55;"Others",0.39}, _xlpm.r, _xlpm.c)
      )
    )
  )</definedName>
    <definedName name="SourceData_Swine.SourceData_Swine_VolatileSolids_Data" localSheetId="33">_xlfn.LAMBDA(
    _xlfn.MAKEARRAY(5, 2,
      _xlfn.LAMBDA(_xlpm.r,_xlpm.c,
        INDEX({"Class","VSj";"Boars",0.4;"Sows",0.46;"Gilts",0.55;"Others",0.39}, _xlpm.r, _xlpm.c)
      )
    )
  )</definedName>
    <definedName name="SourceData_Swine.SourceData_Swine_VolatileSolids_Data" localSheetId="40">_xlfn.LAMBDA(
    _xlfn.MAKEARRAY(5, 2,
      _xlfn.LAMBDA(_xlpm.r,_xlpm.c,
        INDEX({"Class","VSj";"Boars",0.4;"Sows",0.46;"Gilts",0.55;"Others",0.39}, _xlpm.r, _xlpm.c)
      )
    )
  )</definedName>
    <definedName name="SourceData_Swine.SourceData_Swine_VolatileSolids_Data" localSheetId="7">_xlfn.LAMBDA(
    _xlfn.MAKEARRAY(5, 2,
      _xlfn.LAMBDA(_xlpm.r,_xlpm.c,
        INDEX({"Class","VSj";"Boars",0.4;"Sows",0.46;"Gilts",0.55;"Others",0.39}, _xlpm.r, _xlpm.c)
      )
    )
  )</definedName>
    <definedName name="SourceData_Swine.SourceData_Swine_VolatileSolids_Data" localSheetId="13">_xlfn.LAMBDA(
    _xlfn.MAKEARRAY(5, 2,
      _xlfn.LAMBDA(_xlpm.r,_xlpm.c,
        INDEX({"Class","VSj";"Boars",0.4;"Sows",0.46;"Gilts",0.55;"Others",0.39}, _xlpm.r, _xlpm.c)
      )
    )
  )</definedName>
    <definedName name="SourceData_Swine.SourceData_Swine_VolatileSolids_Data" localSheetId="14">_xlfn.LAMBDA(
    _xlfn.MAKEARRAY(5, 2,
      _xlfn.LAMBDA(_xlpm.r,_xlpm.c,
        INDEX({"Class","VSj";"Boars",0.4;"Sows",0.46;"Gilts",0.55;"Others",0.39}, _xlpm.r, _xlpm.c)
      )
    )
  )</definedName>
    <definedName name="SourceData_Swine.SourceData_Swine_VolatileSolids_Data" localSheetId="15">_xlfn.LAMBDA(
    _xlfn.MAKEARRAY(5, 2,
      _xlfn.LAMBDA(_xlpm.r,_xlpm.c,
        INDEX({"Class","VSj";"Boars",0.4;"Sows",0.46;"Gilts",0.55;"Others",0.39}, _xlpm.r, _xlpm.c)
      )
    )
  )</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2">'Calcs - Manure sent off-site'!$E$55</definedName>
    <definedName name="VEERG_5_4_1_3__1_OrganicFertiliserAtmosphericDepositionN2OEmissions_Result_Method1" localSheetId="33">'Calcs - Manure sent off-site'!$E$55</definedName>
    <definedName name="VEERG_5_4_1_3__1_OrganicFertiliserAtmosphericDepositionN2OEmissions_Result_Method1" localSheetId="40">'Calcs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32">'Calcs - Manure sent off-site'!$E$90</definedName>
    <definedName name="VEERG_5_5_1_1__1_FertiliserLeachingAndRunoffN2OEmissions_Result_Method1" localSheetId="33">'Calcs - Manure sent off-site'!$E$90</definedName>
    <definedName name="VEERG_5_5_1_1__1_FertiliserLeachingAndRunoffN2OEmissions_Result_Method1" localSheetId="40">'Calcs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15">'Calcs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8">'6.3.1.1-2 Leach runoff pasture'!$E$48</definedName>
    <definedName name="VEERG_6_3_1_1__1__LeachingAndRunoffEmissionsCropAndPastureResidue_Result_Method2" localSheetId="28">'6.3.1.1-2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 localSheetId="4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2">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3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0">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7">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4">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15">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 localSheetId="43">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 localSheetId="4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2">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3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0">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7">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4">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15">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 localSheetId="43">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5">'Input - Pasture Beef (Enteric)'!$E$9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 localSheetId="5">'Input - Pasture Beef (Enteric)'!$E$149</definedName>
    <definedName name="X_Cell_PastureBeef_FencedWater">'Input - Pasture Beef'!$E$149</definedName>
    <definedName name="X_Cell_PastureBeef_GrazingIrrigationMethod" localSheetId="5">'Input - Pasture Beef (Enteric)'!$E$157</definedName>
    <definedName name="X_Cell_PastureBeef_GrazingIrrigationMethod">'Input - Pasture Beef'!$E$157</definedName>
    <definedName name="X_Cell_PastureBeef_GrazingProductionSystem" localSheetId="5">'Input - Pasture Beef (Enteric)'!$E$156</definedName>
    <definedName name="X_Cell_PastureBeef_GrazingProductionSystem">'Input - Pasture Beef'!$E$156</definedName>
    <definedName name="X_Cell_PastureBeef_ProductionRegion" localSheetId="5">'Input - Pasture Beef (Enteric)'!$E$8</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5">'Input - Pasture Beef (Enteric)'!$D$126:$N$130</definedName>
    <definedName name="X_Table_PastureBeef_CrudeProtein_Method1">'Input - Pasture Beef'!$D$126:$N$130</definedName>
    <definedName name="X_Table_PastureBeef_CrudeProtein_Method2" localSheetId="5">'Input - Pasture Beef (Enteric)'!$D$132:$N$144</definedName>
    <definedName name="X_Table_PastureBeef_CrudeProtein_Method2">'Input - Pasture Beef'!$D$132:$N$144</definedName>
    <definedName name="X_Table_PastureBeef_DryMatterDigestibility_Method1" localSheetId="5">'Input - Pasture Beef (Enteric)'!$D$104:$N$108</definedName>
    <definedName name="X_Table_PastureBeef_DryMatterDigestibility_Method1">'Input - Pasture Beef'!$D$104:$N$108</definedName>
    <definedName name="X_Table_PastureBeef_DryMatterDigestibility_Method2" localSheetId="5">'Input - Pasture Beef (Enteric)'!$D$110:$N$122</definedName>
    <definedName name="X_Table_PastureBeef_DryMatterDigestibility_Method2">'Input - Pasture Beef'!$D$110:$N$122</definedName>
    <definedName name="X_Table_PastureBeef_Duration_Method1" localSheetId="5">'Input - Pasture Beef (Enteric)'!$D$16:$N$20</definedName>
    <definedName name="X_Table_PastureBeef_Duration_Method1">'Input - Pasture Beef'!$D$16:$N$20</definedName>
    <definedName name="X_Table_PastureBeef_Duration_Method2" localSheetId="5">'Input - Pasture Beef (Enteric)'!$D$22:$N$34</definedName>
    <definedName name="X_Table_PastureBeef_Duration_Method2">'Input - Pasture Beef'!$D$22:$N$34</definedName>
    <definedName name="X_Table_PastureBeef_Head_Method1" localSheetId="5">'Input - Pasture Beef (Enteric)'!$D$38:$N$42</definedName>
    <definedName name="X_Table_PastureBeef_Head_Method1">'Input - Pasture Beef'!$D$38:$N$42</definedName>
    <definedName name="X_Table_PastureBeef_Head_Method2" localSheetId="5">'Input - Pasture Beef (Enteric)'!$D$44:$N$56</definedName>
    <definedName name="X_Table_PastureBeef_Head_Method2">'Input - Pasture Beef'!$D$44:$N$56</definedName>
    <definedName name="X_Table_PastureBeef_Liveweight_Method1" localSheetId="5">'Input - Pasture Beef (Enteric)'!$D$60:$N$64</definedName>
    <definedName name="X_Table_PastureBeef_Liveweight_Method1">'Input - Pasture Beef'!$D$60:$N$64</definedName>
    <definedName name="X_Table_PastureBeef_Liveweight_Method2" localSheetId="5">'Input - Pasture Beef (Enteric)'!$D$66:$N$78</definedName>
    <definedName name="X_Table_PastureBeef_Liveweight_Method2">'Input - Pasture Beef'!$D$66:$N$78</definedName>
    <definedName name="X_Table_PastureBeef_LiveweightGain_Method1" localSheetId="5">'Input - Pasture Beef (Enteric)'!$D$82:$N$86</definedName>
    <definedName name="X_Table_PastureBeef_LiveweightGain_Method1">'Input - Pasture Beef'!$D$82:$N$86</definedName>
    <definedName name="X_Table_PastureBeef_LiveweightGain_Method2" localSheetId="5">'Input - Pasture Beef (Enteric)'!$D$88:$N$100</definedName>
    <definedName name="X_Table_PastureBeef_LiveweightGain_Method2">'Input - Pasture Beef'!$D$88:$N$100</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8" i="116" l="1"/>
  <c r="A57" i="116"/>
  <c r="A56" i="116"/>
  <c r="A55" i="116"/>
  <c r="A54" i="116"/>
  <c r="A53" i="116"/>
  <c r="A52" i="116"/>
  <c r="A51" i="116"/>
  <c r="A50" i="116"/>
  <c r="A49" i="116"/>
  <c r="A45" i="116"/>
  <c r="A44"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58" i="103"/>
  <c r="A57" i="103"/>
  <c r="A56" i="103"/>
  <c r="A55" i="103"/>
  <c r="A54" i="103"/>
  <c r="A53" i="103"/>
  <c r="A52" i="103"/>
  <c r="A51" i="103"/>
  <c r="A50" i="103"/>
  <c r="A49" i="103"/>
  <c r="A45" i="103"/>
  <c r="A44"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58" i="102"/>
  <c r="A57" i="102"/>
  <c r="A56" i="102"/>
  <c r="A55" i="102"/>
  <c r="A54" i="102"/>
  <c r="A53" i="102"/>
  <c r="A52" i="102"/>
  <c r="A51" i="102"/>
  <c r="A50" i="102"/>
  <c r="A49" i="102"/>
  <c r="A45" i="102"/>
  <c r="A44"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8" i="101"/>
  <c r="A57" i="101"/>
  <c r="A56" i="101"/>
  <c r="A55" i="101"/>
  <c r="A54" i="101"/>
  <c r="A53" i="101"/>
  <c r="A52" i="101"/>
  <c r="A51" i="101"/>
  <c r="A50" i="101"/>
  <c r="A49" i="101"/>
  <c r="A45" i="101"/>
  <c r="A44"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8" i="117"/>
  <c r="A57" i="117"/>
  <c r="A56" i="117"/>
  <c r="A55" i="117"/>
  <c r="A54" i="117"/>
  <c r="A53" i="117"/>
  <c r="A52" i="117"/>
  <c r="A51" i="117"/>
  <c r="A50" i="117"/>
  <c r="A49" i="117"/>
  <c r="A45" i="117"/>
  <c r="A44"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58" i="74"/>
  <c r="A57" i="74"/>
  <c r="A56" i="74"/>
  <c r="A55" i="74"/>
  <c r="A54" i="74"/>
  <c r="A53" i="74"/>
  <c r="A52" i="74"/>
  <c r="A51" i="74"/>
  <c r="A50" i="74"/>
  <c r="A49" i="74"/>
  <c r="A45" i="74"/>
  <c r="A44" i="74"/>
  <c r="A43" i="74"/>
  <c r="A42" i="74"/>
  <c r="A41" i="74"/>
  <c r="A40" i="74"/>
  <c r="A39" i="74"/>
  <c r="A38" i="74"/>
  <c r="A37" i="74"/>
  <c r="A36" i="74"/>
  <c r="A35" i="74"/>
  <c r="A34" i="74"/>
  <c r="A33" i="74"/>
  <c r="A32" i="74"/>
  <c r="A31" i="74"/>
  <c r="A30" i="74"/>
  <c r="A29" i="74"/>
  <c r="A28" i="74"/>
  <c r="A27" i="74"/>
  <c r="A23" i="74"/>
  <c r="A22" i="74"/>
  <c r="A21" i="74"/>
  <c r="A20" i="74"/>
  <c r="A19" i="74"/>
  <c r="A18" i="74"/>
  <c r="A17" i="74"/>
  <c r="A16" i="74"/>
  <c r="A15" i="74"/>
  <c r="A14" i="74"/>
  <c r="A13" i="74"/>
  <c r="A12" i="74"/>
  <c r="A11" i="74"/>
  <c r="A10" i="74"/>
  <c r="A9" i="74"/>
  <c r="A5" i="74"/>
  <c r="A4" i="74"/>
  <c r="A3" i="74"/>
  <c r="A58" i="114"/>
  <c r="A57" i="114"/>
  <c r="A56" i="114"/>
  <c r="A55" i="114"/>
  <c r="A54" i="114"/>
  <c r="A53" i="114"/>
  <c r="A52" i="114"/>
  <c r="A51" i="114"/>
  <c r="A50" i="114"/>
  <c r="A49" i="114"/>
  <c r="A45" i="114"/>
  <c r="A44"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58" i="100"/>
  <c r="A57" i="100"/>
  <c r="A56" i="100"/>
  <c r="A55" i="100"/>
  <c r="A54" i="100"/>
  <c r="A53" i="100"/>
  <c r="A52" i="100"/>
  <c r="A51" i="100"/>
  <c r="A50" i="100"/>
  <c r="A49" i="100"/>
  <c r="A45" i="100"/>
  <c r="A44"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58" i="93"/>
  <c r="A57" i="93"/>
  <c r="A56" i="93"/>
  <c r="A55" i="93"/>
  <c r="A54" i="93"/>
  <c r="A53" i="93"/>
  <c r="A52" i="93"/>
  <c r="A51" i="93"/>
  <c r="A50" i="93"/>
  <c r="A49" i="93"/>
  <c r="A45" i="93"/>
  <c r="A44"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58" i="96"/>
  <c r="A57" i="96"/>
  <c r="A56" i="96"/>
  <c r="A55" i="96"/>
  <c r="A54" i="96"/>
  <c r="A53" i="96"/>
  <c r="A52" i="96"/>
  <c r="A51" i="96"/>
  <c r="A50" i="96"/>
  <c r="A49" i="96"/>
  <c r="A45" i="96"/>
  <c r="A44"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58" i="115"/>
  <c r="A57" i="115"/>
  <c r="A56" i="115"/>
  <c r="A55" i="115"/>
  <c r="A54" i="115"/>
  <c r="A53" i="115"/>
  <c r="A52" i="115"/>
  <c r="A51" i="115"/>
  <c r="A50" i="115"/>
  <c r="A49" i="115"/>
  <c r="A45" i="115"/>
  <c r="A44"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58" i="107"/>
  <c r="A57" i="107"/>
  <c r="A56" i="107"/>
  <c r="A55" i="107"/>
  <c r="A54" i="107"/>
  <c r="A53" i="107"/>
  <c r="A52" i="107"/>
  <c r="A51" i="107"/>
  <c r="A50" i="107"/>
  <c r="A49" i="107"/>
  <c r="A45" i="107"/>
  <c r="A44"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58" i="83"/>
  <c r="A57" i="83"/>
  <c r="A56" i="83"/>
  <c r="A55" i="83"/>
  <c r="A54" i="83"/>
  <c r="A53" i="83"/>
  <c r="A52" i="83"/>
  <c r="A51" i="83"/>
  <c r="A50" i="83"/>
  <c r="A49" i="83"/>
  <c r="A45" i="83"/>
  <c r="A44"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58" i="113"/>
  <c r="A57" i="113"/>
  <c r="A56" i="113"/>
  <c r="A55" i="113"/>
  <c r="A54" i="113"/>
  <c r="A53" i="113"/>
  <c r="A52" i="113"/>
  <c r="A51" i="113"/>
  <c r="A50" i="113"/>
  <c r="A49" i="113"/>
  <c r="A45" i="113"/>
  <c r="A44"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8" i="112"/>
  <c r="A57" i="112"/>
  <c r="A56" i="112"/>
  <c r="A55" i="112"/>
  <c r="A54" i="112"/>
  <c r="A53" i="112"/>
  <c r="A52" i="112"/>
  <c r="A51" i="112"/>
  <c r="A50" i="112"/>
  <c r="A49" i="112"/>
  <c r="A45" i="112"/>
  <c r="A44"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8" i="95"/>
  <c r="A57" i="95"/>
  <c r="A56" i="95"/>
  <c r="A55" i="95"/>
  <c r="A54" i="95"/>
  <c r="A53" i="95"/>
  <c r="A52" i="95"/>
  <c r="A51" i="95"/>
  <c r="A50" i="95"/>
  <c r="A49" i="95"/>
  <c r="A45" i="95"/>
  <c r="A44"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58" i="99"/>
  <c r="A57" i="99"/>
  <c r="A56" i="99"/>
  <c r="A55" i="99"/>
  <c r="A54" i="99"/>
  <c r="A53" i="99"/>
  <c r="A52" i="99"/>
  <c r="A51" i="99"/>
  <c r="A50" i="99"/>
  <c r="A49" i="99"/>
  <c r="A45" i="99"/>
  <c r="A44"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58" i="98"/>
  <c r="A57" i="98"/>
  <c r="A56" i="98"/>
  <c r="A55" i="98"/>
  <c r="A54" i="98"/>
  <c r="A53" i="98"/>
  <c r="A52" i="98"/>
  <c r="A51" i="98"/>
  <c r="A50" i="98"/>
  <c r="A49" i="98"/>
  <c r="A45" i="98"/>
  <c r="A44"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8" i="106"/>
  <c r="A57" i="106"/>
  <c r="A56" i="106"/>
  <c r="A55" i="106"/>
  <c r="A54" i="106"/>
  <c r="A53" i="106"/>
  <c r="A52" i="106"/>
  <c r="A51" i="106"/>
  <c r="A50" i="106"/>
  <c r="A49" i="106"/>
  <c r="A45" i="106"/>
  <c r="A44"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8" i="105"/>
  <c r="A57" i="105"/>
  <c r="A56" i="105"/>
  <c r="A55" i="105"/>
  <c r="A54" i="105"/>
  <c r="A53" i="105"/>
  <c r="A52" i="105"/>
  <c r="A51" i="105"/>
  <c r="A50" i="105"/>
  <c r="A49" i="105"/>
  <c r="A45" i="105"/>
  <c r="A44"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8" i="92"/>
  <c r="A57" i="92"/>
  <c r="A56" i="92"/>
  <c r="A55" i="92"/>
  <c r="A54" i="92"/>
  <c r="A53" i="92"/>
  <c r="A52" i="92"/>
  <c r="A51" i="92"/>
  <c r="A50" i="92"/>
  <c r="A49" i="92"/>
  <c r="A45" i="92"/>
  <c r="A44"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8" i="91"/>
  <c r="A57" i="91"/>
  <c r="A56" i="91"/>
  <c r="A55" i="91"/>
  <c r="A54" i="91"/>
  <c r="A53" i="91"/>
  <c r="A52" i="91"/>
  <c r="A51" i="91"/>
  <c r="A50" i="91"/>
  <c r="A49" i="91"/>
  <c r="A45" i="91"/>
  <c r="A44"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58" i="90"/>
  <c r="A57" i="90"/>
  <c r="A56" i="90"/>
  <c r="A55" i="90"/>
  <c r="A54" i="90"/>
  <c r="A53" i="90"/>
  <c r="A52" i="90"/>
  <c r="A51" i="90"/>
  <c r="A50" i="90"/>
  <c r="A49" i="90"/>
  <c r="A45" i="90"/>
  <c r="A44"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58" i="89"/>
  <c r="A57" i="89"/>
  <c r="A56" i="89"/>
  <c r="A55" i="89"/>
  <c r="A54" i="89"/>
  <c r="A53" i="89"/>
  <c r="A52" i="89"/>
  <c r="A51" i="89"/>
  <c r="A50" i="89"/>
  <c r="A49" i="89"/>
  <c r="A45" i="89"/>
  <c r="A44"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8" i="88"/>
  <c r="A57" i="88"/>
  <c r="A56" i="88"/>
  <c r="A55" i="88"/>
  <c r="A54" i="88"/>
  <c r="A53" i="88"/>
  <c r="A52" i="88"/>
  <c r="A51" i="88"/>
  <c r="A50" i="88"/>
  <c r="A49" i="88"/>
  <c r="A45" i="88"/>
  <c r="A44"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58" i="87"/>
  <c r="A57" i="87"/>
  <c r="A56" i="87"/>
  <c r="A55" i="87"/>
  <c r="A54" i="87"/>
  <c r="A53" i="87"/>
  <c r="A52" i="87"/>
  <c r="A51" i="87"/>
  <c r="A50" i="87"/>
  <c r="A49" i="87"/>
  <c r="A45" i="87"/>
  <c r="A44"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58" i="82"/>
  <c r="A57" i="82"/>
  <c r="A56" i="82"/>
  <c r="A55" i="82"/>
  <c r="A54" i="82"/>
  <c r="A53" i="82"/>
  <c r="A52" i="82"/>
  <c r="A51" i="82"/>
  <c r="A50" i="82"/>
  <c r="A49" i="82"/>
  <c r="A45" i="82"/>
  <c r="A44"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8" i="81"/>
  <c r="A57" i="81"/>
  <c r="A56" i="81"/>
  <c r="A55" i="81"/>
  <c r="A54" i="81"/>
  <c r="A53" i="81"/>
  <c r="A52" i="81"/>
  <c r="A51" i="81"/>
  <c r="A50" i="81"/>
  <c r="A49" i="81"/>
  <c r="A45" i="81"/>
  <c r="A44"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8" i="80"/>
  <c r="A57" i="80"/>
  <c r="A56" i="80"/>
  <c r="A55" i="80"/>
  <c r="A54" i="80"/>
  <c r="A53" i="80"/>
  <c r="A52" i="80"/>
  <c r="A51" i="80"/>
  <c r="A50" i="80"/>
  <c r="A49" i="80"/>
  <c r="A45" i="80"/>
  <c r="A44"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8" i="79"/>
  <c r="A57" i="79"/>
  <c r="A56" i="79"/>
  <c r="A55" i="79"/>
  <c r="A54" i="79"/>
  <c r="A53" i="79"/>
  <c r="A52" i="79"/>
  <c r="A51" i="79"/>
  <c r="A50" i="79"/>
  <c r="A49" i="79"/>
  <c r="A45" i="79"/>
  <c r="A44"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58" i="85"/>
  <c r="A57" i="85"/>
  <c r="A56" i="85"/>
  <c r="A55" i="85"/>
  <c r="A54" i="85"/>
  <c r="A53" i="85"/>
  <c r="A52" i="85"/>
  <c r="A51" i="85"/>
  <c r="A50" i="85"/>
  <c r="A49" i="85"/>
  <c r="A45" i="85"/>
  <c r="A44"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58" i="111"/>
  <c r="A57" i="111"/>
  <c r="A56" i="111"/>
  <c r="A55" i="111"/>
  <c r="A54" i="111"/>
  <c r="A53" i="111"/>
  <c r="A52" i="111"/>
  <c r="A51" i="111"/>
  <c r="A50" i="111"/>
  <c r="A49" i="111"/>
  <c r="A45" i="111"/>
  <c r="A44"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8" i="110"/>
  <c r="A57" i="110"/>
  <c r="A56" i="110"/>
  <c r="A55" i="110"/>
  <c r="A54" i="110"/>
  <c r="A53" i="110"/>
  <c r="A52" i="110"/>
  <c r="A51" i="110"/>
  <c r="A50" i="110"/>
  <c r="A49" i="110"/>
  <c r="A45" i="110"/>
  <c r="A44"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8" i="109"/>
  <c r="A57" i="109"/>
  <c r="A56" i="109"/>
  <c r="A55" i="109"/>
  <c r="A54" i="109"/>
  <c r="A53" i="109"/>
  <c r="A52" i="109"/>
  <c r="A51" i="109"/>
  <c r="A50" i="109"/>
  <c r="A49" i="109"/>
  <c r="A45" i="109"/>
  <c r="A44"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8" i="94"/>
  <c r="A57" i="94"/>
  <c r="A56" i="94"/>
  <c r="A55" i="94"/>
  <c r="A54" i="94"/>
  <c r="A53" i="94"/>
  <c r="A52" i="94"/>
  <c r="A51" i="94"/>
  <c r="A50" i="94"/>
  <c r="A49" i="94"/>
  <c r="A45" i="94"/>
  <c r="A44"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58" i="97"/>
  <c r="A57" i="97"/>
  <c r="A56" i="97"/>
  <c r="A55" i="97"/>
  <c r="A54" i="97"/>
  <c r="A53" i="97"/>
  <c r="A52" i="97"/>
  <c r="A51" i="97"/>
  <c r="A50" i="97"/>
  <c r="A49" i="97"/>
  <c r="A45" i="97"/>
  <c r="A44"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58" i="86"/>
  <c r="A57" i="86"/>
  <c r="A56" i="86"/>
  <c r="A55" i="86"/>
  <c r="A54" i="86"/>
  <c r="A53" i="86"/>
  <c r="A52" i="86"/>
  <c r="A51" i="86"/>
  <c r="A50" i="86"/>
  <c r="A49" i="86"/>
  <c r="A45" i="86"/>
  <c r="A44"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58" i="76"/>
  <c r="A57" i="76"/>
  <c r="A56" i="76"/>
  <c r="A55" i="76"/>
  <c r="A54" i="76"/>
  <c r="A53" i="76"/>
  <c r="A52" i="76"/>
  <c r="A51" i="76"/>
  <c r="A50" i="76"/>
  <c r="A49" i="76"/>
  <c r="A45" i="76"/>
  <c r="A44" i="76"/>
  <c r="A43" i="76"/>
  <c r="A42" i="76"/>
  <c r="A41" i="76"/>
  <c r="A40" i="76"/>
  <c r="A39" i="76"/>
  <c r="A38" i="76"/>
  <c r="A37" i="76"/>
  <c r="A36" i="76"/>
  <c r="A35" i="76"/>
  <c r="A34" i="76"/>
  <c r="A33" i="76"/>
  <c r="A32" i="76"/>
  <c r="A31" i="76"/>
  <c r="A30" i="76"/>
  <c r="A29" i="76"/>
  <c r="A28" i="76"/>
  <c r="A27" i="76"/>
  <c r="A23" i="76"/>
  <c r="A22" i="76"/>
  <c r="A21" i="76"/>
  <c r="A20" i="76"/>
  <c r="A19" i="76"/>
  <c r="A18" i="76"/>
  <c r="A17" i="76"/>
  <c r="A16" i="76"/>
  <c r="A15" i="76"/>
  <c r="A14" i="76"/>
  <c r="A13" i="76"/>
  <c r="A12" i="76"/>
  <c r="A11" i="76"/>
  <c r="A10" i="76"/>
  <c r="A9" i="76"/>
  <c r="A5" i="76"/>
  <c r="A4" i="76"/>
  <c r="A3" i="76"/>
  <c r="A58" i="104"/>
  <c r="A57" i="104"/>
  <c r="A56" i="104"/>
  <c r="A55" i="104"/>
  <c r="A54" i="104"/>
  <c r="A53" i="104"/>
  <c r="A52" i="104"/>
  <c r="A51" i="104"/>
  <c r="A50" i="104"/>
  <c r="A49" i="104"/>
  <c r="A45" i="104"/>
  <c r="A44"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8" i="108"/>
  <c r="A57" i="108"/>
  <c r="A56" i="108"/>
  <c r="A55" i="108"/>
  <c r="A54" i="108"/>
  <c r="A53" i="108"/>
  <c r="A52" i="108"/>
  <c r="A51" i="108"/>
  <c r="A50" i="108"/>
  <c r="A49" i="108"/>
  <c r="A45" i="108"/>
  <c r="A44"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8" i="77"/>
  <c r="A57" i="77"/>
  <c r="A56" i="77"/>
  <c r="A55" i="77"/>
  <c r="A54" i="77"/>
  <c r="A53" i="77"/>
  <c r="A52" i="77"/>
  <c r="A51" i="77"/>
  <c r="A50" i="77"/>
  <c r="A49" i="77"/>
  <c r="A45" i="77"/>
  <c r="A44" i="77"/>
  <c r="A43" i="77"/>
  <c r="A42" i="77"/>
  <c r="A41" i="77"/>
  <c r="A40" i="77"/>
  <c r="A39" i="77"/>
  <c r="A38" i="77"/>
  <c r="A37" i="77"/>
  <c r="A36" i="77"/>
  <c r="A35" i="77"/>
  <c r="A34" i="77"/>
  <c r="A33" i="77"/>
  <c r="A32" i="77"/>
  <c r="A31" i="77"/>
  <c r="A30" i="77"/>
  <c r="A29" i="77"/>
  <c r="A28" i="77"/>
  <c r="A27" i="77"/>
  <c r="A23" i="77"/>
  <c r="A22" i="77"/>
  <c r="A21" i="77"/>
  <c r="A20" i="77"/>
  <c r="A19" i="77"/>
  <c r="A18" i="77"/>
  <c r="A17" i="77"/>
  <c r="A16" i="77"/>
  <c r="A15" i="77"/>
  <c r="A14" i="77"/>
  <c r="A13" i="77"/>
  <c r="A12" i="77"/>
  <c r="A11" i="77"/>
  <c r="A10" i="77"/>
  <c r="A9" i="77"/>
  <c r="A5" i="77"/>
  <c r="A4" i="77"/>
  <c r="A3" i="77"/>
  <c r="A58" i="84"/>
  <c r="A57" i="84"/>
  <c r="A56" i="84"/>
  <c r="A55" i="84"/>
  <c r="A54" i="84"/>
  <c r="A53" i="84"/>
  <c r="A52" i="84"/>
  <c r="A51" i="84"/>
  <c r="A50" i="84"/>
  <c r="A49" i="84"/>
  <c r="A45" i="84"/>
  <c r="A44"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58" i="78"/>
  <c r="A57" i="78"/>
  <c r="A56" i="78"/>
  <c r="A55" i="78"/>
  <c r="A54" i="78"/>
  <c r="A53" i="78"/>
  <c r="A52" i="78"/>
  <c r="A51" i="78"/>
  <c r="A50" i="78"/>
  <c r="A49" i="78"/>
  <c r="A45" i="78"/>
  <c r="A44"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8" i="75"/>
  <c r="A57" i="75"/>
  <c r="A56" i="75"/>
  <c r="A55" i="75"/>
  <c r="A54" i="75"/>
  <c r="A53" i="75"/>
  <c r="A52" i="75"/>
  <c r="A51" i="75"/>
  <c r="A50" i="75"/>
  <c r="A49" i="75"/>
  <c r="A45" i="75"/>
  <c r="A44"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58" i="72"/>
  <c r="A57" i="72"/>
  <c r="A56" i="72"/>
  <c r="A55" i="72"/>
  <c r="A54" i="72"/>
  <c r="A53" i="72"/>
  <c r="A52" i="72"/>
  <c r="A51" i="72"/>
  <c r="A50" i="72"/>
  <c r="A49" i="72"/>
  <c r="A45" i="72"/>
  <c r="A44"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8" i="13"/>
  <c r="A57" i="13"/>
  <c r="A56" i="13"/>
  <c r="A55" i="13"/>
  <c r="A54" i="13"/>
  <c r="A53" i="13"/>
  <c r="A52" i="13"/>
  <c r="A51" i="13"/>
  <c r="A50" i="13"/>
  <c r="A49" i="13"/>
  <c r="A45" i="13"/>
  <c r="A44"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8" i="71"/>
  <c r="A57" i="71"/>
  <c r="A56" i="71"/>
  <c r="A55" i="71"/>
  <c r="A54" i="71"/>
  <c r="A53" i="71"/>
  <c r="A52" i="71"/>
  <c r="A51" i="71"/>
  <c r="A50" i="71"/>
  <c r="A49" i="71"/>
  <c r="A45" i="71"/>
  <c r="A44"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U23" i="85"/>
  <c r="X22" i="85"/>
  <c r="W22" i="85"/>
  <c r="U22" i="85"/>
  <c r="G21" i="85"/>
  <c r="F21" i="85"/>
  <c r="E21" i="85"/>
  <c r="D21" i="85"/>
  <c r="F627" i="112" a="1"/>
  <c r="F627" i="112" s="1"/>
  <c r="E627" i="112" a="1"/>
  <c r="E627" i="112" s="1"/>
  <c r="D627" i="112" a="1"/>
  <c r="D627" i="112" s="1"/>
  <c r="F609" i="112" a="1"/>
  <c r="F609" i="112" s="1"/>
  <c r="E609" i="112" a="1"/>
  <c r="E609" i="112" s="1"/>
  <c r="D609" i="112" a="1"/>
  <c r="D609" i="112" s="1"/>
  <c r="F490" i="112" a="1"/>
  <c r="F490" i="112" s="1"/>
  <c r="E490" i="112" a="1"/>
  <c r="E490" i="112" s="1"/>
  <c r="D490" i="112" a="1"/>
  <c r="D490" i="112" s="1"/>
  <c r="F448" i="112" a="1"/>
  <c r="F448" i="112" s="1"/>
  <c r="E448" i="112" a="1"/>
  <c r="E448" i="112" s="1"/>
  <c r="D448" i="112" a="1"/>
  <c r="D448" i="112" s="1"/>
  <c r="F430" i="112" a="1"/>
  <c r="F430" i="112" s="1"/>
  <c r="J430" i="112" s="1" a="1"/>
  <c r="J430" i="112" s="1"/>
  <c r="E430" i="112" a="1"/>
  <c r="D430" i="112" a="1"/>
  <c r="D430" i="112" s="1"/>
  <c r="F399" i="112" a="1"/>
  <c r="F399" i="112" s="1"/>
  <c r="E399" i="112" a="1"/>
  <c r="E399" i="112" s="1"/>
  <c r="D399" i="112" a="1"/>
  <c r="D399" i="112" s="1"/>
  <c r="E367" i="112" a="1"/>
  <c r="D367" i="112" a="1"/>
  <c r="D367" i="112" s="1"/>
  <c r="G336" i="112" a="1"/>
  <c r="G336" i="112" s="1"/>
  <c r="F336" i="112" a="1"/>
  <c r="F336" i="112" s="1"/>
  <c r="K336" i="112" s="1" a="1"/>
  <c r="K336" i="112" s="1"/>
  <c r="E336" i="112" a="1"/>
  <c r="E336" i="112" s="1"/>
  <c r="D336" i="112" a="1"/>
  <c r="D336" i="112" s="1"/>
  <c r="D305" i="112" a="1"/>
  <c r="D305" i="112" s="1"/>
  <c r="AD237" i="112" a="1"/>
  <c r="AD237" i="112" s="1"/>
  <c r="AC237" i="112" a="1"/>
  <c r="AC237" i="112" s="1"/>
  <c r="Z237" i="112" a="1"/>
  <c r="Z237" i="112" s="1"/>
  <c r="Y237" i="112" a="1"/>
  <c r="V237" i="112" a="1"/>
  <c r="V237" i="112" s="1"/>
  <c r="U237" i="112" a="1"/>
  <c r="R237" i="112" a="1"/>
  <c r="R237" i="112" s="1"/>
  <c r="Q237" i="112" a="1"/>
  <c r="D237" i="112" a="1"/>
  <c r="D237" i="112" s="1"/>
  <c r="D221" i="112" a="1"/>
  <c r="D221" i="112" s="1"/>
  <c r="AA119" i="112" a="1"/>
  <c r="AA119" i="112" s="1"/>
  <c r="Z119" i="112" a="1"/>
  <c r="Z119" i="112" s="1"/>
  <c r="Y119" i="112" a="1"/>
  <c r="W119" i="112" a="1"/>
  <c r="W119" i="112" s="1"/>
  <c r="V119" i="112" a="1"/>
  <c r="V119" i="112" s="1"/>
  <c r="U119" i="112" a="1"/>
  <c r="S119" i="112" a="1"/>
  <c r="S119" i="112" s="1"/>
  <c r="R119" i="112" a="1"/>
  <c r="R119" i="112" s="1"/>
  <c r="Q119" i="112" a="1"/>
  <c r="Q119" i="112" s="1"/>
  <c r="O119" i="112" a="1"/>
  <c r="O119" i="112" s="1"/>
  <c r="N119" i="112" a="1"/>
  <c r="N119" i="112" s="1"/>
  <c r="M119" i="112" a="1"/>
  <c r="M119" i="112" s="1"/>
  <c r="E119" i="112" a="1"/>
  <c r="E119" i="112" s="1"/>
  <c r="I119" i="112" s="1" a="1"/>
  <c r="I119" i="112" s="1"/>
  <c r="D119" i="112" a="1"/>
  <c r="D119" i="112" s="1"/>
  <c r="K23" i="112" a="1"/>
  <c r="K23" i="112" s="1"/>
  <c r="G23" i="112" a="1"/>
  <c r="G23" i="112" s="1"/>
  <c r="F23" i="112" a="1"/>
  <c r="F23" i="112" s="1"/>
  <c r="E23" i="112" a="1"/>
  <c r="E23" i="112" s="1"/>
  <c r="D23" i="112" a="1"/>
  <c r="D23" i="112" s="1"/>
  <c r="D32" i="99"/>
  <c r="D25" i="99"/>
  <c r="F39" i="98"/>
  <c r="D37" i="98"/>
  <c r="D34" i="98"/>
  <c r="D33" i="98"/>
  <c r="D25" i="98"/>
  <c r="D75" i="92"/>
  <c r="D74" i="92"/>
  <c r="D73" i="92"/>
  <c r="D72" i="92"/>
  <c r="D71" i="92"/>
  <c r="D70" i="92"/>
  <c r="D69" i="92"/>
  <c r="D68" i="92"/>
  <c r="D134" i="91" a="1"/>
  <c r="D134" i="91" s="1"/>
  <c r="D102" i="91" a="1"/>
  <c r="D102" i="91" s="1"/>
  <c r="G25" i="90" a="1"/>
  <c r="G25" i="90" s="1"/>
  <c r="F25" i="90" a="1"/>
  <c r="F25" i="90" s="1"/>
  <c r="D25" i="90" a="1"/>
  <c r="D25" i="90" s="1"/>
  <c r="H20" i="89" a="1"/>
  <c r="H20" i="89" s="1"/>
  <c r="E20" i="89" a="1"/>
  <c r="E20" i="89" s="1"/>
  <c r="D20" i="89" a="1"/>
  <c r="D20" i="89" s="1"/>
  <c r="N82" i="87" a="1"/>
  <c r="N82" i="87" s="1"/>
  <c r="N77" i="87" a="1"/>
  <c r="N77" i="87" s="1"/>
  <c r="W54" i="87"/>
  <c r="W53" i="87"/>
  <c r="N50" i="87" a="1"/>
  <c r="N50" i="87" s="1"/>
  <c r="N45" i="87" a="1"/>
  <c r="N45" i="87" s="1"/>
  <c r="I148" i="80"/>
  <c r="G87" i="80"/>
  <c r="F87" i="80"/>
  <c r="E87" i="80"/>
  <c r="D87" i="80"/>
  <c r="W274" i="79"/>
  <c r="W273" i="79"/>
  <c r="W272" i="79"/>
  <c r="W271" i="79"/>
  <c r="W270" i="79"/>
  <c r="W269" i="79"/>
  <c r="W268" i="79"/>
  <c r="W267" i="79"/>
  <c r="W266" i="79"/>
  <c r="W265" i="79"/>
  <c r="W264" i="79"/>
  <c r="W263" i="79"/>
  <c r="W262" i="79"/>
  <c r="W261" i="79"/>
  <c r="W260" i="79"/>
  <c r="W259" i="79"/>
  <c r="W258" i="79"/>
  <c r="W257" i="79"/>
  <c r="W256" i="79"/>
  <c r="W255" i="79"/>
  <c r="W254" i="79"/>
  <c r="W253" i="79"/>
  <c r="W252" i="79"/>
  <c r="W251" i="79"/>
  <c r="D242" i="79"/>
  <c r="D241" i="79"/>
  <c r="D240" i="79"/>
  <c r="D239" i="79"/>
  <c r="D238" i="79"/>
  <c r="D237" i="79"/>
  <c r="D236" i="79"/>
  <c r="D235" i="79"/>
  <c r="W200" i="79"/>
  <c r="W199" i="79"/>
  <c r="W198" i="79"/>
  <c r="W197" i="79"/>
  <c r="W196" i="79"/>
  <c r="W195" i="79"/>
  <c r="W194" i="79"/>
  <c r="W193" i="79"/>
  <c r="W192" i="79"/>
  <c r="W191" i="79"/>
  <c r="W190" i="79"/>
  <c r="W189" i="79"/>
  <c r="W188" i="79"/>
  <c r="W187" i="79"/>
  <c r="W186" i="79"/>
  <c r="W185" i="79"/>
  <c r="W184" i="79"/>
  <c r="D184" i="79"/>
  <c r="W183" i="79"/>
  <c r="D183" i="79"/>
  <c r="W182" i="79"/>
  <c r="D182" i="79"/>
  <c r="W181" i="79"/>
  <c r="D181" i="79"/>
  <c r="W180" i="79"/>
  <c r="D180" i="79"/>
  <c r="W179" i="79"/>
  <c r="D179" i="79"/>
  <c r="W178" i="79"/>
  <c r="D178" i="79"/>
  <c r="W177" i="79"/>
  <c r="D177" i="79"/>
  <c r="W172" i="79"/>
  <c r="D172" i="79"/>
  <c r="W171" i="79"/>
  <c r="D171" i="79"/>
  <c r="D166" i="79"/>
  <c r="D165" i="79"/>
  <c r="F33" i="79"/>
  <c r="E33" i="79"/>
  <c r="F32" i="79"/>
  <c r="E32" i="79"/>
  <c r="F31" i="79"/>
  <c r="E31" i="79"/>
  <c r="F30" i="79"/>
  <c r="E30" i="79"/>
  <c r="H25" i="79"/>
  <c r="G25" i="79"/>
  <c r="F25" i="79"/>
  <c r="E25" i="79"/>
  <c r="H24" i="79"/>
  <c r="G24" i="79"/>
  <c r="F24" i="79"/>
  <c r="E24" i="79"/>
  <c r="H23" i="79"/>
  <c r="G23" i="79"/>
  <c r="F23" i="79"/>
  <c r="E23" i="79"/>
  <c r="H22" i="79"/>
  <c r="G22" i="79"/>
  <c r="F22" i="79"/>
  <c r="E22" i="79"/>
  <c r="J21" i="97" a="1"/>
  <c r="J21" i="97" s="1"/>
  <c r="G21" i="97" a="1"/>
  <c r="G21" i="97" s="1"/>
  <c r="J20" i="97" a="1"/>
  <c r="J20" i="97" s="1"/>
  <c r="G20" i="97" a="1"/>
  <c r="G20" i="97" s="1"/>
  <c r="J19" i="97" a="1"/>
  <c r="J19" i="97" s="1"/>
  <c r="G19" i="97" a="1"/>
  <c r="G19" i="97" s="1"/>
  <c r="J18" i="97" a="1"/>
  <c r="J18" i="97" s="1"/>
  <c r="G18" i="97" a="1"/>
  <c r="G18" i="97" s="1"/>
  <c r="J17" i="97" a="1"/>
  <c r="J17" i="97" s="1"/>
  <c r="G17" i="97" a="1"/>
  <c r="G17" i="97" s="1"/>
  <c r="J17" i="108" a="1"/>
  <c r="J17" i="108" s="1"/>
  <c r="J16" i="108" a="1"/>
  <c r="J16" i="108" s="1"/>
  <c r="J15" i="108" a="1"/>
  <c r="J15" i="108" s="1"/>
  <c r="J14" i="108" a="1"/>
  <c r="J14" i="108" s="1"/>
  <c r="J13" i="108" a="1"/>
  <c r="J13" i="108" s="1"/>
  <c r="J12" i="108" a="1"/>
  <c r="J12" i="108" s="1"/>
  <c r="J11" i="108" a="1"/>
  <c r="J11" i="108" s="1"/>
  <c r="J10" i="108" a="1"/>
  <c r="J10" i="108" s="1"/>
  <c r="E65" i="115" a="1"/>
  <c r="E65" i="115" s="1"/>
  <c r="D65" i="115" a="1"/>
  <c r="D65" i="115" s="1"/>
  <c r="D63" i="115" a="1"/>
  <c r="D63" i="115" s="1"/>
  <c r="D62" i="115" a="1"/>
  <c r="D62" i="115" s="1"/>
  <c r="E60" i="115" a="1"/>
  <c r="E60" i="115" s="1"/>
  <c r="D60" i="115" a="1"/>
  <c r="D60" i="115" s="1"/>
  <c r="D58" i="115" a="1"/>
  <c r="D58" i="115" s="1"/>
  <c r="D57" i="115" a="1"/>
  <c r="D57" i="115" s="1"/>
  <c r="E55" i="115" a="1"/>
  <c r="E55" i="115" s="1"/>
  <c r="D55" i="115" a="1"/>
  <c r="D55" i="115" s="1"/>
  <c r="D53" i="115" a="1"/>
  <c r="D53" i="115" s="1"/>
  <c r="D52" i="115" a="1"/>
  <c r="D52" i="115" s="1"/>
  <c r="E50" i="115" a="1"/>
  <c r="E50" i="115" s="1"/>
  <c r="D50" i="115" a="1"/>
  <c r="D50" i="115" s="1"/>
  <c r="E49" i="115" a="1"/>
  <c r="E49" i="115" s="1"/>
  <c r="D49" i="115" a="1"/>
  <c r="D49" i="115" s="1"/>
  <c r="E48" i="115" a="1"/>
  <c r="E48" i="115" s="1"/>
  <c r="D48" i="115" a="1"/>
  <c r="D48" i="115" s="1"/>
  <c r="E47" i="115" a="1"/>
  <c r="E47" i="115" s="1"/>
  <c r="D47" i="115" a="1"/>
  <c r="D47" i="115" s="1"/>
  <c r="E46" i="115" a="1"/>
  <c r="E46" i="115" s="1"/>
  <c r="D46" i="115" a="1"/>
  <c r="D46" i="115" s="1"/>
  <c r="E45" i="115" a="1"/>
  <c r="E45" i="115" s="1"/>
  <c r="D45" i="115" a="1"/>
  <c r="D45" i="115" s="1"/>
  <c r="E44" i="115" a="1"/>
  <c r="E44" i="115" s="1"/>
  <c r="D44" i="115" a="1"/>
  <c r="D44" i="115" s="1"/>
  <c r="D42" i="115" a="1"/>
  <c r="D42" i="115" s="1"/>
  <c r="D41" i="115" a="1"/>
  <c r="D41" i="115" s="1"/>
  <c r="E39" i="115" a="1"/>
  <c r="E39" i="115" s="1"/>
  <c r="D39" i="115" a="1"/>
  <c r="D39" i="115" s="1"/>
  <c r="E38" i="115" a="1"/>
  <c r="E38" i="115" s="1"/>
  <c r="D38" i="115" a="1"/>
  <c r="D38" i="115" s="1"/>
  <c r="E37" i="115" a="1"/>
  <c r="E37" i="115" s="1"/>
  <c r="D37" i="115" a="1"/>
  <c r="D37" i="115" s="1"/>
  <c r="E36" i="115" a="1"/>
  <c r="E36" i="115" s="1"/>
  <c r="D36" i="115" a="1"/>
  <c r="D36" i="115" s="1"/>
  <c r="E35" i="115" a="1"/>
  <c r="E35" i="115" s="1"/>
  <c r="D35" i="115" a="1"/>
  <c r="D35" i="115" s="1"/>
  <c r="E34" i="115" a="1"/>
  <c r="E34" i="115" s="1"/>
  <c r="D34" i="115" a="1"/>
  <c r="D34" i="115" s="1"/>
  <c r="E33" i="115" a="1"/>
  <c r="E33" i="115" s="1"/>
  <c r="D33" i="115" a="1"/>
  <c r="D33" i="115" s="1"/>
  <c r="E32" i="115" a="1"/>
  <c r="E32" i="115" s="1"/>
  <c r="D32" i="115" a="1"/>
  <c r="D32" i="115" s="1"/>
  <c r="D30" i="115" a="1"/>
  <c r="D30" i="115" s="1"/>
  <c r="D29" i="115" a="1"/>
  <c r="D29" i="115" s="1"/>
  <c r="F27" i="115" a="1"/>
  <c r="F27" i="115" s="1"/>
  <c r="E27" i="115" a="1"/>
  <c r="E27" i="115" s="1"/>
  <c r="D27" i="115" a="1"/>
  <c r="D27" i="115" s="1"/>
  <c r="F26" i="115" a="1"/>
  <c r="F26" i="115" s="1"/>
  <c r="E26" i="115" a="1"/>
  <c r="E26" i="115" s="1"/>
  <c r="D26" i="115" a="1"/>
  <c r="D26" i="115" s="1"/>
  <c r="F25" i="115" a="1"/>
  <c r="F25" i="115" s="1"/>
  <c r="E25" i="115" a="1"/>
  <c r="E25" i="115" s="1"/>
  <c r="D25" i="115" a="1"/>
  <c r="D25" i="115" s="1"/>
  <c r="F24" i="115" a="1"/>
  <c r="F24" i="115" s="1"/>
  <c r="E24" i="115" a="1"/>
  <c r="E24" i="115" s="1"/>
  <c r="D24" i="115" a="1"/>
  <c r="D24" i="115" s="1"/>
  <c r="F23" i="115" a="1"/>
  <c r="F23" i="115" s="1"/>
  <c r="E23" i="115" a="1"/>
  <c r="E23" i="115" s="1"/>
  <c r="D23" i="115" a="1"/>
  <c r="D23" i="115" s="1"/>
  <c r="F22" i="115" a="1"/>
  <c r="F22" i="115" s="1"/>
  <c r="E22" i="115" a="1"/>
  <c r="E22" i="115" s="1"/>
  <c r="D22" i="115" a="1"/>
  <c r="D22" i="115" s="1"/>
  <c r="F21" i="115" a="1"/>
  <c r="F21" i="115" s="1"/>
  <c r="E21" i="115" a="1"/>
  <c r="E21" i="115" s="1"/>
  <c r="D21" i="115" a="1"/>
  <c r="D21" i="115" s="1"/>
  <c r="F20" i="115" a="1"/>
  <c r="F20" i="115" s="1"/>
  <c r="E20" i="115" a="1"/>
  <c r="E20" i="115" s="1"/>
  <c r="D20" i="115" a="1"/>
  <c r="D20" i="115" s="1"/>
  <c r="F19" i="115" a="1"/>
  <c r="F19" i="115" s="1"/>
  <c r="E19" i="115" a="1"/>
  <c r="E19" i="115" s="1"/>
  <c r="D19" i="115" a="1"/>
  <c r="D19" i="115" s="1"/>
  <c r="F18" i="115" a="1"/>
  <c r="F18" i="115" s="1"/>
  <c r="E18" i="115" a="1"/>
  <c r="E18" i="115" s="1"/>
  <c r="D18" i="115" a="1"/>
  <c r="D18" i="115" s="1"/>
  <c r="F17" i="115" a="1"/>
  <c r="F17" i="115" s="1"/>
  <c r="E17" i="115" a="1"/>
  <c r="E17" i="115" s="1"/>
  <c r="D17" i="115" a="1"/>
  <c r="D17" i="115" s="1"/>
  <c r="F16" i="115" a="1"/>
  <c r="F16" i="115" s="1"/>
  <c r="E16" i="115" a="1"/>
  <c r="E16" i="115" s="1"/>
  <c r="D16" i="115" a="1"/>
  <c r="D16" i="115" s="1"/>
  <c r="F15" i="115" a="1"/>
  <c r="F15" i="115" s="1"/>
  <c r="E15" i="115" a="1"/>
  <c r="E15" i="115" s="1"/>
  <c r="D15" i="115" a="1"/>
  <c r="D15" i="115" s="1"/>
  <c r="F14" i="115" a="1"/>
  <c r="F14" i="115" s="1"/>
  <c r="E14" i="115" a="1"/>
  <c r="E14" i="115" s="1"/>
  <c r="D14" i="115" a="1"/>
  <c r="D14" i="115" s="1"/>
  <c r="F13" i="115" a="1"/>
  <c r="F13" i="115" s="1"/>
  <c r="E13" i="115" a="1"/>
  <c r="E13" i="115" s="1"/>
  <c r="D13" i="115" a="1"/>
  <c r="D13" i="115" s="1"/>
  <c r="F12" i="115" a="1"/>
  <c r="F12" i="115" s="1"/>
  <c r="E12" i="115" a="1"/>
  <c r="E12" i="115" s="1"/>
  <c r="D12" i="115" a="1"/>
  <c r="D12" i="115" s="1"/>
  <c r="F11" i="115" a="1"/>
  <c r="F11" i="115" s="1"/>
  <c r="E11" i="115" a="1"/>
  <c r="E11" i="115" s="1"/>
  <c r="D11" i="115" a="1"/>
  <c r="D11" i="115" s="1"/>
  <c r="F10" i="115" a="1"/>
  <c r="F10" i="115" s="1"/>
  <c r="E10" i="115" a="1"/>
  <c r="E10" i="115" s="1"/>
  <c r="D10" i="115" a="1"/>
  <c r="D10" i="115" s="1"/>
  <c r="D8" i="115" a="1"/>
  <c r="D8" i="115" s="1"/>
  <c r="D7" i="115" a="1"/>
  <c r="D7" i="115" s="1"/>
  <c r="D6" i="115" a="1"/>
  <c r="D6" i="115" s="1"/>
  <c r="I237" i="114" a="1"/>
  <c r="I237" i="114" s="1"/>
  <c r="H237" i="114" a="1"/>
  <c r="H237" i="114" s="1"/>
  <c r="G237" i="114" a="1"/>
  <c r="G237" i="114" s="1"/>
  <c r="F237" i="114" a="1"/>
  <c r="F237" i="114" s="1"/>
  <c r="E237" i="114" a="1"/>
  <c r="E237" i="114" s="1"/>
  <c r="D237" i="114" a="1"/>
  <c r="D237" i="114" s="1"/>
  <c r="I236" i="114" a="1"/>
  <c r="I236" i="114" s="1"/>
  <c r="H236" i="114" a="1"/>
  <c r="H236" i="114" s="1"/>
  <c r="G236" i="114" a="1"/>
  <c r="G236" i="114" s="1"/>
  <c r="F236" i="114" a="1"/>
  <c r="F236" i="114" s="1"/>
  <c r="E236" i="114" a="1"/>
  <c r="E236" i="114" s="1"/>
  <c r="D236" i="114" a="1"/>
  <c r="D236" i="114" s="1"/>
  <c r="I235" i="114" a="1"/>
  <c r="I235" i="114" s="1"/>
  <c r="H235" i="114" a="1"/>
  <c r="H235" i="114" s="1"/>
  <c r="G235" i="114" a="1"/>
  <c r="G235" i="114" s="1"/>
  <c r="F235" i="114" a="1"/>
  <c r="F235" i="114" s="1"/>
  <c r="E235" i="114" a="1"/>
  <c r="E235" i="114" s="1"/>
  <c r="D235" i="114" a="1"/>
  <c r="D235" i="114" s="1"/>
  <c r="I231" i="114" a="1"/>
  <c r="I231" i="114" s="1"/>
  <c r="H231" i="114" a="1"/>
  <c r="H231" i="114" s="1"/>
  <c r="G231" i="114" a="1"/>
  <c r="G231" i="114" s="1"/>
  <c r="F231" i="114" a="1"/>
  <c r="F231" i="114" s="1"/>
  <c r="E231" i="114" a="1"/>
  <c r="E231" i="114" s="1"/>
  <c r="D231" i="114" a="1"/>
  <c r="D231" i="114" s="1"/>
  <c r="I230" i="114" a="1"/>
  <c r="I230" i="114" s="1"/>
  <c r="H230" i="114" a="1"/>
  <c r="H230" i="114" s="1"/>
  <c r="G230" i="114" a="1"/>
  <c r="G230" i="114" s="1"/>
  <c r="F230" i="114" a="1"/>
  <c r="F230" i="114" s="1"/>
  <c r="E230" i="114" a="1"/>
  <c r="E230" i="114" s="1"/>
  <c r="D230" i="114" a="1"/>
  <c r="D230" i="114" s="1"/>
  <c r="I229" i="114" a="1"/>
  <c r="I229" i="114" s="1"/>
  <c r="H229" i="114" a="1"/>
  <c r="H229" i="114" s="1"/>
  <c r="G229" i="114" a="1"/>
  <c r="G229" i="114" s="1"/>
  <c r="F229" i="114" a="1"/>
  <c r="F229" i="114" s="1"/>
  <c r="E229" i="114" a="1"/>
  <c r="E229" i="114" s="1"/>
  <c r="D229" i="114" a="1"/>
  <c r="D229" i="114" s="1"/>
  <c r="I228" i="114" a="1"/>
  <c r="I228" i="114" s="1"/>
  <c r="H228" i="114" a="1"/>
  <c r="H228" i="114" s="1"/>
  <c r="G228" i="114" a="1"/>
  <c r="G228" i="114" s="1"/>
  <c r="F228" i="114" a="1"/>
  <c r="F228" i="114" s="1"/>
  <c r="E228" i="114" a="1"/>
  <c r="E228" i="114" s="1"/>
  <c r="D228" i="114" a="1"/>
  <c r="D228" i="114" s="1"/>
  <c r="I227" i="114" a="1"/>
  <c r="I227" i="114" s="1"/>
  <c r="H227" i="114" a="1"/>
  <c r="H227" i="114" s="1"/>
  <c r="G227" i="114" a="1"/>
  <c r="G227" i="114" s="1"/>
  <c r="F227" i="114" a="1"/>
  <c r="F227" i="114" s="1"/>
  <c r="E227" i="114" a="1"/>
  <c r="E227" i="114" s="1"/>
  <c r="D227" i="114" a="1"/>
  <c r="D227" i="114" s="1"/>
  <c r="I226" i="114" a="1"/>
  <c r="I226" i="114" s="1"/>
  <c r="H226" i="114" a="1"/>
  <c r="H226" i="114" s="1"/>
  <c r="G226" i="114" a="1"/>
  <c r="G226" i="114" s="1"/>
  <c r="F226" i="114" a="1"/>
  <c r="F226" i="114" s="1"/>
  <c r="E226" i="114" a="1"/>
  <c r="E226" i="114" s="1"/>
  <c r="D226" i="114" a="1"/>
  <c r="D226" i="114" s="1"/>
  <c r="I225" i="114" a="1"/>
  <c r="I225" i="114" s="1"/>
  <c r="H225" i="114" a="1"/>
  <c r="H225" i="114" s="1"/>
  <c r="G225" i="114" a="1"/>
  <c r="G225" i="114" s="1"/>
  <c r="F225" i="114" a="1"/>
  <c r="F225" i="114" s="1"/>
  <c r="E225" i="114" a="1"/>
  <c r="E225" i="114" s="1"/>
  <c r="D225" i="114" a="1"/>
  <c r="D225" i="114" s="1"/>
  <c r="I224" i="114" a="1"/>
  <c r="I224" i="114" s="1"/>
  <c r="H224" i="114" a="1"/>
  <c r="H224" i="114" s="1"/>
  <c r="G224" i="114" a="1"/>
  <c r="G224" i="114" s="1"/>
  <c r="F224" i="114" a="1"/>
  <c r="F224" i="114" s="1"/>
  <c r="E224" i="114" a="1"/>
  <c r="E224" i="114" s="1"/>
  <c r="D224" i="114" a="1"/>
  <c r="D224" i="114" s="1"/>
  <c r="I223" i="114" a="1"/>
  <c r="I223" i="114" s="1"/>
  <c r="H223" i="114" a="1"/>
  <c r="H223" i="114" s="1"/>
  <c r="G223" i="114" a="1"/>
  <c r="G223" i="114" s="1"/>
  <c r="F223" i="114" a="1"/>
  <c r="F223" i="114" s="1"/>
  <c r="E223" i="114" a="1"/>
  <c r="E223" i="114" s="1"/>
  <c r="D223" i="114" a="1"/>
  <c r="D223" i="114" s="1"/>
  <c r="I222" i="114" a="1"/>
  <c r="I222" i="114" s="1"/>
  <c r="H222" i="114" a="1"/>
  <c r="H222" i="114" s="1"/>
  <c r="G222" i="114" a="1"/>
  <c r="G222" i="114" s="1"/>
  <c r="F222" i="114" a="1"/>
  <c r="F222" i="114" s="1"/>
  <c r="E222" i="114" a="1"/>
  <c r="E222" i="114" s="1"/>
  <c r="D222" i="114" a="1"/>
  <c r="D222" i="114" s="1"/>
  <c r="I221" i="114" a="1"/>
  <c r="I221" i="114" s="1"/>
  <c r="H221" i="114" a="1"/>
  <c r="H221" i="114" s="1"/>
  <c r="G221" i="114" a="1"/>
  <c r="G221" i="114" s="1"/>
  <c r="F221" i="114" a="1"/>
  <c r="F221" i="114" s="1"/>
  <c r="E221" i="114" a="1"/>
  <c r="E221" i="114" s="1"/>
  <c r="D221" i="114" a="1"/>
  <c r="D221" i="114" s="1"/>
  <c r="I220" i="114" a="1"/>
  <c r="I220" i="114" s="1"/>
  <c r="H220" i="114" a="1"/>
  <c r="H220" i="114" s="1"/>
  <c r="G220" i="114" a="1"/>
  <c r="G220" i="114" s="1"/>
  <c r="F220" i="114" a="1"/>
  <c r="F220" i="114" s="1"/>
  <c r="E220" i="114" a="1"/>
  <c r="E220" i="114" s="1"/>
  <c r="D220" i="114" a="1"/>
  <c r="D220" i="114" s="1"/>
  <c r="I216" i="114" a="1"/>
  <c r="I216" i="114" s="1"/>
  <c r="H216" i="114" a="1"/>
  <c r="H216" i="114" s="1"/>
  <c r="G216" i="114" a="1"/>
  <c r="G216" i="114" s="1"/>
  <c r="F216" i="114" a="1"/>
  <c r="F216" i="114" s="1"/>
  <c r="E216" i="114" a="1"/>
  <c r="E216" i="114" s="1"/>
  <c r="D216" i="114" a="1"/>
  <c r="D216" i="114" s="1"/>
  <c r="I215" i="114" a="1"/>
  <c r="I215" i="114" s="1"/>
  <c r="H215" i="114" a="1"/>
  <c r="H215" i="114" s="1"/>
  <c r="G215" i="114" a="1"/>
  <c r="G215" i="114" s="1"/>
  <c r="F215" i="114" a="1"/>
  <c r="F215" i="114" s="1"/>
  <c r="E215" i="114" a="1"/>
  <c r="E215" i="114" s="1"/>
  <c r="D215" i="114" a="1"/>
  <c r="D215" i="114" s="1"/>
  <c r="I214" i="114" a="1"/>
  <c r="I214" i="114" s="1"/>
  <c r="H214" i="114" a="1"/>
  <c r="H214" i="114" s="1"/>
  <c r="G214" i="114" a="1"/>
  <c r="G214" i="114" s="1"/>
  <c r="F214" i="114" a="1"/>
  <c r="F214" i="114" s="1"/>
  <c r="E214" i="114" a="1"/>
  <c r="E214" i="114" s="1"/>
  <c r="D214" i="114" a="1"/>
  <c r="D214" i="114" s="1"/>
  <c r="I213" i="114" a="1"/>
  <c r="I213" i="114" s="1"/>
  <c r="H213" i="114" a="1"/>
  <c r="H213" i="114" s="1"/>
  <c r="G213" i="114" a="1"/>
  <c r="G213" i="114" s="1"/>
  <c r="F213" i="114" a="1"/>
  <c r="F213" i="114" s="1"/>
  <c r="E213" i="114" a="1"/>
  <c r="E213" i="114" s="1"/>
  <c r="D213" i="114" a="1"/>
  <c r="D213" i="114" s="1"/>
  <c r="I209" i="114" a="1"/>
  <c r="I209" i="114" s="1"/>
  <c r="H209" i="114" a="1"/>
  <c r="H209" i="114" s="1"/>
  <c r="G209" i="114" a="1"/>
  <c r="G209" i="114" s="1"/>
  <c r="F209" i="114" a="1"/>
  <c r="F209" i="114" s="1"/>
  <c r="E209" i="114" a="1"/>
  <c r="E209" i="114" s="1"/>
  <c r="D125" i="109" s="1"/>
  <c r="D470" i="112" s="1"/>
  <c r="D209" i="114" a="1"/>
  <c r="D209" i="114" s="1"/>
  <c r="I208" i="114" a="1"/>
  <c r="I208" i="114" s="1"/>
  <c r="H208" i="114" a="1"/>
  <c r="H208" i="114" s="1"/>
  <c r="G208" i="114" a="1"/>
  <c r="G208" i="114" s="1"/>
  <c r="F208" i="114" a="1"/>
  <c r="F208" i="114" s="1"/>
  <c r="E208" i="114" a="1"/>
  <c r="E208" i="114" s="1"/>
  <c r="D124" i="109" s="1"/>
  <c r="D469" i="112" s="1"/>
  <c r="D208" i="114" a="1"/>
  <c r="D208" i="114" s="1"/>
  <c r="I207" i="114" a="1"/>
  <c r="I207" i="114" s="1"/>
  <c r="H207" i="114" a="1"/>
  <c r="H207" i="114" s="1"/>
  <c r="G207" i="114" a="1"/>
  <c r="G207" i="114" s="1"/>
  <c r="F207" i="114" a="1"/>
  <c r="F207" i="114" s="1"/>
  <c r="E207" i="114" a="1"/>
  <c r="E207" i="114" s="1"/>
  <c r="D123" i="109" s="1"/>
  <c r="D468" i="112" s="1"/>
  <c r="F468" i="112" s="1" a="1"/>
  <c r="F468" i="112" s="1"/>
  <c r="D207" i="114" a="1"/>
  <c r="D207" i="114" s="1"/>
  <c r="I206" i="114" a="1"/>
  <c r="I206" i="114" s="1"/>
  <c r="H206" i="114" a="1"/>
  <c r="H206" i="114" s="1"/>
  <c r="G206" i="114" a="1"/>
  <c r="G206" i="114" s="1"/>
  <c r="F206" i="114" a="1"/>
  <c r="F206" i="114" s="1"/>
  <c r="E206" i="114" a="1"/>
  <c r="E206" i="114" s="1"/>
  <c r="D130" i="109" s="1"/>
  <c r="D481" i="112" s="1"/>
  <c r="F481" i="112" s="1" a="1"/>
  <c r="F481" i="112" s="1"/>
  <c r="D206" i="114" a="1"/>
  <c r="D206" i="114" s="1"/>
  <c r="I205" i="114" a="1"/>
  <c r="I205" i="114" s="1"/>
  <c r="H205" i="114" a="1"/>
  <c r="H205" i="114" s="1"/>
  <c r="G205" i="114" a="1"/>
  <c r="G205" i="114" s="1"/>
  <c r="F205" i="114" a="1"/>
  <c r="F205" i="114" s="1"/>
  <c r="E205" i="114" a="1"/>
  <c r="E205" i="114" s="1"/>
  <c r="D122" i="109" s="1"/>
  <c r="D467" i="112" s="1"/>
  <c r="F467" i="112" s="1" a="1"/>
  <c r="F467" i="112" s="1"/>
  <c r="D205" i="114" a="1"/>
  <c r="D205" i="114" s="1"/>
  <c r="I204" i="114" a="1"/>
  <c r="I204" i="114" s="1"/>
  <c r="H204" i="114" a="1"/>
  <c r="H204" i="114" s="1"/>
  <c r="G204" i="114" a="1"/>
  <c r="G204" i="114" s="1"/>
  <c r="F204" i="114" a="1"/>
  <c r="F204" i="114" s="1"/>
  <c r="E204" i="114" a="1"/>
  <c r="E204" i="114" s="1"/>
  <c r="D121" i="109" s="1"/>
  <c r="D466" i="112" s="1"/>
  <c r="F466" i="112" s="1" a="1"/>
  <c r="F466" i="112" s="1"/>
  <c r="D204" i="114" a="1"/>
  <c r="D204" i="114" s="1"/>
  <c r="I203" i="114" a="1"/>
  <c r="I203" i="114" s="1"/>
  <c r="H203" i="114" a="1"/>
  <c r="H203" i="114" s="1"/>
  <c r="G203" i="114" a="1"/>
  <c r="G203" i="114" s="1"/>
  <c r="F203" i="114" a="1"/>
  <c r="F203" i="114" s="1"/>
  <c r="E203" i="114" a="1"/>
  <c r="E203" i="114" s="1"/>
  <c r="D129" i="109" s="1"/>
  <c r="D480" i="112" s="1"/>
  <c r="F480" i="112" s="1" a="1"/>
  <c r="F480" i="112" s="1"/>
  <c r="D203" i="114" a="1"/>
  <c r="D203" i="114" s="1"/>
  <c r="I202" i="114" a="1"/>
  <c r="I202" i="114" s="1"/>
  <c r="H202" i="114" a="1"/>
  <c r="H202" i="114" s="1"/>
  <c r="G202" i="114" a="1"/>
  <c r="G202" i="114" s="1"/>
  <c r="F202" i="114" a="1"/>
  <c r="F202" i="114" s="1"/>
  <c r="E202" i="114" a="1"/>
  <c r="E202" i="114" s="1"/>
  <c r="D128" i="109" s="1"/>
  <c r="D479" i="112" s="1"/>
  <c r="F479" i="112" s="1" a="1"/>
  <c r="F479" i="112" s="1"/>
  <c r="D202" i="114" a="1"/>
  <c r="D202" i="114" s="1"/>
  <c r="M198" i="114" a="1"/>
  <c r="M198" i="114" s="1"/>
  <c r="L198" i="114" a="1"/>
  <c r="L198" i="114" s="1"/>
  <c r="K198" i="114" a="1"/>
  <c r="K198" i="114" s="1"/>
  <c r="F198" i="114" a="1"/>
  <c r="F198" i="114" s="1"/>
  <c r="E198" i="114" a="1"/>
  <c r="E198" i="114" s="1"/>
  <c r="D198" i="114" a="1"/>
  <c r="D198" i="114" s="1"/>
  <c r="M197" i="114" a="1"/>
  <c r="M197" i="114" s="1"/>
  <c r="L197" i="114" a="1"/>
  <c r="L197" i="114" s="1"/>
  <c r="K197" i="114" a="1"/>
  <c r="K197" i="114" s="1"/>
  <c r="F197" i="114" a="1"/>
  <c r="F197" i="114" s="1"/>
  <c r="E197" i="114" a="1"/>
  <c r="E197" i="114" s="1"/>
  <c r="D197" i="114" a="1"/>
  <c r="D197" i="114" s="1"/>
  <c r="M196" i="114" a="1"/>
  <c r="M196" i="114" s="1"/>
  <c r="L196" i="114" a="1"/>
  <c r="L196" i="114" s="1"/>
  <c r="K196" i="114" a="1"/>
  <c r="K196" i="114" s="1"/>
  <c r="F196" i="114" a="1"/>
  <c r="F196" i="114" s="1"/>
  <c r="E196" i="114" a="1"/>
  <c r="E196" i="114" s="1"/>
  <c r="D196" i="114" a="1"/>
  <c r="D196" i="114" s="1"/>
  <c r="M195" i="114" a="1"/>
  <c r="M195" i="114" s="1"/>
  <c r="L195" i="114" a="1"/>
  <c r="L195" i="114" s="1"/>
  <c r="K195" i="114" a="1"/>
  <c r="K195" i="114" s="1"/>
  <c r="F195" i="114" a="1"/>
  <c r="F195" i="114" s="1"/>
  <c r="E195" i="114" a="1"/>
  <c r="E195" i="114" s="1"/>
  <c r="D195" i="114" a="1"/>
  <c r="D195" i="114" s="1"/>
  <c r="M194" i="114" a="1"/>
  <c r="M194" i="114" s="1"/>
  <c r="L194" i="114" a="1"/>
  <c r="L194" i="114" s="1"/>
  <c r="K194" i="114" a="1"/>
  <c r="K194" i="114" s="1"/>
  <c r="F194" i="114" a="1"/>
  <c r="F194" i="114" s="1"/>
  <c r="E194" i="114" a="1"/>
  <c r="E194" i="114" s="1"/>
  <c r="D194" i="114" a="1"/>
  <c r="D194" i="114" s="1"/>
  <c r="M193" i="114" a="1"/>
  <c r="M193" i="114" s="1"/>
  <c r="L193" i="114" a="1"/>
  <c r="L193" i="114" s="1"/>
  <c r="K193" i="114" a="1"/>
  <c r="K193" i="114" s="1"/>
  <c r="F193" i="114" a="1"/>
  <c r="F193" i="114" s="1"/>
  <c r="E193" i="114" a="1"/>
  <c r="E193" i="114" s="1"/>
  <c r="D193" i="114" a="1"/>
  <c r="D193" i="114" s="1"/>
  <c r="M192" i="114" a="1"/>
  <c r="M192" i="114" s="1"/>
  <c r="L192" i="114" a="1"/>
  <c r="L192" i="114" s="1"/>
  <c r="K192" i="114" a="1"/>
  <c r="K192" i="114" s="1"/>
  <c r="F192" i="114" a="1"/>
  <c r="F192" i="114" s="1"/>
  <c r="E192" i="114" a="1"/>
  <c r="E192" i="114" s="1"/>
  <c r="D192" i="114" a="1"/>
  <c r="D192" i="114" s="1"/>
  <c r="M191" i="114" a="1"/>
  <c r="M191" i="114" s="1"/>
  <c r="L191" i="114" a="1"/>
  <c r="L191" i="114" s="1"/>
  <c r="K191" i="114" a="1"/>
  <c r="K191" i="114" s="1"/>
  <c r="F191" i="114" a="1"/>
  <c r="F191" i="114" s="1"/>
  <c r="E191" i="114" a="1"/>
  <c r="E191" i="114" s="1"/>
  <c r="D191" i="114" a="1"/>
  <c r="D191" i="114" s="1"/>
  <c r="M190" i="114" a="1"/>
  <c r="M190" i="114" s="1"/>
  <c r="L190" i="114" a="1"/>
  <c r="L190" i="114" s="1"/>
  <c r="K190" i="114" a="1"/>
  <c r="K190" i="114" s="1"/>
  <c r="F190" i="114" a="1"/>
  <c r="F190" i="114" s="1"/>
  <c r="E190" i="114" a="1"/>
  <c r="E190" i="114" s="1"/>
  <c r="D190" i="114" a="1"/>
  <c r="D190" i="114" s="1"/>
  <c r="M189" i="114" a="1"/>
  <c r="M189" i="114" s="1"/>
  <c r="L189" i="114" a="1"/>
  <c r="L189" i="114" s="1"/>
  <c r="K189" i="114" a="1"/>
  <c r="K189" i="114" s="1"/>
  <c r="F189" i="114" a="1"/>
  <c r="F189" i="114" s="1"/>
  <c r="E189" i="114" a="1"/>
  <c r="E189" i="114" s="1"/>
  <c r="D189" i="114" a="1"/>
  <c r="D189" i="114" s="1"/>
  <c r="M188" i="114" a="1"/>
  <c r="M188" i="114" s="1"/>
  <c r="L188" i="114" a="1"/>
  <c r="L188" i="114" s="1"/>
  <c r="K188" i="114" a="1"/>
  <c r="K188" i="114" s="1"/>
  <c r="F188" i="114" a="1"/>
  <c r="F188" i="114" s="1"/>
  <c r="E188" i="114" a="1"/>
  <c r="E188" i="114" s="1"/>
  <c r="D188" i="114" a="1"/>
  <c r="D188" i="114" s="1"/>
  <c r="M187" i="114"/>
  <c r="M187" i="114" a="1"/>
  <c r="L187" i="114" a="1"/>
  <c r="L187" i="114" s="1"/>
  <c r="K187" i="114" a="1"/>
  <c r="K187" i="114" s="1"/>
  <c r="F187" i="114" a="1"/>
  <c r="F187" i="114" s="1"/>
  <c r="E187" i="114" a="1"/>
  <c r="E187" i="114" s="1"/>
  <c r="D187" i="114" a="1"/>
  <c r="D187" i="114" s="1"/>
  <c r="M186" i="114" a="1"/>
  <c r="M186" i="114" s="1"/>
  <c r="L186" i="114" a="1"/>
  <c r="L186" i="114" s="1"/>
  <c r="K186" i="114" a="1"/>
  <c r="K186" i="114" s="1"/>
  <c r="F186" i="114" a="1"/>
  <c r="F186" i="114" s="1"/>
  <c r="E186" i="114" a="1"/>
  <c r="E186" i="114" s="1"/>
  <c r="D186" i="114" a="1"/>
  <c r="D186" i="114" s="1"/>
  <c r="M185" i="114" a="1"/>
  <c r="M185" i="114" s="1"/>
  <c r="L185" i="114" a="1"/>
  <c r="L185" i="114" s="1"/>
  <c r="K185" i="114" a="1"/>
  <c r="K185" i="114" s="1"/>
  <c r="F185" i="114" a="1"/>
  <c r="F185" i="114" s="1"/>
  <c r="E185" i="114" a="1"/>
  <c r="E185" i="114" s="1"/>
  <c r="D185" i="114" a="1"/>
  <c r="D185" i="114" s="1"/>
  <c r="M184" i="114" a="1"/>
  <c r="M184" i="114" s="1"/>
  <c r="L184" i="114" a="1"/>
  <c r="L184" i="114" s="1"/>
  <c r="K184" i="114" a="1"/>
  <c r="K184" i="114" s="1"/>
  <c r="F184" i="114" a="1"/>
  <c r="F184" i="114" s="1"/>
  <c r="E184" i="114" a="1"/>
  <c r="E184" i="114" s="1"/>
  <c r="D184" i="114" a="1"/>
  <c r="D184" i="114" s="1"/>
  <c r="M183" i="114" a="1"/>
  <c r="M183" i="114" s="1"/>
  <c r="L183" i="114" a="1"/>
  <c r="L183" i="114" s="1"/>
  <c r="K183" i="114" a="1"/>
  <c r="K183" i="114" s="1"/>
  <c r="F183" i="114" a="1"/>
  <c r="F183" i="114" s="1"/>
  <c r="E183" i="114" a="1"/>
  <c r="E183" i="114" s="1"/>
  <c r="D183" i="114" a="1"/>
  <c r="D183" i="114" s="1"/>
  <c r="M182" i="114" a="1"/>
  <c r="M182" i="114" s="1"/>
  <c r="L182" i="114" a="1"/>
  <c r="L182" i="114" s="1"/>
  <c r="K182" i="114" a="1"/>
  <c r="K182" i="114" s="1"/>
  <c r="F182" i="114" a="1"/>
  <c r="F182" i="114" s="1"/>
  <c r="E182" i="114" a="1"/>
  <c r="E182" i="114" s="1"/>
  <c r="D182" i="114" a="1"/>
  <c r="D182" i="114" s="1"/>
  <c r="M181" i="114" a="1"/>
  <c r="M181" i="114" s="1"/>
  <c r="L181" i="114" a="1"/>
  <c r="L181" i="114" s="1"/>
  <c r="K181" i="114" a="1"/>
  <c r="K181" i="114" s="1"/>
  <c r="F181" i="114" a="1"/>
  <c r="F181" i="114" s="1"/>
  <c r="E181" i="114" a="1"/>
  <c r="E181" i="114" s="1"/>
  <c r="D181" i="114" a="1"/>
  <c r="D181" i="114" s="1"/>
  <c r="M180" i="114" a="1"/>
  <c r="M180" i="114" s="1"/>
  <c r="L180" i="114" a="1"/>
  <c r="L180" i="114" s="1"/>
  <c r="K180" i="114" a="1"/>
  <c r="K180" i="114" s="1"/>
  <c r="F180" i="114" a="1"/>
  <c r="F180" i="114" s="1"/>
  <c r="E180" i="114" a="1"/>
  <c r="E180" i="114" s="1"/>
  <c r="D180" i="114" a="1"/>
  <c r="D180" i="114" s="1"/>
  <c r="M179" i="114" a="1"/>
  <c r="M179" i="114" s="1"/>
  <c r="L179" i="114" a="1"/>
  <c r="L179" i="114" s="1"/>
  <c r="K179" i="114" a="1"/>
  <c r="K179" i="114" s="1"/>
  <c r="F179" i="114" a="1"/>
  <c r="F179" i="114" s="1"/>
  <c r="E179" i="114" a="1"/>
  <c r="E179" i="114" s="1"/>
  <c r="D179" i="114" a="1"/>
  <c r="D179" i="114" s="1"/>
  <c r="M178" i="114" a="1"/>
  <c r="M178" i="114" s="1"/>
  <c r="L178" i="114" a="1"/>
  <c r="L178" i="114" s="1"/>
  <c r="K178" i="114" a="1"/>
  <c r="K178" i="114" s="1"/>
  <c r="F178" i="114" a="1"/>
  <c r="F178" i="114" s="1"/>
  <c r="E178" i="114" a="1"/>
  <c r="E178" i="114" s="1"/>
  <c r="D178" i="114" a="1"/>
  <c r="D178" i="114" s="1"/>
  <c r="M177" i="114" a="1"/>
  <c r="M177" i="114" s="1"/>
  <c r="L177" i="114" a="1"/>
  <c r="L177" i="114" s="1"/>
  <c r="K177" i="114" a="1"/>
  <c r="K177" i="114" s="1"/>
  <c r="F177" i="114" a="1"/>
  <c r="F177" i="114" s="1"/>
  <c r="E177" i="114" a="1"/>
  <c r="E177" i="114" s="1"/>
  <c r="D177" i="114" a="1"/>
  <c r="D177" i="114" s="1"/>
  <c r="M176" i="114" a="1"/>
  <c r="M176" i="114" s="1"/>
  <c r="L176" i="114" a="1"/>
  <c r="L176" i="114" s="1"/>
  <c r="K176" i="114" a="1"/>
  <c r="K176" i="114" s="1"/>
  <c r="F176" i="114" a="1"/>
  <c r="F176" i="114" s="1"/>
  <c r="E176" i="114" a="1"/>
  <c r="E176" i="114" s="1"/>
  <c r="D176" i="114" a="1"/>
  <c r="D176" i="114" s="1"/>
  <c r="M175" i="114" a="1"/>
  <c r="M175" i="114" s="1"/>
  <c r="L175" i="114" a="1"/>
  <c r="L175" i="114" s="1"/>
  <c r="K175" i="114" a="1"/>
  <c r="K175" i="114" s="1"/>
  <c r="F175" i="114" a="1"/>
  <c r="F175" i="114" s="1"/>
  <c r="E175" i="114" a="1"/>
  <c r="E175" i="114" s="1"/>
  <c r="D175" i="114" a="1"/>
  <c r="D175" i="114" s="1"/>
  <c r="M174" i="114" a="1"/>
  <c r="M174" i="114" s="1"/>
  <c r="L174" i="114" a="1"/>
  <c r="L174" i="114" s="1"/>
  <c r="K174" i="114" a="1"/>
  <c r="K174" i="114" s="1"/>
  <c r="F174" i="114" a="1"/>
  <c r="F174" i="114" s="1"/>
  <c r="E174" i="114" a="1"/>
  <c r="E174" i="114" s="1"/>
  <c r="D174" i="114" a="1"/>
  <c r="D174" i="114" s="1"/>
  <c r="I170" i="114" a="1"/>
  <c r="I170" i="114" s="1"/>
  <c r="H170" i="114" a="1"/>
  <c r="H170" i="114" s="1"/>
  <c r="G170" i="114" a="1"/>
  <c r="G170" i="114" s="1"/>
  <c r="F170" i="114" a="1"/>
  <c r="F170" i="114" s="1"/>
  <c r="E170" i="114" a="1"/>
  <c r="E170" i="114" s="1"/>
  <c r="D170" i="114" a="1"/>
  <c r="D170" i="114" s="1"/>
  <c r="I169" i="114" a="1"/>
  <c r="I169" i="114" s="1"/>
  <c r="H169" i="114" a="1"/>
  <c r="H169" i="114" s="1"/>
  <c r="G169" i="114" a="1"/>
  <c r="G169" i="114" s="1"/>
  <c r="F169" i="114" a="1"/>
  <c r="F169" i="114" s="1"/>
  <c r="E169" i="114" a="1"/>
  <c r="E169" i="114" s="1"/>
  <c r="D169" i="114" a="1"/>
  <c r="D169" i="114" s="1"/>
  <c r="I168" i="114" a="1"/>
  <c r="I168" i="114" s="1"/>
  <c r="H168" i="114" a="1"/>
  <c r="H168" i="114" s="1"/>
  <c r="G168" i="114" a="1"/>
  <c r="G168" i="114" s="1"/>
  <c r="F168" i="114" a="1"/>
  <c r="F168" i="114" s="1"/>
  <c r="E168" i="114" a="1"/>
  <c r="E168" i="114" s="1"/>
  <c r="D51" i="109" s="1" a="1"/>
  <c r="D168" i="114" a="1"/>
  <c r="D168" i="114" s="1"/>
  <c r="I165" i="114" a="1"/>
  <c r="I165" i="114" s="1"/>
  <c r="H165" i="114" a="1"/>
  <c r="H165" i="114" s="1"/>
  <c r="G165" i="114" a="1"/>
  <c r="G165" i="114" s="1"/>
  <c r="F165" i="114" a="1"/>
  <c r="F165" i="114" s="1"/>
  <c r="E165" i="114" a="1"/>
  <c r="E165" i="114" s="1"/>
  <c r="D165" i="114" a="1"/>
  <c r="D165" i="114" s="1"/>
  <c r="I164" i="114" a="1"/>
  <c r="I164" i="114" s="1"/>
  <c r="H164" i="114" a="1"/>
  <c r="H164" i="114" s="1"/>
  <c r="G164" i="114" a="1"/>
  <c r="G164" i="114" s="1"/>
  <c r="F164" i="114" a="1"/>
  <c r="F164" i="114" s="1"/>
  <c r="E164" i="114" a="1"/>
  <c r="E164" i="114" s="1"/>
  <c r="D164" i="114" a="1"/>
  <c r="D164" i="114" s="1"/>
  <c r="I163" i="114" a="1"/>
  <c r="I163" i="114" s="1"/>
  <c r="H163" i="114" a="1"/>
  <c r="H163" i="114" s="1"/>
  <c r="G163" i="114" a="1"/>
  <c r="G163" i="114" s="1"/>
  <c r="F163" i="114" a="1"/>
  <c r="F163" i="114" s="1"/>
  <c r="E163" i="114" a="1"/>
  <c r="E163" i="114" s="1"/>
  <c r="D163" i="114" a="1"/>
  <c r="D163" i="114" s="1"/>
  <c r="I162" i="114" a="1"/>
  <c r="I162" i="114" s="1"/>
  <c r="H162" i="114" a="1"/>
  <c r="H162" i="114" s="1"/>
  <c r="G162" i="114" a="1"/>
  <c r="G162" i="114" s="1"/>
  <c r="F162" i="114" a="1"/>
  <c r="F162" i="114" s="1"/>
  <c r="E162" i="114" a="1"/>
  <c r="E162" i="114" s="1"/>
  <c r="D56" i="109" s="1" a="1"/>
  <c r="D162" i="114" a="1"/>
  <c r="D162" i="114" s="1"/>
  <c r="I159" i="114" a="1"/>
  <c r="I159" i="114" s="1"/>
  <c r="H159" i="114" a="1"/>
  <c r="H159" i="114" s="1"/>
  <c r="G159" i="114" a="1"/>
  <c r="G159" i="114" s="1"/>
  <c r="F159" i="114" a="1"/>
  <c r="F159" i="114" s="1"/>
  <c r="O159" i="114" s="1"/>
  <c r="E159" i="114" a="1"/>
  <c r="E159" i="114" s="1"/>
  <c r="N159" i="114" s="1"/>
  <c r="P158" i="114" s="1"/>
  <c r="D159" i="114" a="1"/>
  <c r="D159" i="114" s="1"/>
  <c r="I158" i="114" a="1"/>
  <c r="I158" i="114" s="1"/>
  <c r="H158" i="114" a="1"/>
  <c r="H158" i="114" s="1"/>
  <c r="G158" i="114" a="1"/>
  <c r="G158" i="114" s="1"/>
  <c r="F158" i="114" a="1"/>
  <c r="F158" i="114" s="1"/>
  <c r="L158" i="114" s="1"/>
  <c r="E158" i="114" a="1"/>
  <c r="E158" i="114" s="1"/>
  <c r="K158" i="114" s="1"/>
  <c r="M157" i="114" s="1"/>
  <c r="D158" i="114" a="1"/>
  <c r="D158" i="114" s="1"/>
  <c r="I157" i="114" a="1"/>
  <c r="I157" i="114" s="1"/>
  <c r="H157" i="114" a="1"/>
  <c r="H157" i="114" s="1"/>
  <c r="G157" i="114" a="1"/>
  <c r="G157" i="114" s="1"/>
  <c r="F157" i="114" a="1"/>
  <c r="F157" i="114" s="1"/>
  <c r="O157" i="114" s="1"/>
  <c r="E157" i="114" a="1"/>
  <c r="E157" i="114" s="1"/>
  <c r="N157" i="114" s="1"/>
  <c r="P156" i="114" s="1"/>
  <c r="D157" i="114" a="1"/>
  <c r="D157" i="114" s="1"/>
  <c r="I156" i="114" a="1"/>
  <c r="I156" i="114" s="1"/>
  <c r="H156" i="114" a="1"/>
  <c r="H156" i="114" s="1"/>
  <c r="G156" i="114" a="1"/>
  <c r="G156" i="114" s="1"/>
  <c r="F156" i="114" a="1"/>
  <c r="F156" i="114" s="1"/>
  <c r="L156" i="114" s="1"/>
  <c r="E156" i="114" a="1"/>
  <c r="E156" i="114" s="1"/>
  <c r="K156" i="114" s="1"/>
  <c r="M155" i="114" s="1"/>
  <c r="D156" i="114" a="1"/>
  <c r="D156" i="114" s="1"/>
  <c r="I155" i="114" a="1"/>
  <c r="I155" i="114" s="1"/>
  <c r="H155" i="114" a="1"/>
  <c r="H155" i="114" s="1"/>
  <c r="G155" i="114" a="1"/>
  <c r="G155" i="114" s="1"/>
  <c r="F155" i="114" a="1"/>
  <c r="F155" i="114" s="1"/>
  <c r="O155" i="114" s="1"/>
  <c r="E155" i="114" a="1"/>
  <c r="E155" i="114" s="1"/>
  <c r="N155" i="114" s="1"/>
  <c r="P154" i="114" s="1"/>
  <c r="D155" i="114" a="1"/>
  <c r="D155" i="114" s="1"/>
  <c r="I154" i="114" a="1"/>
  <c r="I154" i="114" s="1"/>
  <c r="H154" i="114" a="1"/>
  <c r="H154" i="114" s="1"/>
  <c r="G154" i="114" a="1"/>
  <c r="G154" i="114" s="1"/>
  <c r="F154" i="114" a="1"/>
  <c r="F154" i="114" s="1"/>
  <c r="L154" i="114" s="1"/>
  <c r="E154" i="114" a="1"/>
  <c r="E154" i="114" s="1"/>
  <c r="K154" i="114" s="1"/>
  <c r="M153" i="114" s="1"/>
  <c r="D154" i="114" a="1"/>
  <c r="D154" i="114" s="1"/>
  <c r="I153" i="114" a="1"/>
  <c r="I153" i="114" s="1"/>
  <c r="H153" i="114" a="1"/>
  <c r="H153" i="114" s="1"/>
  <c r="G153" i="114" a="1"/>
  <c r="G153" i="114" s="1"/>
  <c r="F153" i="114" a="1"/>
  <c r="F153" i="114" s="1"/>
  <c r="O153" i="114" s="1"/>
  <c r="E153" i="114" a="1"/>
  <c r="E153" i="114" s="1"/>
  <c r="N153" i="114" s="1"/>
  <c r="P152" i="114" s="1"/>
  <c r="D153" i="114" a="1"/>
  <c r="D153" i="114" s="1"/>
  <c r="I152" i="114" a="1"/>
  <c r="I152" i="114" s="1"/>
  <c r="H152" i="114" a="1"/>
  <c r="H152" i="114" s="1"/>
  <c r="G152" i="114" a="1"/>
  <c r="G152" i="114" s="1"/>
  <c r="F152" i="114" a="1"/>
  <c r="F152" i="114" s="1"/>
  <c r="L152" i="114" s="1"/>
  <c r="E152" i="114" a="1"/>
  <c r="E152" i="114" s="1"/>
  <c r="K152" i="114" s="1"/>
  <c r="M151" i="114" s="1"/>
  <c r="D152" i="114" a="1"/>
  <c r="D152" i="114" s="1"/>
  <c r="I151" i="114" a="1"/>
  <c r="I151" i="114" s="1"/>
  <c r="H151" i="114" a="1"/>
  <c r="H151" i="114" s="1"/>
  <c r="G151" i="114" a="1"/>
  <c r="G151" i="114" s="1"/>
  <c r="F151" i="114" a="1"/>
  <c r="F151" i="114" s="1"/>
  <c r="O151" i="114" s="1"/>
  <c r="E151" i="114" a="1"/>
  <c r="E151" i="114" s="1"/>
  <c r="N151" i="114" s="1"/>
  <c r="D151" i="114" a="1"/>
  <c r="D151" i="114" s="1"/>
  <c r="I150" i="114" a="1"/>
  <c r="I150" i="114" s="1"/>
  <c r="H150" i="114" a="1"/>
  <c r="H150" i="114" s="1"/>
  <c r="G150" i="114" a="1"/>
  <c r="G150" i="114" s="1"/>
  <c r="F150" i="114" a="1"/>
  <c r="F150" i="114" s="1"/>
  <c r="O150" i="114" s="1"/>
  <c r="E150" i="114" a="1"/>
  <c r="E150" i="114" s="1"/>
  <c r="N150" i="114" s="1"/>
  <c r="D150" i="114" a="1"/>
  <c r="D150" i="114" s="1"/>
  <c r="I149" i="114" a="1"/>
  <c r="I149" i="114" s="1"/>
  <c r="H149" i="114" a="1"/>
  <c r="H149" i="114" s="1"/>
  <c r="G149" i="114" a="1"/>
  <c r="G149" i="114" s="1"/>
  <c r="F149" i="114" a="1"/>
  <c r="F149" i="114" s="1"/>
  <c r="O149" i="114" s="1"/>
  <c r="E149" i="114" a="1"/>
  <c r="E149" i="114" s="1"/>
  <c r="N149" i="114" s="1"/>
  <c r="D149" i="114" a="1"/>
  <c r="D149" i="114" s="1"/>
  <c r="I148" i="114" a="1"/>
  <c r="I148" i="114" s="1"/>
  <c r="H148" i="114" a="1"/>
  <c r="H148" i="114" s="1"/>
  <c r="G148" i="114" a="1"/>
  <c r="G148" i="114" s="1"/>
  <c r="F148" i="114" a="1"/>
  <c r="F148" i="114" s="1"/>
  <c r="O148" i="114" s="1"/>
  <c r="E148" i="114" a="1"/>
  <c r="E148" i="114" s="1"/>
  <c r="N148" i="114" s="1"/>
  <c r="D148" i="114" a="1"/>
  <c r="D148" i="114" s="1"/>
  <c r="I147" i="114" a="1"/>
  <c r="I147" i="114" s="1"/>
  <c r="H147" i="114" a="1"/>
  <c r="H147" i="114" s="1"/>
  <c r="G147" i="114" a="1"/>
  <c r="G147" i="114" s="1"/>
  <c r="F147" i="114" a="1"/>
  <c r="F147" i="114" s="1"/>
  <c r="O147" i="114" s="1"/>
  <c r="E147" i="114" a="1"/>
  <c r="E147" i="114" s="1"/>
  <c r="N147" i="114" s="1"/>
  <c r="D147" i="114" a="1"/>
  <c r="D147" i="114" s="1"/>
  <c r="I146" i="114" a="1"/>
  <c r="I146" i="114" s="1"/>
  <c r="H146" i="114" a="1"/>
  <c r="H146" i="114" s="1"/>
  <c r="G146" i="114" a="1"/>
  <c r="G146" i="114" s="1"/>
  <c r="F146" i="114" a="1"/>
  <c r="F146" i="114" s="1"/>
  <c r="O146" i="114" s="1"/>
  <c r="E146" i="114" a="1"/>
  <c r="E146" i="114" s="1"/>
  <c r="N146" i="114" s="1"/>
  <c r="D146" i="114" a="1"/>
  <c r="D146" i="114" s="1"/>
  <c r="I145" i="114" a="1"/>
  <c r="I145" i="114" s="1"/>
  <c r="H145" i="114" a="1"/>
  <c r="H145" i="114" s="1"/>
  <c r="G145" i="114" a="1"/>
  <c r="G145" i="114" s="1"/>
  <c r="F145" i="114" a="1"/>
  <c r="F145" i="114" s="1"/>
  <c r="O145" i="114" s="1"/>
  <c r="E145" i="114" a="1"/>
  <c r="E145" i="114" s="1"/>
  <c r="N145" i="114" s="1"/>
  <c r="P144" i="114" s="1"/>
  <c r="D145" i="114" a="1"/>
  <c r="D145" i="114" s="1"/>
  <c r="I144" i="114" a="1"/>
  <c r="I144" i="114" s="1"/>
  <c r="H144" i="114" a="1"/>
  <c r="H144" i="114" s="1"/>
  <c r="G144" i="114" a="1"/>
  <c r="G144" i="114" s="1"/>
  <c r="F144" i="114" a="1"/>
  <c r="F144" i="114" s="1"/>
  <c r="L144" i="114" s="1"/>
  <c r="E144" i="114" a="1"/>
  <c r="E144" i="114" s="1"/>
  <c r="K144" i="114" s="1"/>
  <c r="D144" i="114" a="1"/>
  <c r="D144" i="114" s="1"/>
  <c r="I143" i="114" a="1"/>
  <c r="I143" i="114" s="1"/>
  <c r="H143" i="114" a="1"/>
  <c r="H143" i="114" s="1"/>
  <c r="G143" i="114" a="1"/>
  <c r="G143" i="114" s="1"/>
  <c r="F143" i="114" a="1"/>
  <c r="F143" i="114" s="1"/>
  <c r="L143" i="114" s="1"/>
  <c r="E143" i="114" a="1"/>
  <c r="E143" i="114" s="1"/>
  <c r="K143" i="114" s="1"/>
  <c r="D143" i="114" a="1"/>
  <c r="D143" i="114" s="1"/>
  <c r="I142" i="114" a="1"/>
  <c r="I142" i="114" s="1"/>
  <c r="H142" i="114" a="1"/>
  <c r="H142" i="114" s="1"/>
  <c r="G142" i="114" a="1"/>
  <c r="G142" i="114" s="1"/>
  <c r="F142" i="114" a="1"/>
  <c r="F142" i="114" s="1"/>
  <c r="L142" i="114" s="1"/>
  <c r="E142" i="114" a="1"/>
  <c r="E142" i="114" s="1"/>
  <c r="K142" i="114" s="1"/>
  <c r="D142" i="114" a="1"/>
  <c r="D142" i="114" s="1"/>
  <c r="I141" i="114" a="1"/>
  <c r="I141" i="114" s="1"/>
  <c r="H141" i="114" a="1"/>
  <c r="H141" i="114" s="1"/>
  <c r="G141" i="114" a="1"/>
  <c r="G141" i="114" s="1"/>
  <c r="F141" i="114" a="1"/>
  <c r="F141" i="114" s="1"/>
  <c r="L141" i="114" s="1"/>
  <c r="E141" i="114" a="1"/>
  <c r="E141" i="114" s="1"/>
  <c r="K141" i="114" s="1"/>
  <c r="D141" i="114" a="1"/>
  <c r="D141" i="114" s="1"/>
  <c r="I140" i="114" a="1"/>
  <c r="I140" i="114" s="1"/>
  <c r="H140" i="114" a="1"/>
  <c r="H140" i="114" s="1"/>
  <c r="G140" i="114" a="1"/>
  <c r="G140" i="114" s="1"/>
  <c r="F140" i="114" a="1"/>
  <c r="F140" i="114" s="1"/>
  <c r="L140" i="114" s="1"/>
  <c r="E140" i="114" a="1"/>
  <c r="E140" i="114" s="1"/>
  <c r="K140" i="114" s="1"/>
  <c r="D140" i="114" a="1"/>
  <c r="D140" i="114" s="1"/>
  <c r="I139" i="114" a="1"/>
  <c r="I139" i="114" s="1"/>
  <c r="H139" i="114" a="1"/>
  <c r="H139" i="114" s="1"/>
  <c r="G139" i="114" a="1"/>
  <c r="G139" i="114" s="1"/>
  <c r="F139" i="114" a="1"/>
  <c r="F139" i="114" s="1"/>
  <c r="L139" i="114" s="1"/>
  <c r="E139" i="114" a="1"/>
  <c r="E139" i="114" s="1"/>
  <c r="K139" i="114" s="1"/>
  <c r="M138" i="114" s="1"/>
  <c r="D139" i="114" a="1"/>
  <c r="D139" i="114" s="1"/>
  <c r="I138" i="114" a="1"/>
  <c r="I138" i="114" s="1"/>
  <c r="H138" i="114" a="1"/>
  <c r="H138" i="114" s="1"/>
  <c r="G138" i="114" a="1"/>
  <c r="G138" i="114" s="1"/>
  <c r="F138" i="114" a="1"/>
  <c r="F138" i="114" s="1"/>
  <c r="O138" i="114" s="1"/>
  <c r="E138" i="114" a="1"/>
  <c r="E138" i="114" s="1"/>
  <c r="N138" i="114" s="1"/>
  <c r="D138" i="114" a="1"/>
  <c r="D138" i="114" s="1"/>
  <c r="I137" i="114" a="1"/>
  <c r="I137" i="114" s="1"/>
  <c r="H137" i="114" a="1"/>
  <c r="H137" i="114" s="1"/>
  <c r="G137" i="114" a="1"/>
  <c r="G137" i="114" s="1"/>
  <c r="F137" i="114" a="1"/>
  <c r="F137" i="114" s="1"/>
  <c r="O137" i="114" s="1"/>
  <c r="E137" i="114" a="1"/>
  <c r="E137" i="114" s="1"/>
  <c r="N137" i="114" s="1"/>
  <c r="D137" i="114" a="1"/>
  <c r="D137" i="114" s="1"/>
  <c r="I136" i="114" a="1"/>
  <c r="I136" i="114" s="1"/>
  <c r="H136" i="114" a="1"/>
  <c r="H136" i="114" s="1"/>
  <c r="G136" i="114" a="1"/>
  <c r="G136" i="114" s="1"/>
  <c r="F136" i="114" a="1"/>
  <c r="F136" i="114" s="1"/>
  <c r="O136" i="114" s="1"/>
  <c r="E136" i="114" a="1"/>
  <c r="E136" i="114" s="1"/>
  <c r="N136" i="114" s="1"/>
  <c r="D136" i="114" a="1"/>
  <c r="D136" i="114" s="1"/>
  <c r="I135" i="114" a="1"/>
  <c r="I135" i="114" s="1"/>
  <c r="H135" i="114" a="1"/>
  <c r="H135" i="114" s="1"/>
  <c r="G135" i="114" a="1"/>
  <c r="G135" i="114" s="1"/>
  <c r="F135" i="114" a="1"/>
  <c r="F135" i="114" s="1"/>
  <c r="O135" i="114" s="1"/>
  <c r="E135" i="114" a="1"/>
  <c r="E135" i="114" s="1"/>
  <c r="N135" i="114" s="1"/>
  <c r="D135" i="114" a="1"/>
  <c r="D135" i="114" s="1"/>
  <c r="I134" i="114" a="1"/>
  <c r="I134" i="114" s="1"/>
  <c r="H134" i="114" a="1"/>
  <c r="H134" i="114" s="1"/>
  <c r="G134" i="114" a="1"/>
  <c r="G134" i="114" s="1"/>
  <c r="F134" i="114" a="1"/>
  <c r="F134" i="114" s="1"/>
  <c r="O134" i="114" s="1"/>
  <c r="E134" i="114" a="1"/>
  <c r="E134" i="114" s="1"/>
  <c r="N134" i="114" s="1"/>
  <c r="D134" i="114" a="1"/>
  <c r="D134" i="114" s="1"/>
  <c r="I133" i="114" a="1"/>
  <c r="I133" i="114" s="1"/>
  <c r="H133" i="114" a="1"/>
  <c r="H133" i="114" s="1"/>
  <c r="G133" i="114" a="1"/>
  <c r="G133" i="114" s="1"/>
  <c r="F133" i="114" a="1"/>
  <c r="F133" i="114" s="1"/>
  <c r="O133" i="114" s="1"/>
  <c r="E133" i="114" a="1"/>
  <c r="E133" i="114" s="1"/>
  <c r="N133" i="114" s="1"/>
  <c r="D133" i="114" a="1"/>
  <c r="D133" i="114" s="1"/>
  <c r="I132" i="114" a="1"/>
  <c r="I132" i="114" s="1"/>
  <c r="H132" i="114" a="1"/>
  <c r="H132" i="114" s="1"/>
  <c r="G132" i="114" a="1"/>
  <c r="G132" i="114" s="1"/>
  <c r="F132" i="114" a="1"/>
  <c r="F132" i="114" s="1"/>
  <c r="O132" i="114" s="1"/>
  <c r="E132" i="114" a="1"/>
  <c r="E132" i="114" s="1"/>
  <c r="N132" i="114" s="1"/>
  <c r="P131" i="114" s="1"/>
  <c r="D132" i="114" a="1"/>
  <c r="D132" i="114" s="1"/>
  <c r="I131" i="114" a="1"/>
  <c r="I131" i="114" s="1"/>
  <c r="H131" i="114" a="1"/>
  <c r="H131" i="114" s="1"/>
  <c r="G131" i="114" a="1"/>
  <c r="G131" i="114" s="1"/>
  <c r="F131" i="114" a="1"/>
  <c r="F131" i="114" s="1"/>
  <c r="L131" i="114" s="1"/>
  <c r="E131" i="114" a="1"/>
  <c r="E131" i="114" s="1"/>
  <c r="K131" i="114" s="1"/>
  <c r="D131" i="114" a="1"/>
  <c r="D131" i="114" s="1"/>
  <c r="I130" i="114" a="1"/>
  <c r="I130" i="114" s="1"/>
  <c r="H130" i="114" a="1"/>
  <c r="H130" i="114" s="1"/>
  <c r="G130" i="114" a="1"/>
  <c r="G130" i="114" s="1"/>
  <c r="F130" i="114" a="1"/>
  <c r="F130" i="114" s="1"/>
  <c r="L130" i="114" s="1"/>
  <c r="E130" i="114" a="1"/>
  <c r="E130" i="114" s="1"/>
  <c r="K130" i="114" s="1"/>
  <c r="D130" i="114" a="1"/>
  <c r="D130" i="114" s="1"/>
  <c r="I129" i="114" a="1"/>
  <c r="I129" i="114" s="1"/>
  <c r="H129" i="114" a="1"/>
  <c r="H129" i="114" s="1"/>
  <c r="G129" i="114" a="1"/>
  <c r="G129" i="114" s="1"/>
  <c r="F129" i="114" a="1"/>
  <c r="F129" i="114" s="1"/>
  <c r="L129" i="114" s="1"/>
  <c r="E129" i="114" a="1"/>
  <c r="E129" i="114" s="1"/>
  <c r="K129" i="114" s="1"/>
  <c r="D129" i="114" a="1"/>
  <c r="D129" i="114" s="1"/>
  <c r="I128" i="114" a="1"/>
  <c r="I128" i="114" s="1"/>
  <c r="H128" i="114" a="1"/>
  <c r="H128" i="114" s="1"/>
  <c r="G128" i="114" a="1"/>
  <c r="G128" i="114" s="1"/>
  <c r="F128" i="114" a="1"/>
  <c r="F128" i="114" s="1"/>
  <c r="L128" i="114" s="1"/>
  <c r="E128" i="114" a="1"/>
  <c r="E128" i="114" s="1"/>
  <c r="K128" i="114" s="1"/>
  <c r="D128" i="114" a="1"/>
  <c r="D128" i="114" s="1"/>
  <c r="I127" i="114" a="1"/>
  <c r="I127" i="114" s="1"/>
  <c r="H127" i="114" a="1"/>
  <c r="H127" i="114" s="1"/>
  <c r="G127" i="114" a="1"/>
  <c r="G127" i="114" s="1"/>
  <c r="F127" i="114" a="1"/>
  <c r="F127" i="114" s="1"/>
  <c r="L127" i="114" s="1"/>
  <c r="E127" i="114" a="1"/>
  <c r="E127" i="114" s="1"/>
  <c r="K127" i="114" s="1"/>
  <c r="D127" i="114" a="1"/>
  <c r="D127" i="114" s="1"/>
  <c r="I126" i="114" a="1"/>
  <c r="I126" i="114" s="1"/>
  <c r="H126" i="114" a="1"/>
  <c r="H126" i="114" s="1"/>
  <c r="G126" i="114" a="1"/>
  <c r="G126" i="114" s="1"/>
  <c r="F126" i="114" a="1"/>
  <c r="F126" i="114" s="1"/>
  <c r="L126" i="114" s="1"/>
  <c r="E126" i="114" a="1"/>
  <c r="E126" i="114" s="1"/>
  <c r="K126" i="114" s="1"/>
  <c r="M125" i="114" s="1"/>
  <c r="D126" i="114" a="1"/>
  <c r="D126" i="114" s="1"/>
  <c r="I125" i="114" a="1"/>
  <c r="I125" i="114" s="1"/>
  <c r="H125" i="114" a="1"/>
  <c r="H125" i="114" s="1"/>
  <c r="G125" i="114" a="1"/>
  <c r="G125" i="114" s="1"/>
  <c r="F125" i="114" a="1"/>
  <c r="F125" i="114" s="1"/>
  <c r="O125" i="114" s="1"/>
  <c r="E125" i="114" a="1"/>
  <c r="E125" i="114" s="1"/>
  <c r="N125" i="114" s="1"/>
  <c r="D125" i="114" a="1"/>
  <c r="D125" i="114" s="1"/>
  <c r="I124" i="114" a="1"/>
  <c r="I124" i="114" s="1"/>
  <c r="H124" i="114" a="1"/>
  <c r="H124" i="114" s="1"/>
  <c r="G124" i="114" a="1"/>
  <c r="G124" i="114" s="1"/>
  <c r="F124" i="114" a="1"/>
  <c r="F124" i="114" s="1"/>
  <c r="O124" i="114" s="1"/>
  <c r="E124" i="114" a="1"/>
  <c r="E124" i="114" s="1"/>
  <c r="N124" i="114" s="1"/>
  <c r="D124" i="114" a="1"/>
  <c r="D124" i="114" s="1"/>
  <c r="I123" i="114" a="1"/>
  <c r="I123" i="114" s="1"/>
  <c r="H123" i="114" a="1"/>
  <c r="H123" i="114" s="1"/>
  <c r="G123" i="114" a="1"/>
  <c r="G123" i="114" s="1"/>
  <c r="F123" i="114" a="1"/>
  <c r="F123" i="114" s="1"/>
  <c r="O123" i="114" s="1"/>
  <c r="E123" i="114" a="1"/>
  <c r="E123" i="114" s="1"/>
  <c r="N123" i="114" s="1"/>
  <c r="D123" i="114" a="1"/>
  <c r="D123" i="114" s="1"/>
  <c r="I122" i="114" a="1"/>
  <c r="I122" i="114" s="1"/>
  <c r="H122" i="114" a="1"/>
  <c r="H122" i="114" s="1"/>
  <c r="G122" i="114" a="1"/>
  <c r="G122" i="114" s="1"/>
  <c r="F122" i="114" a="1"/>
  <c r="F122" i="114" s="1"/>
  <c r="O122" i="114" s="1"/>
  <c r="E122" i="114" a="1"/>
  <c r="E122" i="114" s="1"/>
  <c r="N122" i="114" s="1"/>
  <c r="D122" i="114" a="1"/>
  <c r="D122" i="114" s="1"/>
  <c r="I121" i="114" a="1"/>
  <c r="I121" i="114" s="1"/>
  <c r="H121" i="114" a="1"/>
  <c r="H121" i="114" s="1"/>
  <c r="G121" i="114" a="1"/>
  <c r="G121" i="114" s="1"/>
  <c r="F121" i="114" a="1"/>
  <c r="F121" i="114" s="1"/>
  <c r="O121" i="114" s="1"/>
  <c r="E121" i="114" a="1"/>
  <c r="E121" i="114" s="1"/>
  <c r="N121" i="114" s="1"/>
  <c r="D121" i="114" a="1"/>
  <c r="D121" i="114" s="1"/>
  <c r="I120" i="114" a="1"/>
  <c r="I120" i="114" s="1"/>
  <c r="H120" i="114" a="1"/>
  <c r="H120" i="114" s="1"/>
  <c r="G120" i="114" a="1"/>
  <c r="G120" i="114" s="1"/>
  <c r="F120" i="114" a="1"/>
  <c r="F120" i="114" s="1"/>
  <c r="O120" i="114" s="1"/>
  <c r="E120" i="114" a="1"/>
  <c r="E120" i="114" s="1"/>
  <c r="N120" i="114" s="1"/>
  <c r="D120" i="114" a="1"/>
  <c r="D120" i="114" s="1"/>
  <c r="I119" i="114" a="1"/>
  <c r="I119" i="114" s="1"/>
  <c r="H119" i="114" a="1"/>
  <c r="H119" i="114" s="1"/>
  <c r="G119" i="114" a="1"/>
  <c r="G119" i="114" s="1"/>
  <c r="F119" i="114" a="1"/>
  <c r="F119" i="114" s="1"/>
  <c r="O119" i="114" s="1"/>
  <c r="E119" i="114" a="1"/>
  <c r="E119" i="114" s="1"/>
  <c r="N119" i="114" s="1"/>
  <c r="P118" i="114" s="1"/>
  <c r="D119" i="114" a="1"/>
  <c r="D119" i="114" s="1"/>
  <c r="I118" i="114" a="1"/>
  <c r="I118" i="114" s="1"/>
  <c r="H118" i="114" a="1"/>
  <c r="H118" i="114" s="1"/>
  <c r="G118" i="114" a="1"/>
  <c r="G118" i="114" s="1"/>
  <c r="F118" i="114" a="1"/>
  <c r="F118" i="114" s="1"/>
  <c r="L118" i="114" s="1"/>
  <c r="E118" i="114" a="1"/>
  <c r="E118" i="114" s="1"/>
  <c r="K118" i="114" s="1"/>
  <c r="D118" i="114" a="1"/>
  <c r="D118" i="114" s="1"/>
  <c r="I117" i="114" a="1"/>
  <c r="I117" i="114" s="1"/>
  <c r="H117" i="114" a="1"/>
  <c r="H117" i="114" s="1"/>
  <c r="G117" i="114" a="1"/>
  <c r="G117" i="114" s="1"/>
  <c r="F117" i="114" a="1"/>
  <c r="F117" i="114" s="1"/>
  <c r="L117" i="114" s="1"/>
  <c r="E117" i="114" a="1"/>
  <c r="E117" i="114" s="1"/>
  <c r="K117" i="114" s="1"/>
  <c r="D117" i="114" a="1"/>
  <c r="D117" i="114" s="1"/>
  <c r="I116" i="114" a="1"/>
  <c r="I116" i="114" s="1"/>
  <c r="H116" i="114" a="1"/>
  <c r="H116" i="114" s="1"/>
  <c r="G116" i="114" a="1"/>
  <c r="G116" i="114" s="1"/>
  <c r="F116" i="114" a="1"/>
  <c r="F116" i="114" s="1"/>
  <c r="L116" i="114" s="1"/>
  <c r="E116" i="114" a="1"/>
  <c r="E116" i="114" s="1"/>
  <c r="K116" i="114" s="1"/>
  <c r="D116" i="114" a="1"/>
  <c r="D116" i="114" s="1"/>
  <c r="I115" i="114" a="1"/>
  <c r="I115" i="114" s="1"/>
  <c r="H115" i="114" a="1"/>
  <c r="H115" i="114" s="1"/>
  <c r="G115" i="114" a="1"/>
  <c r="G115" i="114" s="1"/>
  <c r="F115" i="114" a="1"/>
  <c r="F115" i="114" s="1"/>
  <c r="L115" i="114" s="1"/>
  <c r="E115" i="114" a="1"/>
  <c r="E115" i="114" s="1"/>
  <c r="K115" i="114" s="1"/>
  <c r="D115" i="114" a="1"/>
  <c r="D115" i="114" s="1"/>
  <c r="I114" i="114" a="1"/>
  <c r="I114" i="114" s="1"/>
  <c r="H114" i="114" a="1"/>
  <c r="H114" i="114" s="1"/>
  <c r="G114" i="114" a="1"/>
  <c r="G114" i="114" s="1"/>
  <c r="F114" i="114" a="1"/>
  <c r="F114" i="114" s="1"/>
  <c r="L114" i="114" s="1"/>
  <c r="E114" i="114" a="1"/>
  <c r="E114" i="114" s="1"/>
  <c r="K114" i="114" s="1"/>
  <c r="D114" i="114" a="1"/>
  <c r="D114" i="114" s="1"/>
  <c r="I113" i="114" a="1"/>
  <c r="I113" i="114" s="1"/>
  <c r="H113" i="114" a="1"/>
  <c r="H113" i="114" s="1"/>
  <c r="G113" i="114" a="1"/>
  <c r="G113" i="114" s="1"/>
  <c r="F113" i="114" a="1"/>
  <c r="F113" i="114" s="1"/>
  <c r="L113" i="114" s="1"/>
  <c r="E113" i="114" a="1"/>
  <c r="E113" i="114" s="1"/>
  <c r="K113" i="114" s="1"/>
  <c r="D113" i="114" a="1"/>
  <c r="D113" i="114" s="1"/>
  <c r="I112" i="114" a="1"/>
  <c r="I112" i="114" s="1"/>
  <c r="H112" i="114" a="1"/>
  <c r="H112" i="114" s="1"/>
  <c r="G112" i="114" a="1"/>
  <c r="G112" i="114" s="1"/>
  <c r="F112" i="114" a="1"/>
  <c r="F112" i="114" s="1"/>
  <c r="L112" i="114" s="1"/>
  <c r="E112" i="114" a="1"/>
  <c r="E112" i="114" s="1"/>
  <c r="K112" i="114" s="1"/>
  <c r="D112" i="114" a="1"/>
  <c r="D112" i="114" s="1"/>
  <c r="I111" i="114" a="1"/>
  <c r="I111" i="114" s="1"/>
  <c r="H111" i="114" a="1"/>
  <c r="H111" i="114" s="1"/>
  <c r="G111" i="114" a="1"/>
  <c r="G111" i="114" s="1"/>
  <c r="F111" i="114" a="1"/>
  <c r="F111" i="114" s="1"/>
  <c r="L111" i="114" s="1"/>
  <c r="E111" i="114" a="1"/>
  <c r="E111" i="114" s="1"/>
  <c r="K111" i="114" s="1"/>
  <c r="M110" i="114" s="1"/>
  <c r="D111" i="114" a="1"/>
  <c r="D111" i="114" s="1"/>
  <c r="I110" i="114" a="1"/>
  <c r="I110" i="114" s="1"/>
  <c r="H110" i="114" a="1"/>
  <c r="H110" i="114" s="1"/>
  <c r="G110" i="114" a="1"/>
  <c r="G110" i="114" s="1"/>
  <c r="F110" i="114" a="1"/>
  <c r="F110" i="114" s="1"/>
  <c r="O110" i="114" s="1"/>
  <c r="E110" i="114" a="1"/>
  <c r="E110" i="114" s="1"/>
  <c r="N110" i="114" s="1"/>
  <c r="D110" i="114" a="1"/>
  <c r="D110" i="114" s="1"/>
  <c r="I109" i="114" a="1"/>
  <c r="I109" i="114" s="1"/>
  <c r="H109" i="114" a="1"/>
  <c r="H109" i="114" s="1"/>
  <c r="G109" i="114" a="1"/>
  <c r="G109" i="114" s="1"/>
  <c r="F109" i="114" a="1"/>
  <c r="F109" i="114" s="1"/>
  <c r="O109" i="114" s="1"/>
  <c r="E109" i="114" a="1"/>
  <c r="E109" i="114" s="1"/>
  <c r="N109" i="114" s="1"/>
  <c r="D109" i="114" a="1"/>
  <c r="D109" i="114" s="1"/>
  <c r="I108" i="114" a="1"/>
  <c r="I108" i="114" s="1"/>
  <c r="H108" i="114" a="1"/>
  <c r="H108" i="114" s="1"/>
  <c r="G108" i="114" a="1"/>
  <c r="G108" i="114" s="1"/>
  <c r="F108" i="114" a="1"/>
  <c r="F108" i="114" s="1"/>
  <c r="O108" i="114" s="1"/>
  <c r="E108" i="114" a="1"/>
  <c r="E108" i="114" s="1"/>
  <c r="N108" i="114" s="1"/>
  <c r="D108" i="114" a="1"/>
  <c r="D108" i="114" s="1"/>
  <c r="I107" i="114" a="1"/>
  <c r="I107" i="114" s="1"/>
  <c r="H107" i="114" a="1"/>
  <c r="H107" i="114" s="1"/>
  <c r="G107" i="114" a="1"/>
  <c r="G107" i="114" s="1"/>
  <c r="F107" i="114" a="1"/>
  <c r="F107" i="114" s="1"/>
  <c r="O107" i="114" s="1"/>
  <c r="E107" i="114" a="1"/>
  <c r="E107" i="114" s="1"/>
  <c r="N107" i="114" s="1"/>
  <c r="D107" i="114" a="1"/>
  <c r="D107" i="114" s="1"/>
  <c r="I106" i="114" a="1"/>
  <c r="I106" i="114" s="1"/>
  <c r="H106" i="114" a="1"/>
  <c r="H106" i="114" s="1"/>
  <c r="G106" i="114" a="1"/>
  <c r="G106" i="114" s="1"/>
  <c r="F106" i="114" a="1"/>
  <c r="F106" i="114" s="1"/>
  <c r="O106" i="114" s="1"/>
  <c r="E106" i="114" a="1"/>
  <c r="E106" i="114" s="1"/>
  <c r="N106" i="114" s="1"/>
  <c r="P105" i="114" s="1"/>
  <c r="D106" i="114" a="1"/>
  <c r="D106" i="114" s="1"/>
  <c r="I105" i="114" a="1"/>
  <c r="I105" i="114" s="1"/>
  <c r="H105" i="114" a="1"/>
  <c r="H105" i="114" s="1"/>
  <c r="G105" i="114" a="1"/>
  <c r="G105" i="114" s="1"/>
  <c r="F105" i="114" a="1"/>
  <c r="F105" i="114" s="1"/>
  <c r="L105" i="114" s="1"/>
  <c r="E105" i="114" a="1"/>
  <c r="E105" i="114" s="1"/>
  <c r="K105" i="114" s="1"/>
  <c r="D105" i="114" a="1"/>
  <c r="D105" i="114" s="1"/>
  <c r="I104" i="114" a="1"/>
  <c r="I104" i="114" s="1"/>
  <c r="H104" i="114" a="1"/>
  <c r="H104" i="114" s="1"/>
  <c r="G104" i="114" a="1"/>
  <c r="G104" i="114" s="1"/>
  <c r="F104" i="114" a="1"/>
  <c r="F104" i="114" s="1"/>
  <c r="L104" i="114" s="1"/>
  <c r="E104" i="114" a="1"/>
  <c r="E104" i="114" s="1"/>
  <c r="K104" i="114" s="1"/>
  <c r="D104" i="114" a="1"/>
  <c r="D104" i="114" s="1"/>
  <c r="I103" i="114" a="1"/>
  <c r="I103" i="114" s="1"/>
  <c r="H103" i="114" a="1"/>
  <c r="H103" i="114" s="1"/>
  <c r="G103" i="114" a="1"/>
  <c r="G103" i="114" s="1"/>
  <c r="F103" i="114" a="1"/>
  <c r="F103" i="114" s="1"/>
  <c r="L103" i="114" s="1"/>
  <c r="E103" i="114" a="1"/>
  <c r="E103" i="114" s="1"/>
  <c r="K103" i="114" s="1"/>
  <c r="D103" i="114" a="1"/>
  <c r="D103" i="114" s="1"/>
  <c r="I102" i="114" a="1"/>
  <c r="I102" i="114" s="1"/>
  <c r="H102" i="114" a="1"/>
  <c r="H102" i="114" s="1"/>
  <c r="G102" i="114" a="1"/>
  <c r="G102" i="114" s="1"/>
  <c r="F102" i="114" a="1"/>
  <c r="F102" i="114" s="1"/>
  <c r="L102" i="114" s="1"/>
  <c r="E102" i="114" a="1"/>
  <c r="E102" i="114" s="1"/>
  <c r="K102" i="114" s="1"/>
  <c r="D102" i="114" a="1"/>
  <c r="D102" i="114" s="1"/>
  <c r="I101" i="114" a="1"/>
  <c r="I101" i="114" s="1"/>
  <c r="H101" i="114" a="1"/>
  <c r="H101" i="114" s="1"/>
  <c r="G101" i="114" a="1"/>
  <c r="G101" i="114" s="1"/>
  <c r="F101" i="114" a="1"/>
  <c r="F101" i="114" s="1"/>
  <c r="L101" i="114" s="1"/>
  <c r="E101" i="114" a="1"/>
  <c r="E101" i="114" s="1"/>
  <c r="K101" i="114" s="1"/>
  <c r="D101" i="114" a="1"/>
  <c r="D101" i="114" s="1"/>
  <c r="I100" i="114" a="1"/>
  <c r="I100" i="114" s="1"/>
  <c r="H100" i="114" a="1"/>
  <c r="H100" i="114" s="1"/>
  <c r="G100" i="114" a="1"/>
  <c r="G100" i="114" s="1"/>
  <c r="F100" i="114" a="1"/>
  <c r="F100" i="114" s="1"/>
  <c r="L100" i="114" s="1"/>
  <c r="E100" i="114" a="1"/>
  <c r="E100" i="114" s="1"/>
  <c r="K100" i="114" s="1"/>
  <c r="D100" i="114" a="1"/>
  <c r="D100" i="114" s="1"/>
  <c r="I99" i="114" a="1"/>
  <c r="I99" i="114" s="1"/>
  <c r="H99" i="114" a="1"/>
  <c r="H99" i="114" s="1"/>
  <c r="G99" i="114" a="1"/>
  <c r="G99" i="114" s="1"/>
  <c r="F99" i="114" a="1"/>
  <c r="F99" i="114" s="1"/>
  <c r="L99" i="114" s="1"/>
  <c r="E99" i="114" a="1"/>
  <c r="E99" i="114" s="1"/>
  <c r="K99" i="114" s="1"/>
  <c r="M98" i="114" s="1"/>
  <c r="D99" i="114" a="1"/>
  <c r="D99" i="114" s="1"/>
  <c r="I98" i="114" a="1"/>
  <c r="I98" i="114" s="1"/>
  <c r="H98" i="114" a="1"/>
  <c r="H98" i="114" s="1"/>
  <c r="G98" i="114" a="1"/>
  <c r="G98" i="114" s="1"/>
  <c r="F98" i="114" a="1"/>
  <c r="F98" i="114" s="1"/>
  <c r="O98" i="114" s="1"/>
  <c r="E98" i="114" a="1"/>
  <c r="E98" i="114" s="1"/>
  <c r="N98" i="114" s="1"/>
  <c r="D98" i="114" a="1"/>
  <c r="D98" i="114" s="1"/>
  <c r="I97" i="114" a="1"/>
  <c r="I97" i="114" s="1"/>
  <c r="H97" i="114" a="1"/>
  <c r="H97" i="114" s="1"/>
  <c r="G97" i="114" a="1"/>
  <c r="G97" i="114" s="1"/>
  <c r="F97" i="114" a="1"/>
  <c r="F97" i="114" s="1"/>
  <c r="O97" i="114" s="1"/>
  <c r="E97" i="114" a="1"/>
  <c r="E97" i="114" s="1"/>
  <c r="N97" i="114" s="1"/>
  <c r="D97" i="114" a="1"/>
  <c r="D97" i="114" s="1"/>
  <c r="I96" i="114" a="1"/>
  <c r="I96" i="114" s="1"/>
  <c r="H96" i="114" a="1"/>
  <c r="H96" i="114" s="1"/>
  <c r="G96" i="114" a="1"/>
  <c r="G96" i="114" s="1"/>
  <c r="F96" i="114" a="1"/>
  <c r="F96" i="114" s="1"/>
  <c r="O96" i="114" s="1"/>
  <c r="E96" i="114" a="1"/>
  <c r="E96" i="114" s="1"/>
  <c r="N96" i="114" s="1"/>
  <c r="D96" i="114" a="1"/>
  <c r="D96" i="114" s="1"/>
  <c r="I95" i="114" a="1"/>
  <c r="I95" i="114" s="1"/>
  <c r="H95" i="114" a="1"/>
  <c r="H95" i="114" s="1"/>
  <c r="G95" i="114" a="1"/>
  <c r="G95" i="114" s="1"/>
  <c r="F95" i="114" a="1"/>
  <c r="F95" i="114" s="1"/>
  <c r="O95" i="114" s="1"/>
  <c r="E95" i="114" a="1"/>
  <c r="E95" i="114" s="1"/>
  <c r="N95" i="114" s="1"/>
  <c r="D95" i="114" a="1"/>
  <c r="D95" i="114" s="1"/>
  <c r="I94" i="114" a="1"/>
  <c r="I94" i="114" s="1"/>
  <c r="H94" i="114" a="1"/>
  <c r="H94" i="114" s="1"/>
  <c r="G94" i="114" a="1"/>
  <c r="G94" i="114" s="1"/>
  <c r="F94" i="114" a="1"/>
  <c r="F94" i="114" s="1"/>
  <c r="O94" i="114" s="1"/>
  <c r="E94" i="114" a="1"/>
  <c r="E94" i="114" s="1"/>
  <c r="N94" i="114" s="1"/>
  <c r="D94" i="114" a="1"/>
  <c r="D94" i="114" s="1"/>
  <c r="I93" i="114" a="1"/>
  <c r="I93" i="114" s="1"/>
  <c r="H93" i="114" a="1"/>
  <c r="H93" i="114" s="1"/>
  <c r="G93" i="114" a="1"/>
  <c r="G93" i="114" s="1"/>
  <c r="F93" i="114" a="1"/>
  <c r="F93" i="114" s="1"/>
  <c r="O93" i="114" s="1"/>
  <c r="E93" i="114" a="1"/>
  <c r="E93" i="114" s="1"/>
  <c r="N93" i="114" s="1"/>
  <c r="D93" i="114" a="1"/>
  <c r="D93" i="114" s="1"/>
  <c r="I92" i="114" a="1"/>
  <c r="I92" i="114" s="1"/>
  <c r="H92" i="114" a="1"/>
  <c r="H92" i="114" s="1"/>
  <c r="G92" i="114" a="1"/>
  <c r="G92" i="114" s="1"/>
  <c r="F92" i="114" a="1"/>
  <c r="F92" i="114" s="1"/>
  <c r="O92" i="114" s="1"/>
  <c r="E92" i="114" a="1"/>
  <c r="E92" i="114" s="1"/>
  <c r="N92" i="114" s="1"/>
  <c r="D92" i="114" a="1"/>
  <c r="D92" i="114" s="1"/>
  <c r="I91" i="114" a="1"/>
  <c r="I91" i="114" s="1"/>
  <c r="H91" i="114" a="1"/>
  <c r="H91" i="114" s="1"/>
  <c r="G91" i="114" a="1"/>
  <c r="G91" i="114" s="1"/>
  <c r="F91" i="114" a="1"/>
  <c r="F91" i="114" s="1"/>
  <c r="O91" i="114" s="1"/>
  <c r="E91" i="114" a="1"/>
  <c r="E91" i="114" s="1"/>
  <c r="N91" i="114" s="1"/>
  <c r="P90" i="114" s="1"/>
  <c r="D91" i="114" a="1"/>
  <c r="D91" i="114" s="1"/>
  <c r="I90" i="114" a="1"/>
  <c r="I90" i="114" s="1"/>
  <c r="H90" i="114" a="1"/>
  <c r="H90" i="114" s="1"/>
  <c r="G90" i="114" a="1"/>
  <c r="G90" i="114" s="1"/>
  <c r="F90" i="114" a="1"/>
  <c r="F90" i="114" s="1"/>
  <c r="L90" i="114" s="1"/>
  <c r="E90" i="114" a="1"/>
  <c r="E90" i="114" s="1"/>
  <c r="P124" i="112" s="1" a="1"/>
  <c r="P124" i="112" s="1"/>
  <c r="D90" i="114" a="1"/>
  <c r="D90" i="114" s="1"/>
  <c r="I86" i="114" a="1"/>
  <c r="I86" i="114" s="1"/>
  <c r="H86" i="114" a="1"/>
  <c r="H86" i="114" s="1"/>
  <c r="G86" i="114" a="1"/>
  <c r="G86" i="114" s="1"/>
  <c r="F86" i="114" a="1"/>
  <c r="F86" i="114" s="1"/>
  <c r="E86" i="114" a="1"/>
  <c r="E86" i="114" s="1"/>
  <c r="D86" i="114" a="1"/>
  <c r="D86" i="114" s="1"/>
  <c r="I85" i="114" a="1"/>
  <c r="I85" i="114" s="1"/>
  <c r="H85" i="114" a="1"/>
  <c r="H85" i="114" s="1"/>
  <c r="G85" i="114" a="1"/>
  <c r="G85" i="114" s="1"/>
  <c r="F85" i="114" a="1"/>
  <c r="F85" i="114" s="1"/>
  <c r="E85" i="114" a="1"/>
  <c r="E85" i="114" s="1"/>
  <c r="D85" i="114" a="1"/>
  <c r="D85" i="114" s="1"/>
  <c r="I84" i="114" a="1"/>
  <c r="I84" i="114" s="1"/>
  <c r="H84" i="114" a="1"/>
  <c r="H84" i="114" s="1"/>
  <c r="G84" i="114" a="1"/>
  <c r="G84" i="114" s="1"/>
  <c r="F84" i="114" a="1"/>
  <c r="F84" i="114" s="1"/>
  <c r="E84" i="114" a="1"/>
  <c r="E84" i="114" s="1"/>
  <c r="D84" i="114" a="1"/>
  <c r="D84" i="114" s="1"/>
  <c r="I83" i="114" a="1"/>
  <c r="I83" i="114" s="1"/>
  <c r="H83" i="114" a="1"/>
  <c r="H83" i="114" s="1"/>
  <c r="G83" i="114" a="1"/>
  <c r="G83" i="114" s="1"/>
  <c r="F83" i="114" a="1"/>
  <c r="F83" i="114" s="1"/>
  <c r="E83" i="114" a="1"/>
  <c r="E83" i="114" s="1"/>
  <c r="G457" i="112" s="1" a="1"/>
  <c r="G457" i="112" s="1"/>
  <c r="D83" i="114" a="1"/>
  <c r="D83" i="114" s="1"/>
  <c r="I80" i="114" a="1"/>
  <c r="I80" i="114" s="1"/>
  <c r="H80" i="114" a="1"/>
  <c r="H80" i="114" s="1"/>
  <c r="G80" i="114" a="1"/>
  <c r="G80" i="114" s="1"/>
  <c r="F80" i="114" a="1"/>
  <c r="F80" i="114" s="1"/>
  <c r="E80" i="114" a="1"/>
  <c r="E80" i="114" s="1"/>
  <c r="D80" i="114" a="1"/>
  <c r="D80" i="114" s="1"/>
  <c r="I79" i="114" a="1"/>
  <c r="I79" i="114" s="1"/>
  <c r="H79" i="114" a="1"/>
  <c r="H79" i="114" s="1"/>
  <c r="G79" i="114" a="1"/>
  <c r="G79" i="114" s="1"/>
  <c r="F79" i="114" a="1"/>
  <c r="F79" i="114" s="1"/>
  <c r="E79" i="114" a="1"/>
  <c r="E79" i="114" s="1"/>
  <c r="D79" i="114" a="1"/>
  <c r="D79" i="114" s="1"/>
  <c r="I78" i="114" a="1"/>
  <c r="I78" i="114" s="1"/>
  <c r="H78" i="114" a="1"/>
  <c r="H78" i="114" s="1"/>
  <c r="G78" i="114" a="1"/>
  <c r="G78" i="114" s="1"/>
  <c r="F78" i="114" a="1"/>
  <c r="F78" i="114" s="1"/>
  <c r="E78" i="114" a="1"/>
  <c r="E78" i="114" s="1"/>
  <c r="D78" i="114" a="1"/>
  <c r="D78" i="114" s="1"/>
  <c r="I74" i="114" a="1"/>
  <c r="I74" i="114" s="1"/>
  <c r="H74" i="114" a="1"/>
  <c r="H74" i="114" s="1"/>
  <c r="G74" i="114" a="1"/>
  <c r="G74" i="114" s="1"/>
  <c r="F74" i="114" a="1"/>
  <c r="F74" i="114" s="1"/>
  <c r="E74" i="114" a="1"/>
  <c r="E74" i="114" s="1"/>
  <c r="D74" i="114" a="1"/>
  <c r="D74" i="114" s="1"/>
  <c r="I73" i="114" a="1"/>
  <c r="I73" i="114" s="1"/>
  <c r="H73" i="114" a="1"/>
  <c r="H73" i="114" s="1"/>
  <c r="G73" i="114" a="1"/>
  <c r="G73" i="114" s="1"/>
  <c r="F73" i="114" a="1"/>
  <c r="F73" i="114" s="1"/>
  <c r="E73" i="114" a="1"/>
  <c r="E73" i="114" s="1"/>
  <c r="D73" i="114" a="1"/>
  <c r="D73" i="114" s="1"/>
  <c r="I72" i="114" a="1"/>
  <c r="I72" i="114" s="1"/>
  <c r="H72" i="114" a="1"/>
  <c r="H72" i="114" s="1"/>
  <c r="G72" i="114" a="1"/>
  <c r="G72" i="114" s="1"/>
  <c r="F72" i="114" a="1"/>
  <c r="F72" i="114" s="1"/>
  <c r="E72" i="114" a="1"/>
  <c r="E72" i="114" s="1"/>
  <c r="D72" i="114" a="1"/>
  <c r="D72" i="114" s="1"/>
  <c r="I71" i="114" a="1"/>
  <c r="I71" i="114" s="1"/>
  <c r="H71" i="114" a="1"/>
  <c r="H71" i="114" s="1"/>
  <c r="G71" i="114" a="1"/>
  <c r="G71" i="114" s="1"/>
  <c r="F71" i="114" a="1"/>
  <c r="F71" i="114" s="1"/>
  <c r="E71" i="114" a="1"/>
  <c r="E71" i="114" s="1"/>
  <c r="D71" i="114" a="1"/>
  <c r="D71" i="114" s="1"/>
  <c r="I70" i="114" a="1"/>
  <c r="I70" i="114" s="1"/>
  <c r="H70" i="114" a="1"/>
  <c r="H70" i="114" s="1"/>
  <c r="G70" i="114" a="1"/>
  <c r="G70" i="114" s="1"/>
  <c r="F70" i="114" a="1"/>
  <c r="F70" i="114" s="1"/>
  <c r="E70" i="114" a="1"/>
  <c r="E70" i="114" s="1"/>
  <c r="D70" i="114" a="1"/>
  <c r="D70" i="114" s="1"/>
  <c r="I69" i="114" a="1"/>
  <c r="I69" i="114" s="1"/>
  <c r="H69" i="114" a="1"/>
  <c r="H69" i="114" s="1"/>
  <c r="G69" i="114" a="1"/>
  <c r="G69" i="114" s="1"/>
  <c r="F69" i="114" a="1"/>
  <c r="F69" i="114" s="1"/>
  <c r="E69" i="114" a="1"/>
  <c r="E69" i="114" s="1"/>
  <c r="D69" i="114" a="1"/>
  <c r="D69" i="114" s="1"/>
  <c r="I68" i="114" a="1"/>
  <c r="I68" i="114" s="1"/>
  <c r="H68" i="114" a="1"/>
  <c r="H68" i="114" s="1"/>
  <c r="G68" i="114" a="1"/>
  <c r="G68" i="114" s="1"/>
  <c r="F68" i="114" a="1"/>
  <c r="F68" i="114" s="1"/>
  <c r="E68" i="114" a="1"/>
  <c r="E68" i="114" s="1"/>
  <c r="D68" i="114" a="1"/>
  <c r="D68" i="114" s="1"/>
  <c r="I67" i="114" a="1"/>
  <c r="I67" i="114" s="1"/>
  <c r="H67" i="114" a="1"/>
  <c r="H67" i="114" s="1"/>
  <c r="G67" i="114" a="1"/>
  <c r="G67" i="114" s="1"/>
  <c r="F67" i="114" a="1"/>
  <c r="F67" i="114" s="1"/>
  <c r="E67" i="114" a="1"/>
  <c r="E67" i="114" s="1"/>
  <c r="D67" i="114" a="1"/>
  <c r="D67" i="114" s="1"/>
  <c r="I66" i="114" a="1"/>
  <c r="I66" i="114" s="1"/>
  <c r="H66" i="114" a="1"/>
  <c r="H66" i="114" s="1"/>
  <c r="G66" i="114" a="1"/>
  <c r="G66" i="114" s="1"/>
  <c r="F66" i="114" a="1"/>
  <c r="F66" i="114" s="1"/>
  <c r="E66" i="114" a="1"/>
  <c r="E66" i="114" s="1"/>
  <c r="D66" i="114"/>
  <c r="D66" i="114" a="1"/>
  <c r="I65" i="114" a="1"/>
  <c r="I65" i="114" s="1"/>
  <c r="H65" i="114" a="1"/>
  <c r="H65" i="114" s="1"/>
  <c r="G65" i="114" a="1"/>
  <c r="G65" i="114" s="1"/>
  <c r="F65" i="114" a="1"/>
  <c r="F65" i="114" s="1"/>
  <c r="E65" i="114" a="1"/>
  <c r="E65" i="114" s="1"/>
  <c r="D65" i="114" a="1"/>
  <c r="D65" i="114" s="1"/>
  <c r="I64" i="114" a="1"/>
  <c r="I64" i="114" s="1"/>
  <c r="H64" i="114" a="1"/>
  <c r="H64" i="114" s="1"/>
  <c r="G64" i="114" a="1"/>
  <c r="G64" i="114" s="1"/>
  <c r="F64" i="114" a="1"/>
  <c r="F64" i="114" s="1"/>
  <c r="E64" i="114" a="1"/>
  <c r="E64" i="114" s="1"/>
  <c r="D64" i="114" a="1"/>
  <c r="D64" i="114" s="1"/>
  <c r="I63" i="114" a="1"/>
  <c r="I63" i="114" s="1"/>
  <c r="H63" i="114" a="1"/>
  <c r="H63" i="114" s="1"/>
  <c r="G63" i="114" a="1"/>
  <c r="G63" i="114" s="1"/>
  <c r="F63" i="114" a="1"/>
  <c r="F63" i="114" s="1"/>
  <c r="E63" i="114" a="1"/>
  <c r="E63" i="114" s="1"/>
  <c r="D63" i="114" a="1"/>
  <c r="D63" i="114" s="1"/>
  <c r="I62" i="114" a="1"/>
  <c r="I62" i="114" s="1"/>
  <c r="H62" i="114" a="1"/>
  <c r="H62" i="114" s="1"/>
  <c r="G62" i="114" a="1"/>
  <c r="G62" i="114" s="1"/>
  <c r="F62" i="114" a="1"/>
  <c r="F62" i="114" s="1"/>
  <c r="E62" i="114" a="1"/>
  <c r="E62" i="114" s="1"/>
  <c r="D62" i="114" a="1"/>
  <c r="D62" i="114" s="1"/>
  <c r="I61" i="114" a="1"/>
  <c r="I61" i="114" s="1"/>
  <c r="H61" i="114" a="1"/>
  <c r="H61" i="114" s="1"/>
  <c r="G61" i="114" a="1"/>
  <c r="G61" i="114" s="1"/>
  <c r="F61" i="114" a="1"/>
  <c r="F61" i="114" s="1"/>
  <c r="E61" i="114" a="1"/>
  <c r="E61" i="114" s="1"/>
  <c r="D61" i="114" a="1"/>
  <c r="D61" i="114" s="1"/>
  <c r="I60" i="114" a="1"/>
  <c r="I60" i="114" s="1"/>
  <c r="H60" i="114" a="1"/>
  <c r="H60" i="114" s="1"/>
  <c r="G60" i="114" a="1"/>
  <c r="G60" i="114" s="1"/>
  <c r="F60" i="114" a="1"/>
  <c r="F60" i="114" s="1"/>
  <c r="E60" i="114" a="1"/>
  <c r="E60" i="114" s="1"/>
  <c r="D60" i="114" a="1"/>
  <c r="D60" i="114" s="1"/>
  <c r="I59" i="114" a="1"/>
  <c r="I59" i="114" s="1"/>
  <c r="H59" i="114" a="1"/>
  <c r="H59" i="114" s="1"/>
  <c r="G59" i="114" a="1"/>
  <c r="G59" i="114" s="1"/>
  <c r="F59" i="114" a="1"/>
  <c r="F59" i="114" s="1"/>
  <c r="E59" i="114" a="1"/>
  <c r="E59" i="114" s="1"/>
  <c r="D59" i="114" a="1"/>
  <c r="D59" i="114" s="1"/>
  <c r="I58" i="114" a="1"/>
  <c r="I58" i="114" s="1"/>
  <c r="H58" i="114" a="1"/>
  <c r="H58" i="114" s="1"/>
  <c r="G58" i="114" a="1"/>
  <c r="G58" i="114" s="1"/>
  <c r="F58" i="114" a="1"/>
  <c r="F58" i="114" s="1"/>
  <c r="E58" i="114" a="1"/>
  <c r="E58" i="114" s="1"/>
  <c r="D58" i="114" a="1"/>
  <c r="D58" i="114" s="1"/>
  <c r="I57" i="114" a="1"/>
  <c r="I57" i="114" s="1"/>
  <c r="H57" i="114" a="1"/>
  <c r="H57" i="114" s="1"/>
  <c r="G57" i="114" a="1"/>
  <c r="G57" i="114" s="1"/>
  <c r="F57" i="114" a="1"/>
  <c r="F57" i="114" s="1"/>
  <c r="E57" i="114" a="1"/>
  <c r="E57" i="114" s="1"/>
  <c r="D57" i="114" a="1"/>
  <c r="D57" i="114" s="1"/>
  <c r="I56" i="114" a="1"/>
  <c r="I56" i="114" s="1"/>
  <c r="H56" i="114" a="1"/>
  <c r="H56" i="114" s="1"/>
  <c r="G56" i="114" a="1"/>
  <c r="G56" i="114" s="1"/>
  <c r="F56" i="114" a="1"/>
  <c r="F56" i="114" s="1"/>
  <c r="E56" i="114" a="1"/>
  <c r="E56" i="114" s="1"/>
  <c r="D56" i="114" a="1"/>
  <c r="D56" i="114" s="1"/>
  <c r="I55" i="114" a="1"/>
  <c r="I55" i="114" s="1"/>
  <c r="H55" i="114" a="1"/>
  <c r="H55" i="114" s="1"/>
  <c r="G55" i="114" a="1"/>
  <c r="G55" i="114" s="1"/>
  <c r="F55" i="114" a="1"/>
  <c r="F55" i="114" s="1"/>
  <c r="E55" i="114" a="1"/>
  <c r="E55" i="114" s="1"/>
  <c r="D55" i="114" a="1"/>
  <c r="D55" i="114" s="1"/>
  <c r="I54" i="114" a="1"/>
  <c r="I54" i="114" s="1"/>
  <c r="H54" i="114" a="1"/>
  <c r="H54" i="114" s="1"/>
  <c r="G54" i="114" a="1"/>
  <c r="G54" i="114" s="1"/>
  <c r="F54" i="114" a="1"/>
  <c r="F54" i="114" s="1"/>
  <c r="E54" i="114" a="1"/>
  <c r="E54" i="114" s="1"/>
  <c r="D54" i="114" a="1"/>
  <c r="D54" i="114" s="1"/>
  <c r="I53" i="114" a="1"/>
  <c r="I53" i="114" s="1"/>
  <c r="H53" i="114" a="1"/>
  <c r="H53" i="114" s="1"/>
  <c r="G53" i="114" a="1"/>
  <c r="G53" i="114" s="1"/>
  <c r="F53" i="114" a="1"/>
  <c r="F53" i="114" s="1"/>
  <c r="E53" i="114" a="1"/>
  <c r="E53" i="114" s="1"/>
  <c r="D53" i="114" a="1"/>
  <c r="D53" i="114" s="1"/>
  <c r="I52" i="114" a="1"/>
  <c r="I52" i="114" s="1"/>
  <c r="H52" i="114" a="1"/>
  <c r="H52" i="114" s="1"/>
  <c r="G52" i="114" a="1"/>
  <c r="G52" i="114" s="1"/>
  <c r="F52" i="114" a="1"/>
  <c r="F52" i="114" s="1"/>
  <c r="E52" i="114" a="1"/>
  <c r="E52" i="114" s="1"/>
  <c r="D52" i="114" a="1"/>
  <c r="D52" i="114" s="1"/>
  <c r="I51" i="114" a="1"/>
  <c r="I51" i="114" s="1"/>
  <c r="H51" i="114" a="1"/>
  <c r="H51" i="114" s="1"/>
  <c r="G51" i="114" a="1"/>
  <c r="G51" i="114" s="1"/>
  <c r="F51" i="114" a="1"/>
  <c r="F51" i="114" s="1"/>
  <c r="E51" i="114" a="1"/>
  <c r="E51" i="114" s="1"/>
  <c r="D51" i="114" a="1"/>
  <c r="D51" i="114" s="1"/>
  <c r="I50" i="114" a="1"/>
  <c r="I50" i="114" s="1"/>
  <c r="H50" i="114" a="1"/>
  <c r="H50" i="114" s="1"/>
  <c r="G50" i="114" a="1"/>
  <c r="G50" i="114" s="1"/>
  <c r="F50" i="114" a="1"/>
  <c r="F50" i="114" s="1"/>
  <c r="E50" i="114" a="1"/>
  <c r="E50" i="114" s="1"/>
  <c r="D50" i="114" a="1"/>
  <c r="D50" i="114" s="1"/>
  <c r="I49" i="114" a="1"/>
  <c r="I49" i="114" s="1"/>
  <c r="H49" i="114" a="1"/>
  <c r="H49" i="114" s="1"/>
  <c r="G49" i="114" a="1"/>
  <c r="G49" i="114" s="1"/>
  <c r="F49" i="114" a="1"/>
  <c r="F49" i="114" s="1"/>
  <c r="E49" i="114" a="1"/>
  <c r="E49" i="114" s="1"/>
  <c r="D49" i="114" a="1"/>
  <c r="D49" i="114" s="1"/>
  <c r="I48" i="114" a="1"/>
  <c r="I48" i="114" s="1"/>
  <c r="H48" i="114" a="1"/>
  <c r="H48" i="114" s="1"/>
  <c r="G48" i="114" a="1"/>
  <c r="G48" i="114" s="1"/>
  <c r="F48" i="114" a="1"/>
  <c r="F48" i="114" s="1"/>
  <c r="E48" i="114" a="1"/>
  <c r="E48" i="114" s="1"/>
  <c r="D48" i="114" a="1"/>
  <c r="D48" i="114" s="1"/>
  <c r="I47" i="114" a="1"/>
  <c r="I47" i="114" s="1"/>
  <c r="H47" i="114" a="1"/>
  <c r="H47" i="114" s="1"/>
  <c r="G47" i="114" a="1"/>
  <c r="G47" i="114" s="1"/>
  <c r="F47" i="114" a="1"/>
  <c r="F47" i="114" s="1"/>
  <c r="E47" i="114" a="1"/>
  <c r="E47" i="114" s="1"/>
  <c r="D47" i="114" a="1"/>
  <c r="D47" i="114" s="1"/>
  <c r="I46" i="114" a="1"/>
  <c r="I46" i="114" s="1"/>
  <c r="H46" i="114" a="1"/>
  <c r="H46" i="114" s="1"/>
  <c r="G46" i="114" a="1"/>
  <c r="G46" i="114" s="1"/>
  <c r="F46" i="114" a="1"/>
  <c r="F46" i="114" s="1"/>
  <c r="E46" i="114" a="1"/>
  <c r="E46" i="114" s="1"/>
  <c r="D46" i="114" a="1"/>
  <c r="D46" i="114" s="1"/>
  <c r="I45" i="114" a="1"/>
  <c r="I45" i="114" s="1"/>
  <c r="H45" i="114" a="1"/>
  <c r="H45" i="114" s="1"/>
  <c r="G45" i="114" a="1"/>
  <c r="G45" i="114" s="1"/>
  <c r="F45" i="114" a="1"/>
  <c r="F45" i="114" s="1"/>
  <c r="E45" i="114" a="1"/>
  <c r="E45" i="114" s="1"/>
  <c r="D45" i="114" a="1"/>
  <c r="D45" i="114" s="1"/>
  <c r="I44" i="114" a="1"/>
  <c r="I44" i="114" s="1"/>
  <c r="H44" i="114" a="1"/>
  <c r="H44" i="114" s="1"/>
  <c r="G44" i="114" a="1"/>
  <c r="G44" i="114" s="1"/>
  <c r="F44" i="114" a="1"/>
  <c r="F44" i="114" s="1"/>
  <c r="E44" i="114" a="1"/>
  <c r="E44" i="114" s="1"/>
  <c r="D44" i="114" a="1"/>
  <c r="D44" i="114" s="1"/>
  <c r="I43" i="114" a="1"/>
  <c r="I43" i="114" s="1"/>
  <c r="H43" i="114" a="1"/>
  <c r="H43" i="114" s="1"/>
  <c r="G43" i="114" a="1"/>
  <c r="G43" i="114" s="1"/>
  <c r="F43" i="114" a="1"/>
  <c r="F43" i="114" s="1"/>
  <c r="E43" i="114" a="1"/>
  <c r="E43" i="114" s="1"/>
  <c r="D43" i="114" a="1"/>
  <c r="D43" i="114" s="1"/>
  <c r="I42" i="114" a="1"/>
  <c r="I42" i="114" s="1"/>
  <c r="H42" i="114" a="1"/>
  <c r="H42" i="114" s="1"/>
  <c r="G42" i="114" a="1"/>
  <c r="G42" i="114" s="1"/>
  <c r="F42" i="114" a="1"/>
  <c r="F42" i="114" s="1"/>
  <c r="E42" i="114" a="1"/>
  <c r="E42" i="114" s="1"/>
  <c r="D42" i="114" a="1"/>
  <c r="D42" i="114" s="1"/>
  <c r="I41" i="114" a="1"/>
  <c r="I41" i="114" s="1"/>
  <c r="H41" i="114" a="1"/>
  <c r="H41" i="114" s="1"/>
  <c r="G41" i="114" a="1"/>
  <c r="G41" i="114" s="1"/>
  <c r="F41" i="114" a="1"/>
  <c r="F41" i="114" s="1"/>
  <c r="E41" i="114" a="1"/>
  <c r="E41" i="114" s="1"/>
  <c r="D41" i="114" a="1"/>
  <c r="D41" i="114" s="1"/>
  <c r="I40" i="114" a="1"/>
  <c r="I40" i="114" s="1"/>
  <c r="H40" i="114" a="1"/>
  <c r="H40" i="114" s="1"/>
  <c r="G40" i="114" a="1"/>
  <c r="G40" i="114" s="1"/>
  <c r="F40" i="114" a="1"/>
  <c r="F40" i="114" s="1"/>
  <c r="E40" i="114" a="1"/>
  <c r="E40" i="114" s="1"/>
  <c r="D40" i="114" a="1"/>
  <c r="D40" i="114" s="1"/>
  <c r="I39" i="114" a="1"/>
  <c r="I39" i="114" s="1"/>
  <c r="H39" i="114" a="1"/>
  <c r="H39" i="114" s="1"/>
  <c r="G39" i="114" a="1"/>
  <c r="G39" i="114" s="1"/>
  <c r="F39" i="114" a="1"/>
  <c r="F39" i="114" s="1"/>
  <c r="E39" i="114" a="1"/>
  <c r="E39" i="114" s="1"/>
  <c r="D39" i="114" a="1"/>
  <c r="D39" i="114" s="1"/>
  <c r="I38" i="114" a="1"/>
  <c r="I38" i="114" s="1"/>
  <c r="H38" i="114" a="1"/>
  <c r="H38" i="114" s="1"/>
  <c r="G38" i="114" a="1"/>
  <c r="G38" i="114" s="1"/>
  <c r="F38" i="114" a="1"/>
  <c r="F38" i="114" s="1"/>
  <c r="E38" i="114" a="1"/>
  <c r="E38" i="114" s="1"/>
  <c r="D38" i="114" a="1"/>
  <c r="D38" i="114" s="1"/>
  <c r="I37" i="114" a="1"/>
  <c r="I37" i="114" s="1"/>
  <c r="H37" i="114" a="1"/>
  <c r="H37" i="114" s="1"/>
  <c r="G37" i="114" a="1"/>
  <c r="G37" i="114" s="1"/>
  <c r="F37" i="114" a="1"/>
  <c r="F37" i="114" s="1"/>
  <c r="E37" i="114" a="1"/>
  <c r="E37" i="114" s="1"/>
  <c r="D37" i="114" a="1"/>
  <c r="D37" i="114" s="1"/>
  <c r="I36" i="114" a="1"/>
  <c r="I36" i="114" s="1"/>
  <c r="H36" i="114" a="1"/>
  <c r="H36" i="114" s="1"/>
  <c r="G36" i="114" a="1"/>
  <c r="G36" i="114" s="1"/>
  <c r="F36" i="114" a="1"/>
  <c r="F36" i="114" s="1"/>
  <c r="E36" i="114" a="1"/>
  <c r="E36" i="114" s="1"/>
  <c r="D36" i="114" a="1"/>
  <c r="D36" i="114" s="1"/>
  <c r="I35" i="114" a="1"/>
  <c r="I35" i="114" s="1"/>
  <c r="H35" i="114" a="1"/>
  <c r="H35" i="114" s="1"/>
  <c r="G35" i="114" a="1"/>
  <c r="G35" i="114" s="1"/>
  <c r="F35" i="114" a="1"/>
  <c r="F35" i="114" s="1"/>
  <c r="E35" i="114" a="1"/>
  <c r="E35" i="114" s="1"/>
  <c r="D35" i="114" a="1"/>
  <c r="D35" i="114" s="1"/>
  <c r="I34" i="114" a="1"/>
  <c r="I34" i="114" s="1"/>
  <c r="H34" i="114" a="1"/>
  <c r="H34" i="114" s="1"/>
  <c r="G34" i="114" a="1"/>
  <c r="G34" i="114" s="1"/>
  <c r="F34" i="114" a="1"/>
  <c r="F34" i="114" s="1"/>
  <c r="E34" i="114" a="1"/>
  <c r="E34" i="114" s="1"/>
  <c r="D34" i="114" a="1"/>
  <c r="D34" i="114" s="1"/>
  <c r="R85" i="113" a="1"/>
  <c r="R85" i="113" s="1"/>
  <c r="N85" i="113" a="1"/>
  <c r="N85" i="113" s="1"/>
  <c r="H85" i="113" a="1"/>
  <c r="H85" i="113" s="1"/>
  <c r="D85" i="113" a="1"/>
  <c r="D85" i="113" s="1"/>
  <c r="O83" i="113" a="1"/>
  <c r="O83" i="113" s="1"/>
  <c r="E83" i="113" a="1"/>
  <c r="E83" i="113" s="1"/>
  <c r="O82" i="113" a="1"/>
  <c r="O82" i="113" s="1"/>
  <c r="E82" i="113" a="1"/>
  <c r="E82" i="113" s="1"/>
  <c r="N78" i="113" a="1"/>
  <c r="N78" i="113" s="1"/>
  <c r="D78" i="113" a="1"/>
  <c r="D78" i="113" s="1"/>
  <c r="N77" i="113" a="1"/>
  <c r="N77" i="113" s="1"/>
  <c r="D77" i="113" a="1"/>
  <c r="D77" i="113" s="1"/>
  <c r="I72" i="113"/>
  <c r="I71" i="113"/>
  <c r="I70" i="113"/>
  <c r="S67" i="113"/>
  <c r="Q67" i="113" a="1"/>
  <c r="Q67" i="113" s="1"/>
  <c r="N67" i="113" a="1"/>
  <c r="N67" i="113" s="1"/>
  <c r="I67" i="113"/>
  <c r="G67" i="113" a="1"/>
  <c r="G67" i="113" s="1"/>
  <c r="D67" i="113" a="1"/>
  <c r="D67" i="113" s="1"/>
  <c r="O65" i="113" a="1"/>
  <c r="O65" i="113" s="1"/>
  <c r="E65" i="113" a="1"/>
  <c r="E65" i="113" s="1"/>
  <c r="O64" i="113" a="1"/>
  <c r="O64" i="113" s="1"/>
  <c r="E64" i="113" a="1"/>
  <c r="E64" i="113" s="1"/>
  <c r="N60" i="113" a="1"/>
  <c r="N60" i="113" s="1"/>
  <c r="D60" i="113" a="1"/>
  <c r="D60" i="113" s="1"/>
  <c r="N59" i="113" a="1"/>
  <c r="N59" i="113" s="1"/>
  <c r="D59" i="113" a="1"/>
  <c r="D59" i="113" s="1"/>
  <c r="I52" i="113"/>
  <c r="I51" i="113"/>
  <c r="Q48" i="113" a="1"/>
  <c r="Q48" i="113" s="1"/>
  <c r="N48" i="113" a="1"/>
  <c r="N48" i="113" s="1"/>
  <c r="G48" i="113" a="1"/>
  <c r="G48" i="113" s="1"/>
  <c r="D48" i="113" a="1"/>
  <c r="D48" i="113" s="1"/>
  <c r="O46" i="113" a="1"/>
  <c r="O46" i="113" s="1"/>
  <c r="E46" i="113" a="1"/>
  <c r="E46" i="113" s="1"/>
  <c r="O45" i="113" a="1"/>
  <c r="O45" i="113" s="1"/>
  <c r="E45" i="113" a="1"/>
  <c r="E45" i="113" s="1"/>
  <c r="N41" i="113" a="1"/>
  <c r="N41" i="113" s="1"/>
  <c r="D41" i="113" a="1"/>
  <c r="D41" i="113" s="1"/>
  <c r="N40" i="113" a="1"/>
  <c r="N40" i="113" s="1"/>
  <c r="D40" i="113" a="1"/>
  <c r="D40" i="113" s="1"/>
  <c r="S32" i="113"/>
  <c r="Q32" i="113" a="1"/>
  <c r="Q32" i="113" s="1"/>
  <c r="N32" i="113" a="1"/>
  <c r="N32" i="113" s="1"/>
  <c r="I32" i="113"/>
  <c r="G32" i="113" a="1"/>
  <c r="G32" i="113" s="1"/>
  <c r="D32" i="113" a="1"/>
  <c r="D32" i="113" s="1"/>
  <c r="O30" i="113" a="1"/>
  <c r="O30" i="113" s="1"/>
  <c r="P35" i="113" s="1"/>
  <c r="E30" i="113" a="1"/>
  <c r="E30" i="113" s="1"/>
  <c r="F35" i="113" s="1"/>
  <c r="O29" i="113" a="1"/>
  <c r="O29" i="113" s="1"/>
  <c r="E29" i="113" a="1"/>
  <c r="E29" i="113" s="1"/>
  <c r="N25" i="113" a="1"/>
  <c r="N25" i="113" s="1"/>
  <c r="D25" i="113" a="1"/>
  <c r="D25" i="113" s="1"/>
  <c r="N24" i="113" a="1"/>
  <c r="N24" i="113" s="1"/>
  <c r="D24" i="113" a="1"/>
  <c r="D24" i="113" s="1"/>
  <c r="J16" i="113"/>
  <c r="T13" i="113"/>
  <c r="R13" i="113" a="1"/>
  <c r="R13" i="113" s="1"/>
  <c r="N13" i="113" a="1"/>
  <c r="N13" i="113" s="1"/>
  <c r="J13" i="113"/>
  <c r="H13" i="113" a="1"/>
  <c r="H13" i="113" s="1"/>
  <c r="D13" i="113" a="1"/>
  <c r="D13" i="113" s="1"/>
  <c r="O11" i="113" a="1"/>
  <c r="O11" i="113" s="1"/>
  <c r="E11" i="113" a="1"/>
  <c r="E11" i="113" s="1"/>
  <c r="P19" i="113" s="1"/>
  <c r="O10" i="113" a="1"/>
  <c r="O10" i="113" s="1"/>
  <c r="E10" i="113" a="1"/>
  <c r="E10" i="113" s="1"/>
  <c r="N6" i="113" a="1"/>
  <c r="N6" i="113" s="1"/>
  <c r="D6" i="113" a="1"/>
  <c r="D6" i="113" s="1"/>
  <c r="N5" i="113" a="1"/>
  <c r="N5" i="113" s="1"/>
  <c r="D5" i="113" a="1"/>
  <c r="D5" i="113" s="1"/>
  <c r="J618" i="112" a="1"/>
  <c r="J618" i="112" s="1"/>
  <c r="J617" i="112" a="1"/>
  <c r="J617" i="112" s="1"/>
  <c r="J616" i="112" a="1"/>
  <c r="J616" i="112" s="1"/>
  <c r="J613" i="112" a="1"/>
  <c r="J613" i="112" s="1"/>
  <c r="J612" i="112" a="1"/>
  <c r="J612" i="112" s="1"/>
  <c r="J611" i="112" a="1"/>
  <c r="J611" i="112" s="1"/>
  <c r="J610" i="112" a="1"/>
  <c r="J610" i="112" s="1"/>
  <c r="J615" i="112" a="1"/>
  <c r="J615" i="112" s="1"/>
  <c r="G601" i="112" a="1"/>
  <c r="G601" i="112" s="1"/>
  <c r="D601" i="112" a="1"/>
  <c r="D601" i="112" s="1"/>
  <c r="E599" i="112" a="1"/>
  <c r="E599" i="112" s="1"/>
  <c r="E598" i="112" a="1"/>
  <c r="E598" i="112" s="1"/>
  <c r="D593" i="112" a="1"/>
  <c r="D593" i="112" s="1"/>
  <c r="D592" i="112" a="1"/>
  <c r="D592" i="112" s="1"/>
  <c r="E586" i="112" a="1"/>
  <c r="E586" i="112" s="1"/>
  <c r="F588" i="112" s="1"/>
  <c r="E585" i="112" a="1"/>
  <c r="E585" i="112" s="1"/>
  <c r="D583" i="112" a="1"/>
  <c r="D583" i="112" s="1"/>
  <c r="D582" i="112" a="1"/>
  <c r="D582" i="112" s="1"/>
  <c r="N578" i="112" a="1"/>
  <c r="N578" i="112" s="1"/>
  <c r="F578" i="112" a="1"/>
  <c r="F578" i="112" s="1"/>
  <c r="L575" i="112" a="1"/>
  <c r="L575" i="112" s="1"/>
  <c r="D575" i="112" a="1"/>
  <c r="D575" i="112" s="1"/>
  <c r="P569" i="112" a="1"/>
  <c r="P569" i="112" s="1"/>
  <c r="L569" i="112" a="1"/>
  <c r="L569" i="112" s="1"/>
  <c r="H569" i="112" a="1"/>
  <c r="H569" i="112" s="1"/>
  <c r="D569" i="112" a="1"/>
  <c r="D569" i="112" s="1"/>
  <c r="E565" i="112" a="1"/>
  <c r="E565" i="112" s="1"/>
  <c r="E564" i="112" a="1"/>
  <c r="E564" i="112" s="1"/>
  <c r="D560" i="112" a="1"/>
  <c r="D560" i="112" s="1"/>
  <c r="D559" i="112" a="1"/>
  <c r="D559" i="112" s="1"/>
  <c r="I553" i="112"/>
  <c r="I549" i="112"/>
  <c r="I548" i="112"/>
  <c r="I547" i="112"/>
  <c r="G547" i="112" a="1"/>
  <c r="G547" i="112" s="1"/>
  <c r="D547" i="112" a="1"/>
  <c r="D547" i="112" s="1"/>
  <c r="E545" i="112" a="1"/>
  <c r="E545" i="112" s="1"/>
  <c r="E544" i="112" a="1"/>
  <c r="E544" i="112" s="1"/>
  <c r="D539" i="112" a="1"/>
  <c r="D539" i="112" s="1"/>
  <c r="D538" i="112" a="1"/>
  <c r="D538" i="112" s="1"/>
  <c r="D537" i="112" a="1"/>
  <c r="D537" i="112" s="1"/>
  <c r="I531" i="112"/>
  <c r="I529" i="112"/>
  <c r="G529" i="112" a="1"/>
  <c r="G529" i="112" s="1"/>
  <c r="D529" i="112" a="1"/>
  <c r="D529" i="112" s="1"/>
  <c r="E527" i="112" a="1"/>
  <c r="E527" i="112" s="1"/>
  <c r="E526" i="112" a="1"/>
  <c r="E526" i="112" s="1"/>
  <c r="D522" i="112" a="1"/>
  <c r="D522" i="112" s="1"/>
  <c r="D521" i="112" a="1"/>
  <c r="D521" i="112" s="1"/>
  <c r="G515" i="112" a="1"/>
  <c r="G515" i="112" s="1"/>
  <c r="D515" i="112" a="1"/>
  <c r="D515" i="112" s="1"/>
  <c r="E513" i="112" a="1"/>
  <c r="E513" i="112" s="1"/>
  <c r="E512" i="112" a="1"/>
  <c r="E512" i="112" s="1"/>
  <c r="D507" i="112" a="1"/>
  <c r="D507" i="112" s="1"/>
  <c r="D506" i="112" a="1"/>
  <c r="D506" i="112" s="1"/>
  <c r="E481" i="112"/>
  <c r="I481" i="112" s="1" a="1"/>
  <c r="I481" i="112" s="1"/>
  <c r="E480" i="112"/>
  <c r="E479" i="112"/>
  <c r="I479" i="112" s="1" a="1"/>
  <c r="I479" i="112" s="1"/>
  <c r="E470" i="112"/>
  <c r="I470" i="112" s="1" a="1"/>
  <c r="I470" i="112" s="1"/>
  <c r="E469" i="112"/>
  <c r="E468" i="112"/>
  <c r="I468" i="112" s="1" a="1"/>
  <c r="I468" i="112" s="1"/>
  <c r="E467" i="112"/>
  <c r="E466" i="112"/>
  <c r="I466" i="112" s="1" a="1"/>
  <c r="I466" i="112" s="1"/>
  <c r="J432" i="112" a="1"/>
  <c r="J432" i="112" s="1"/>
  <c r="J431" i="112" a="1"/>
  <c r="J431" i="112" s="1"/>
  <c r="G424" i="112" a="1"/>
  <c r="G424" i="112" s="1"/>
  <c r="D424" i="112" a="1"/>
  <c r="D424" i="112" s="1"/>
  <c r="E422" i="112" a="1"/>
  <c r="E422" i="112" s="1"/>
  <c r="E421" i="112" a="1"/>
  <c r="E421" i="112" s="1"/>
  <c r="D416" i="112" a="1"/>
  <c r="D416" i="112" s="1"/>
  <c r="D415" i="112" a="1"/>
  <c r="D415" i="112" s="1"/>
  <c r="K406" i="112"/>
  <c r="J406" i="112" a="1"/>
  <c r="J406" i="112" s="1"/>
  <c r="K404" i="112"/>
  <c r="J403" i="112" a="1"/>
  <c r="J403" i="112" s="1"/>
  <c r="J402" i="112" a="1"/>
  <c r="J402" i="112" s="1"/>
  <c r="K401" i="112"/>
  <c r="F392" i="112" a="1"/>
  <c r="F392" i="112" s="1"/>
  <c r="D392" i="112" a="1"/>
  <c r="D392" i="112" s="1"/>
  <c r="E390" i="112" a="1"/>
  <c r="E390" i="112" s="1"/>
  <c r="E389" i="112" a="1"/>
  <c r="E389" i="112" s="1"/>
  <c r="D384" i="112" a="1"/>
  <c r="D384" i="112" s="1"/>
  <c r="D383" i="112" a="1"/>
  <c r="D383" i="112" s="1"/>
  <c r="F362" i="112" a="1"/>
  <c r="F362" i="112" s="1"/>
  <c r="D362" i="112" a="1"/>
  <c r="D362" i="112" s="1"/>
  <c r="E360" i="112" a="1"/>
  <c r="E360" i="112" s="1"/>
  <c r="E359" i="112" a="1"/>
  <c r="E359" i="112" s="1"/>
  <c r="D354" i="112" a="1"/>
  <c r="D354" i="112" s="1"/>
  <c r="D353" i="112" a="1"/>
  <c r="D353" i="112" s="1"/>
  <c r="D352" i="112" a="1"/>
  <c r="D352" i="112" s="1"/>
  <c r="L343" i="112"/>
  <c r="K343" i="112" a="1"/>
  <c r="K343" i="112" s="1"/>
  <c r="L342" i="112"/>
  <c r="K342" i="112" a="1"/>
  <c r="K342" i="112" s="1"/>
  <c r="K340" i="112" a="1"/>
  <c r="K340" i="112" s="1"/>
  <c r="L339" i="112"/>
  <c r="K339" i="112" a="1"/>
  <c r="K339" i="112" s="1"/>
  <c r="L338" i="112"/>
  <c r="K338" i="112" a="1"/>
  <c r="K338" i="112" s="1"/>
  <c r="K337" i="112" a="1"/>
  <c r="K337" i="112" s="1"/>
  <c r="G329" i="112" a="1"/>
  <c r="G329" i="112" s="1"/>
  <c r="D329" i="112" a="1"/>
  <c r="D329" i="112" s="1"/>
  <c r="E327" i="112" a="1"/>
  <c r="E327" i="112" s="1"/>
  <c r="E326" i="112" a="1"/>
  <c r="E326" i="112" s="1"/>
  <c r="D322" i="112" a="1"/>
  <c r="D322" i="112" s="1"/>
  <c r="D321" i="112" a="1"/>
  <c r="D321" i="112" s="1"/>
  <c r="F296" i="112" a="1"/>
  <c r="G300" i="112" s="1"/>
  <c r="D296" i="112" a="1"/>
  <c r="D296" i="112" s="1"/>
  <c r="E294" i="112" a="1"/>
  <c r="E294" i="112" s="1"/>
  <c r="E293" i="112" a="1"/>
  <c r="E293" i="112" s="1"/>
  <c r="D289" i="112" a="1"/>
  <c r="D289" i="112" s="1"/>
  <c r="D288" i="112" a="1"/>
  <c r="D288" i="112" s="1"/>
  <c r="G265" i="112" a="1"/>
  <c r="G265" i="112" s="1"/>
  <c r="D265" i="112" a="1"/>
  <c r="D265" i="112" s="1"/>
  <c r="E263" i="112" a="1"/>
  <c r="E263" i="112" s="1"/>
  <c r="E262" i="112" a="1"/>
  <c r="E262" i="112" s="1"/>
  <c r="D257" i="112" a="1"/>
  <c r="D257" i="112" s="1"/>
  <c r="D256" i="112" a="1"/>
  <c r="D256" i="112" s="1"/>
  <c r="P237" i="112" a="1"/>
  <c r="P237" i="112" s="1"/>
  <c r="O237" i="112" a="1"/>
  <c r="G209" i="112" a="1"/>
  <c r="G209" i="112" s="1"/>
  <c r="D209" i="112" a="1"/>
  <c r="D209" i="112" s="1"/>
  <c r="E207" i="112" a="1"/>
  <c r="E207" i="112" s="1"/>
  <c r="E206" i="112" a="1"/>
  <c r="E206" i="112" s="1"/>
  <c r="D202" i="112" a="1"/>
  <c r="D202" i="112" s="1"/>
  <c r="D201" i="112" a="1"/>
  <c r="D201" i="112" s="1"/>
  <c r="D200" i="112" a="1"/>
  <c r="D200" i="112" s="1"/>
  <c r="G194" i="112" a="1"/>
  <c r="G194" i="112" s="1"/>
  <c r="D194" i="112" a="1"/>
  <c r="D194" i="112" s="1"/>
  <c r="E192" i="112" a="1"/>
  <c r="E192" i="112" s="1"/>
  <c r="E191" i="112" a="1"/>
  <c r="E191" i="112" s="1"/>
  <c r="D187" i="112" a="1"/>
  <c r="D187" i="112" s="1"/>
  <c r="D186" i="112" a="1"/>
  <c r="D186" i="112" s="1"/>
  <c r="G180" i="112" a="1"/>
  <c r="G180" i="112" s="1"/>
  <c r="D180" i="112" a="1"/>
  <c r="D180" i="112" s="1"/>
  <c r="E178" i="112" a="1"/>
  <c r="E178" i="112" s="1"/>
  <c r="E177" i="112" a="1"/>
  <c r="E177" i="112" s="1"/>
  <c r="D173" i="112" a="1"/>
  <c r="D173" i="112" s="1"/>
  <c r="D172" i="112" a="1"/>
  <c r="D172" i="112" s="1"/>
  <c r="D171" i="112" a="1"/>
  <c r="D171" i="112" s="1"/>
  <c r="E164" i="112"/>
  <c r="I164" i="112" s="1" a="1"/>
  <c r="I164" i="112" s="1"/>
  <c r="E163" i="112"/>
  <c r="I163" i="112" s="1" a="1"/>
  <c r="I163" i="112" s="1"/>
  <c r="E162" i="112"/>
  <c r="I162" i="112" s="1" a="1"/>
  <c r="I162" i="112" s="1"/>
  <c r="G157" i="112" a="1"/>
  <c r="G157" i="112" s="1"/>
  <c r="D157" i="112" a="1"/>
  <c r="D157" i="112" s="1"/>
  <c r="E155" i="112" a="1"/>
  <c r="E155" i="112" s="1"/>
  <c r="E154" i="112" a="1"/>
  <c r="E154" i="112" s="1"/>
  <c r="D150" i="112" a="1"/>
  <c r="D150" i="112" s="1"/>
  <c r="D149" i="112" a="1"/>
  <c r="D149" i="112" s="1"/>
  <c r="E139" i="112"/>
  <c r="E138" i="112"/>
  <c r="E137" i="112"/>
  <c r="I137" i="112" s="1" a="1"/>
  <c r="I137" i="112" s="1"/>
  <c r="E136" i="112"/>
  <c r="I136" i="112" s="1" a="1"/>
  <c r="I136" i="112" s="1"/>
  <c r="I121" i="112" a="1"/>
  <c r="I121" i="112" s="1"/>
  <c r="G106" i="112" a="1"/>
  <c r="G106" i="112" s="1"/>
  <c r="D106" i="112" a="1"/>
  <c r="D106" i="112" s="1"/>
  <c r="E104" i="112" a="1"/>
  <c r="E104" i="112" s="1"/>
  <c r="E103" i="112" a="1"/>
  <c r="E103" i="112" s="1"/>
  <c r="D99" i="112" a="1"/>
  <c r="D99" i="112" s="1"/>
  <c r="D98" i="112" a="1"/>
  <c r="D98" i="112" s="1"/>
  <c r="M24" i="112" a="1"/>
  <c r="M24" i="112" s="1"/>
  <c r="G13" i="112" a="1"/>
  <c r="G13" i="112" s="1"/>
  <c r="D13" i="112" a="1"/>
  <c r="D13" i="112" s="1"/>
  <c r="E11" i="112" a="1"/>
  <c r="E11" i="112" s="1"/>
  <c r="E10" i="112" a="1"/>
  <c r="E10" i="112" s="1"/>
  <c r="D6" i="112" a="1"/>
  <c r="D6" i="112" s="1"/>
  <c r="D5" i="112" a="1"/>
  <c r="D5" i="112" s="1"/>
  <c r="H102" i="109"/>
  <c r="H101" i="109"/>
  <c r="H100" i="109"/>
  <c r="H99" i="109"/>
  <c r="H98" i="109"/>
  <c r="H97" i="109"/>
  <c r="H96" i="109"/>
  <c r="H95" i="109"/>
  <c r="H94" i="109"/>
  <c r="H93" i="109"/>
  <c r="H20" i="109"/>
  <c r="O20" i="109" s="1"/>
  <c r="L19" i="109"/>
  <c r="H19" i="109"/>
  <c r="R19" i="109" s="1"/>
  <c r="H18" i="109"/>
  <c r="R18" i="109" s="1"/>
  <c r="H17" i="109"/>
  <c r="R17" i="109" s="1"/>
  <c r="H16" i="109"/>
  <c r="R16" i="109" s="1"/>
  <c r="H15" i="109"/>
  <c r="R15" i="109" s="1"/>
  <c r="H14" i="109"/>
  <c r="R14" i="109" s="1"/>
  <c r="H13" i="109"/>
  <c r="R13" i="109" s="1"/>
  <c r="H12" i="109"/>
  <c r="L12" i="109" s="1"/>
  <c r="R11" i="109"/>
  <c r="O11" i="109"/>
  <c r="L11" i="109"/>
  <c r="H11" i="109"/>
  <c r="Q9" i="109" a="1"/>
  <c r="Q9" i="109" s="1"/>
  <c r="N9" i="109" a="1"/>
  <c r="N9" i="109" s="1"/>
  <c r="K9" i="109" a="1"/>
  <c r="K9" i="109" s="1"/>
  <c r="F235" i="107" a="1"/>
  <c r="F235" i="107" s="1"/>
  <c r="E235" i="107" a="1"/>
  <c r="E235" i="107" s="1"/>
  <c r="D235" i="107" a="1"/>
  <c r="D235" i="107" s="1"/>
  <c r="F234" i="107" a="1"/>
  <c r="F234" i="107" s="1"/>
  <c r="E234" i="107" a="1"/>
  <c r="E234" i="107" s="1"/>
  <c r="D234" i="107" a="1"/>
  <c r="D234" i="107" s="1"/>
  <c r="F233" i="107" a="1"/>
  <c r="F233" i="107" s="1"/>
  <c r="E233" i="107" a="1"/>
  <c r="E233" i="107" s="1"/>
  <c r="D233" i="107" a="1"/>
  <c r="D233" i="107" s="1"/>
  <c r="F232" i="107" a="1"/>
  <c r="F232" i="107" s="1"/>
  <c r="E232" i="107" a="1"/>
  <c r="E232" i="107" s="1"/>
  <c r="D232" i="107" a="1"/>
  <c r="D232" i="107" s="1"/>
  <c r="F231" i="107" a="1"/>
  <c r="F231" i="107" s="1"/>
  <c r="E231" i="107" a="1"/>
  <c r="E231" i="107" s="1"/>
  <c r="D231" i="107" a="1"/>
  <c r="D231" i="107" s="1"/>
  <c r="F230" i="107" a="1"/>
  <c r="F230" i="107" s="1"/>
  <c r="E230" i="107" a="1"/>
  <c r="E230" i="107" s="1"/>
  <c r="D230" i="107" a="1"/>
  <c r="D230" i="107" s="1"/>
  <c r="F229" i="107" a="1"/>
  <c r="F229" i="107" s="1"/>
  <c r="E229" i="107" a="1"/>
  <c r="E229" i="107" s="1"/>
  <c r="D229" i="107" a="1"/>
  <c r="D229" i="107" s="1"/>
  <c r="F228" i="107" a="1"/>
  <c r="F228" i="107" s="1"/>
  <c r="E228" i="107" a="1"/>
  <c r="E228" i="107" s="1"/>
  <c r="D228" i="107" a="1"/>
  <c r="D228" i="107" s="1"/>
  <c r="F227" i="107" a="1"/>
  <c r="F227" i="107" s="1"/>
  <c r="E227" i="107" a="1"/>
  <c r="E227" i="107" s="1"/>
  <c r="D227" i="107" a="1"/>
  <c r="D227" i="107" s="1"/>
  <c r="F226" i="107" a="1"/>
  <c r="F226" i="107" s="1"/>
  <c r="E226" i="107" a="1"/>
  <c r="E226" i="107" s="1"/>
  <c r="D226" i="107" a="1"/>
  <c r="D226" i="107" s="1"/>
  <c r="F225" i="107" a="1"/>
  <c r="F225" i="107" s="1"/>
  <c r="E225" i="107" a="1"/>
  <c r="E225" i="107" s="1"/>
  <c r="D225" i="107" a="1"/>
  <c r="D225" i="107" s="1"/>
  <c r="F224" i="107" a="1"/>
  <c r="F224" i="107" s="1"/>
  <c r="E224" i="107" a="1"/>
  <c r="E224" i="107" s="1"/>
  <c r="D224" i="107" a="1"/>
  <c r="D224" i="107" s="1"/>
  <c r="F223" i="107" a="1"/>
  <c r="F223" i="107" s="1"/>
  <c r="E223" i="107" a="1"/>
  <c r="E223" i="107" s="1"/>
  <c r="D223" i="107" a="1"/>
  <c r="D223" i="107" s="1"/>
  <c r="F222" i="107" a="1"/>
  <c r="F222" i="107" s="1"/>
  <c r="E222" i="107" a="1"/>
  <c r="E222" i="107" s="1"/>
  <c r="D222" i="107" a="1"/>
  <c r="D222" i="107" s="1"/>
  <c r="F221" i="107" a="1"/>
  <c r="F221" i="107" s="1"/>
  <c r="E221" i="107" a="1"/>
  <c r="E221" i="107" s="1"/>
  <c r="D221" i="107" a="1"/>
  <c r="D221" i="107" s="1"/>
  <c r="F220" i="107" a="1"/>
  <c r="F220" i="107" s="1"/>
  <c r="E220" i="107" a="1"/>
  <c r="E220" i="107" s="1"/>
  <c r="D220" i="107" a="1"/>
  <c r="D220" i="107" s="1"/>
  <c r="F219" i="107" a="1"/>
  <c r="F219" i="107" s="1"/>
  <c r="E219" i="107" a="1"/>
  <c r="E219" i="107" s="1"/>
  <c r="D219" i="107" a="1"/>
  <c r="D219" i="107" s="1"/>
  <c r="F218" i="107" a="1"/>
  <c r="F218" i="107" s="1"/>
  <c r="E218" i="107" a="1"/>
  <c r="E218" i="107" s="1"/>
  <c r="D218" i="107" a="1"/>
  <c r="D218" i="107" s="1"/>
  <c r="F217" i="107" a="1"/>
  <c r="F217" i="107" s="1"/>
  <c r="E217" i="107" a="1"/>
  <c r="E217" i="107" s="1"/>
  <c r="D217" i="107" a="1"/>
  <c r="D217" i="107" s="1"/>
  <c r="F216" i="107" a="1"/>
  <c r="F216" i="107" s="1"/>
  <c r="E216" i="107" a="1"/>
  <c r="E216" i="107" s="1"/>
  <c r="D216" i="107" a="1"/>
  <c r="D216" i="107" s="1"/>
  <c r="F215" i="107" a="1"/>
  <c r="F215" i="107" s="1"/>
  <c r="E215" i="107" a="1"/>
  <c r="E215" i="107" s="1"/>
  <c r="D215" i="107" a="1"/>
  <c r="D215" i="107" s="1"/>
  <c r="F214" i="107" a="1"/>
  <c r="F214" i="107" s="1"/>
  <c r="E214" i="107" a="1"/>
  <c r="E214" i="107" s="1"/>
  <c r="D214" i="107" a="1"/>
  <c r="D214" i="107" s="1"/>
  <c r="F213" i="107" a="1"/>
  <c r="F213" i="107" s="1"/>
  <c r="E213" i="107" a="1"/>
  <c r="E213" i="107" s="1"/>
  <c r="D213" i="107" a="1"/>
  <c r="D213" i="107" s="1"/>
  <c r="F212" i="107" a="1"/>
  <c r="F212" i="107" s="1"/>
  <c r="E212" i="107" a="1"/>
  <c r="E212" i="107" s="1"/>
  <c r="D212" i="107" a="1"/>
  <c r="D212" i="107" s="1"/>
  <c r="F211" i="107" a="1"/>
  <c r="F211" i="107" s="1"/>
  <c r="E211" i="107" a="1"/>
  <c r="E211" i="107" s="1"/>
  <c r="D211" i="107" a="1"/>
  <c r="D211" i="107" s="1"/>
  <c r="F210" i="107" a="1"/>
  <c r="F210" i="107" s="1"/>
  <c r="E210" i="107" a="1"/>
  <c r="E210" i="107" s="1"/>
  <c r="D210" i="107" a="1"/>
  <c r="D210" i="107" s="1"/>
  <c r="F209" i="107" a="1"/>
  <c r="F209" i="107" s="1"/>
  <c r="E209" i="107" a="1"/>
  <c r="E209" i="107" s="1"/>
  <c r="D209" i="107" a="1"/>
  <c r="D209" i="107" s="1"/>
  <c r="F208" i="107" a="1"/>
  <c r="F208" i="107" s="1"/>
  <c r="E208" i="107" a="1"/>
  <c r="E208" i="107" s="1"/>
  <c r="D208" i="107" a="1"/>
  <c r="D208" i="107" s="1"/>
  <c r="F207" i="107" a="1"/>
  <c r="F207" i="107" s="1"/>
  <c r="E207" i="107" a="1"/>
  <c r="E207" i="107" s="1"/>
  <c r="D207" i="107" a="1"/>
  <c r="D207" i="107" s="1"/>
  <c r="F206" i="107" a="1"/>
  <c r="F206" i="107" s="1"/>
  <c r="E206" i="107" a="1"/>
  <c r="E206" i="107" s="1"/>
  <c r="D206" i="107" a="1"/>
  <c r="D206" i="107" s="1"/>
  <c r="F205" i="107" a="1"/>
  <c r="F205" i="107" s="1"/>
  <c r="E205" i="107" a="1"/>
  <c r="E205" i="107" s="1"/>
  <c r="D205" i="107" a="1"/>
  <c r="D205" i="107" s="1"/>
  <c r="F204" i="107" a="1"/>
  <c r="F204" i="107" s="1"/>
  <c r="E204" i="107" a="1"/>
  <c r="E204" i="107" s="1"/>
  <c r="D204" i="107" a="1"/>
  <c r="D204" i="107" s="1"/>
  <c r="F203" i="107" a="1"/>
  <c r="F203" i="107" s="1"/>
  <c r="E203" i="107" a="1"/>
  <c r="E203" i="107" s="1"/>
  <c r="D203" i="107" a="1"/>
  <c r="D203" i="107" s="1"/>
  <c r="F202" i="107" a="1"/>
  <c r="F202" i="107" s="1"/>
  <c r="E202" i="107" a="1"/>
  <c r="E202" i="107" s="1"/>
  <c r="D202" i="107" a="1"/>
  <c r="D202" i="107" s="1"/>
  <c r="F201" i="107" a="1"/>
  <c r="F201" i="107" s="1"/>
  <c r="E201" i="107" a="1"/>
  <c r="E201" i="107" s="1"/>
  <c r="D201" i="107" a="1"/>
  <c r="D201" i="107" s="1"/>
  <c r="F200" i="107" a="1"/>
  <c r="F200" i="107" s="1"/>
  <c r="E200" i="107" a="1"/>
  <c r="E200" i="107" s="1"/>
  <c r="D200" i="107" a="1"/>
  <c r="D200" i="107" s="1"/>
  <c r="F199" i="107" a="1"/>
  <c r="F199" i="107" s="1"/>
  <c r="E199" i="107" a="1"/>
  <c r="E199" i="107" s="1"/>
  <c r="D199" i="107" a="1"/>
  <c r="D199" i="107" s="1"/>
  <c r="F198" i="107" a="1"/>
  <c r="F198" i="107" s="1"/>
  <c r="E198" i="107" a="1"/>
  <c r="E198" i="107" s="1"/>
  <c r="D198" i="107" a="1"/>
  <c r="D198" i="107" s="1"/>
  <c r="F197" i="107" a="1"/>
  <c r="F197" i="107" s="1"/>
  <c r="E197" i="107" a="1"/>
  <c r="E197" i="107" s="1"/>
  <c r="D197" i="107" a="1"/>
  <c r="D197" i="107" s="1"/>
  <c r="F196" i="107" a="1"/>
  <c r="F196" i="107" s="1"/>
  <c r="E196" i="107" a="1"/>
  <c r="E196" i="107" s="1"/>
  <c r="D196" i="107" a="1"/>
  <c r="D196" i="107" s="1"/>
  <c r="F195" i="107" a="1"/>
  <c r="F195" i="107" s="1"/>
  <c r="E195" i="107" a="1"/>
  <c r="E195" i="107" s="1"/>
  <c r="D195" i="107" a="1"/>
  <c r="D195" i="107" s="1"/>
  <c r="F194" i="107" a="1"/>
  <c r="F194" i="107" s="1"/>
  <c r="E194" i="107" a="1"/>
  <c r="E194" i="107" s="1"/>
  <c r="D194" i="107" a="1"/>
  <c r="D194" i="107" s="1"/>
  <c r="F193" i="107" a="1"/>
  <c r="F193" i="107" s="1"/>
  <c r="E193" i="107" a="1"/>
  <c r="E193" i="107" s="1"/>
  <c r="D193" i="107" a="1"/>
  <c r="D193" i="107" s="1"/>
  <c r="F192" i="107" a="1"/>
  <c r="F192" i="107" s="1"/>
  <c r="E192" i="107" a="1"/>
  <c r="E192" i="107" s="1"/>
  <c r="D192" i="107" a="1"/>
  <c r="D192" i="107" s="1"/>
  <c r="F191" i="107" a="1"/>
  <c r="F191" i="107" s="1"/>
  <c r="E191" i="107" a="1"/>
  <c r="E191" i="107" s="1"/>
  <c r="D191" i="107" a="1"/>
  <c r="D191" i="107" s="1"/>
  <c r="F190" i="107" a="1"/>
  <c r="F190" i="107" s="1"/>
  <c r="E190" i="107" a="1"/>
  <c r="E190" i="107" s="1"/>
  <c r="D190" i="107" a="1"/>
  <c r="D190" i="107" s="1"/>
  <c r="F189" i="107" a="1"/>
  <c r="F189" i="107" s="1"/>
  <c r="E189" i="107" a="1"/>
  <c r="E189" i="107" s="1"/>
  <c r="D189" i="107" a="1"/>
  <c r="D189" i="107" s="1"/>
  <c r="F188" i="107" a="1"/>
  <c r="F188" i="107" s="1"/>
  <c r="E188" i="107" a="1"/>
  <c r="E188" i="107" s="1"/>
  <c r="D188" i="107" a="1"/>
  <c r="D188" i="107" s="1"/>
  <c r="F187" i="107" a="1"/>
  <c r="F187" i="107" s="1"/>
  <c r="E187" i="107" a="1"/>
  <c r="E187" i="107" s="1"/>
  <c r="D187" i="107" a="1"/>
  <c r="D187" i="107" s="1"/>
  <c r="F186" i="107" a="1"/>
  <c r="F186" i="107" s="1"/>
  <c r="E186" i="107" a="1"/>
  <c r="E186" i="107" s="1"/>
  <c r="D186" i="107" a="1"/>
  <c r="D186" i="107" s="1"/>
  <c r="F185" i="107" a="1"/>
  <c r="F185" i="107" s="1"/>
  <c r="E185" i="107" a="1"/>
  <c r="E185" i="107" s="1"/>
  <c r="D185" i="107" a="1"/>
  <c r="D185" i="107" s="1"/>
  <c r="F184" i="107" a="1"/>
  <c r="F184" i="107" s="1"/>
  <c r="E184" i="107" a="1"/>
  <c r="E184" i="107" s="1"/>
  <c r="D184" i="107" a="1"/>
  <c r="D184" i="107" s="1"/>
  <c r="F183" i="107" a="1"/>
  <c r="F183" i="107" s="1"/>
  <c r="E183" i="107" a="1"/>
  <c r="E183" i="107" s="1"/>
  <c r="D183" i="107" a="1"/>
  <c r="D183" i="107" s="1"/>
  <c r="F182" i="107" a="1"/>
  <c r="F182" i="107" s="1"/>
  <c r="E182" i="107" a="1"/>
  <c r="E182" i="107" s="1"/>
  <c r="D182" i="107" a="1"/>
  <c r="D182" i="107" s="1"/>
  <c r="F181" i="107" a="1"/>
  <c r="F181" i="107" s="1"/>
  <c r="E181" i="107" a="1"/>
  <c r="E181" i="107" s="1"/>
  <c r="D181" i="107" a="1"/>
  <c r="D181" i="107" s="1"/>
  <c r="F180" i="107" a="1"/>
  <c r="F180" i="107" s="1"/>
  <c r="E180" i="107" a="1"/>
  <c r="E180" i="107" s="1"/>
  <c r="D180" i="107" a="1"/>
  <c r="D180" i="107" s="1"/>
  <c r="F179" i="107" a="1"/>
  <c r="F179" i="107" s="1"/>
  <c r="E179" i="107" a="1"/>
  <c r="E179" i="107" s="1"/>
  <c r="D179" i="107" a="1"/>
  <c r="D179" i="107" s="1"/>
  <c r="F178" i="107" a="1"/>
  <c r="F178" i="107" s="1"/>
  <c r="E178" i="107" a="1"/>
  <c r="E178" i="107" s="1"/>
  <c r="D178" i="107" a="1"/>
  <c r="D178" i="107" s="1"/>
  <c r="F177" i="107" a="1"/>
  <c r="F177" i="107" s="1"/>
  <c r="E177" i="107" a="1"/>
  <c r="E177" i="107" s="1"/>
  <c r="D177" i="107" a="1"/>
  <c r="D177" i="107" s="1"/>
  <c r="F176" i="107" a="1"/>
  <c r="F176" i="107" s="1"/>
  <c r="E176" i="107" a="1"/>
  <c r="E176" i="107" s="1"/>
  <c r="D176" i="107" a="1"/>
  <c r="D176" i="107" s="1"/>
  <c r="F175" i="107" a="1"/>
  <c r="F175" i="107" s="1"/>
  <c r="E175" i="107" a="1"/>
  <c r="E175" i="107" s="1"/>
  <c r="D175" i="107" a="1"/>
  <c r="D175" i="107" s="1"/>
  <c r="F174" i="107" a="1"/>
  <c r="F174" i="107" s="1"/>
  <c r="E174" i="107" a="1"/>
  <c r="E174" i="107" s="1"/>
  <c r="D174" i="107" a="1"/>
  <c r="D174" i="107" s="1"/>
  <c r="F173" i="107" a="1"/>
  <c r="F173" i="107" s="1"/>
  <c r="E173" i="107" a="1"/>
  <c r="E173" i="107" s="1"/>
  <c r="D173" i="107" a="1"/>
  <c r="D173" i="107" s="1"/>
  <c r="F172" i="107" a="1"/>
  <c r="F172" i="107" s="1"/>
  <c r="E172" i="107" a="1"/>
  <c r="E172" i="107" s="1"/>
  <c r="D172" i="107" a="1"/>
  <c r="D172" i="107" s="1"/>
  <c r="F171" i="107" a="1"/>
  <c r="F171" i="107" s="1"/>
  <c r="E171" i="107" a="1"/>
  <c r="E171" i="107" s="1"/>
  <c r="D171" i="107" a="1"/>
  <c r="D171" i="107" s="1"/>
  <c r="F170" i="107" a="1"/>
  <c r="F170" i="107" s="1"/>
  <c r="E170" i="107" a="1"/>
  <c r="E170" i="107" s="1"/>
  <c r="D170" i="107" a="1"/>
  <c r="D170" i="107" s="1"/>
  <c r="F169" i="107" a="1"/>
  <c r="F169" i="107" s="1"/>
  <c r="E169" i="107" a="1"/>
  <c r="E169" i="107" s="1"/>
  <c r="D169" i="107" a="1"/>
  <c r="D169" i="107" s="1"/>
  <c r="F168" i="107" a="1"/>
  <c r="F168" i="107" s="1"/>
  <c r="E168" i="107" a="1"/>
  <c r="E168" i="107" s="1"/>
  <c r="D168" i="107" a="1"/>
  <c r="D168" i="107" s="1"/>
  <c r="F167" i="107" a="1"/>
  <c r="F167" i="107" s="1"/>
  <c r="E167" i="107" a="1"/>
  <c r="E167" i="107" s="1"/>
  <c r="D167" i="107" a="1"/>
  <c r="D167" i="107" s="1"/>
  <c r="F166" i="107" a="1"/>
  <c r="F166" i="107" s="1"/>
  <c r="E166" i="107" a="1"/>
  <c r="E166" i="107" s="1"/>
  <c r="D166" i="107" a="1"/>
  <c r="D166" i="107" s="1"/>
  <c r="F165" i="107" a="1"/>
  <c r="F165" i="107" s="1"/>
  <c r="E165" i="107" a="1"/>
  <c r="E165" i="107" s="1"/>
  <c r="D165" i="107" a="1"/>
  <c r="D165" i="107" s="1"/>
  <c r="F164" i="107" a="1"/>
  <c r="F164" i="107" s="1"/>
  <c r="E164" i="107" a="1"/>
  <c r="E164" i="107" s="1"/>
  <c r="D164" i="107" a="1"/>
  <c r="D164" i="107" s="1"/>
  <c r="F163" i="107" a="1"/>
  <c r="F163" i="107" s="1"/>
  <c r="E163" i="107" a="1"/>
  <c r="E163" i="107" s="1"/>
  <c r="D163" i="107" a="1"/>
  <c r="D163" i="107" s="1"/>
  <c r="F162" i="107" a="1"/>
  <c r="F162" i="107" s="1"/>
  <c r="E162" i="107" a="1"/>
  <c r="E162" i="107" s="1"/>
  <c r="D162" i="107" a="1"/>
  <c r="D162" i="107" s="1"/>
  <c r="F161" i="107" a="1"/>
  <c r="F161" i="107" s="1"/>
  <c r="E161" i="107" a="1"/>
  <c r="E161" i="107" s="1"/>
  <c r="D161" i="107" a="1"/>
  <c r="D161" i="107" s="1"/>
  <c r="F160" i="107" a="1"/>
  <c r="F160" i="107" s="1"/>
  <c r="E160" i="107" a="1"/>
  <c r="E160" i="107" s="1"/>
  <c r="D160" i="107" a="1"/>
  <c r="D160" i="107" s="1"/>
  <c r="F159" i="107" a="1"/>
  <c r="F159" i="107" s="1"/>
  <c r="E159" i="107" a="1"/>
  <c r="E159" i="107" s="1"/>
  <c r="D159" i="107" a="1"/>
  <c r="D159" i="107" s="1"/>
  <c r="F158" i="107" a="1"/>
  <c r="F158" i="107" s="1"/>
  <c r="E158" i="107" a="1"/>
  <c r="E158" i="107" s="1"/>
  <c r="D158" i="107" a="1"/>
  <c r="D158" i="107" s="1"/>
  <c r="F157" i="107" a="1"/>
  <c r="F157" i="107" s="1"/>
  <c r="E157" i="107" a="1"/>
  <c r="E157" i="107" s="1"/>
  <c r="D157" i="107" a="1"/>
  <c r="D157" i="107" s="1"/>
  <c r="F156" i="107" a="1"/>
  <c r="F156" i="107" s="1"/>
  <c r="E156" i="107" a="1"/>
  <c r="E156" i="107" s="1"/>
  <c r="D156" i="107" a="1"/>
  <c r="D156" i="107" s="1"/>
  <c r="F155" i="107" a="1"/>
  <c r="F155" i="107" s="1"/>
  <c r="E155" i="107" a="1"/>
  <c r="E155" i="107" s="1"/>
  <c r="D155" i="107" a="1"/>
  <c r="D155" i="107" s="1"/>
  <c r="F154" i="107" a="1"/>
  <c r="F154" i="107" s="1"/>
  <c r="E154" i="107" a="1"/>
  <c r="E154" i="107" s="1"/>
  <c r="D154" i="107" a="1"/>
  <c r="D154" i="107" s="1"/>
  <c r="F153" i="107" a="1"/>
  <c r="F153" i="107" s="1"/>
  <c r="E153" i="107" a="1"/>
  <c r="E153" i="107" s="1"/>
  <c r="D153" i="107" a="1"/>
  <c r="D153" i="107" s="1"/>
  <c r="F152" i="107" a="1"/>
  <c r="F152" i="107" s="1"/>
  <c r="E152" i="107" a="1"/>
  <c r="E152" i="107" s="1"/>
  <c r="D152" i="107" a="1"/>
  <c r="D152" i="107" s="1"/>
  <c r="F151" i="107" a="1"/>
  <c r="F151" i="107" s="1"/>
  <c r="E151" i="107" a="1"/>
  <c r="E151" i="107" s="1"/>
  <c r="D151" i="107" a="1"/>
  <c r="D151" i="107" s="1"/>
  <c r="F150" i="107" a="1"/>
  <c r="F150" i="107" s="1"/>
  <c r="E150" i="107" a="1"/>
  <c r="E150" i="107" s="1"/>
  <c r="D150" i="107" a="1"/>
  <c r="D150" i="107" s="1"/>
  <c r="F149" i="107" a="1"/>
  <c r="F149" i="107" s="1"/>
  <c r="E149" i="107" a="1"/>
  <c r="E149" i="107" s="1"/>
  <c r="D149" i="107" a="1"/>
  <c r="D149" i="107" s="1"/>
  <c r="F148" i="107" a="1"/>
  <c r="F148" i="107" s="1"/>
  <c r="E148" i="107" a="1"/>
  <c r="E148" i="107" s="1"/>
  <c r="D148" i="107" a="1"/>
  <c r="D148" i="107" s="1"/>
  <c r="F147" i="107" a="1"/>
  <c r="F147" i="107" s="1"/>
  <c r="E147" i="107" a="1"/>
  <c r="E147" i="107" s="1"/>
  <c r="D147" i="107" a="1"/>
  <c r="D147" i="107" s="1"/>
  <c r="F146" i="107" a="1"/>
  <c r="F146" i="107" s="1"/>
  <c r="E146" i="107" a="1"/>
  <c r="E146" i="107" s="1"/>
  <c r="D146" i="107" a="1"/>
  <c r="D146" i="107" s="1"/>
  <c r="F145" i="107" a="1"/>
  <c r="F145" i="107" s="1"/>
  <c r="E145" i="107" a="1"/>
  <c r="E145" i="107" s="1"/>
  <c r="D145" i="107" a="1"/>
  <c r="D145" i="107" s="1"/>
  <c r="F144" i="107" a="1"/>
  <c r="F144" i="107" s="1"/>
  <c r="E144" i="107" a="1"/>
  <c r="E144" i="107" s="1"/>
  <c r="D144" i="107" a="1"/>
  <c r="D144" i="107" s="1"/>
  <c r="F143" i="107" a="1"/>
  <c r="F143" i="107" s="1"/>
  <c r="E143" i="107" a="1"/>
  <c r="E143" i="107" s="1"/>
  <c r="D143" i="107" a="1"/>
  <c r="D143" i="107" s="1"/>
  <c r="F142" i="107" a="1"/>
  <c r="F142" i="107" s="1"/>
  <c r="E142" i="107" a="1"/>
  <c r="E142" i="107" s="1"/>
  <c r="D142" i="107" a="1"/>
  <c r="D142" i="107" s="1"/>
  <c r="F141" i="107" a="1"/>
  <c r="F141" i="107" s="1"/>
  <c r="E141" i="107" a="1"/>
  <c r="E141" i="107" s="1"/>
  <c r="D141" i="107" a="1"/>
  <c r="D141" i="107" s="1"/>
  <c r="F140" i="107" a="1"/>
  <c r="F140" i="107" s="1"/>
  <c r="E140" i="107" a="1"/>
  <c r="E140" i="107" s="1"/>
  <c r="D140" i="107" a="1"/>
  <c r="D140" i="107" s="1"/>
  <c r="F139" i="107" a="1"/>
  <c r="F139" i="107" s="1"/>
  <c r="E139" i="107" a="1"/>
  <c r="E139" i="107" s="1"/>
  <c r="D139" i="107" a="1"/>
  <c r="D139" i="107" s="1"/>
  <c r="F138" i="107" a="1"/>
  <c r="F138" i="107" s="1"/>
  <c r="E138" i="107" a="1"/>
  <c r="E138" i="107" s="1"/>
  <c r="D138" i="107" a="1"/>
  <c r="D138" i="107" s="1"/>
  <c r="F137" i="107" a="1"/>
  <c r="F137" i="107" s="1"/>
  <c r="E137" i="107" a="1"/>
  <c r="E137" i="107" s="1"/>
  <c r="D137" i="107" a="1"/>
  <c r="D137" i="107" s="1"/>
  <c r="F136" i="107" a="1"/>
  <c r="F136" i="107" s="1"/>
  <c r="E136" i="107" a="1"/>
  <c r="E136" i="107" s="1"/>
  <c r="D136" i="107" a="1"/>
  <c r="D136" i="107" s="1"/>
  <c r="F135" i="107" a="1"/>
  <c r="F135" i="107" s="1"/>
  <c r="E135" i="107" a="1"/>
  <c r="E135" i="107" s="1"/>
  <c r="D135" i="107" a="1"/>
  <c r="D135" i="107" s="1"/>
  <c r="F134" i="107" a="1"/>
  <c r="F134" i="107" s="1"/>
  <c r="E134" i="107" a="1"/>
  <c r="E134" i="107" s="1"/>
  <c r="D134" i="107" a="1"/>
  <c r="D134" i="107" s="1"/>
  <c r="F133" i="107" a="1"/>
  <c r="F133" i="107" s="1"/>
  <c r="E133" i="107" a="1"/>
  <c r="E133" i="107" s="1"/>
  <c r="D133" i="107" a="1"/>
  <c r="D133" i="107" s="1"/>
  <c r="F132" i="107" a="1"/>
  <c r="F132" i="107" s="1"/>
  <c r="E132" i="107" a="1"/>
  <c r="E132" i="107" s="1"/>
  <c r="D132" i="107" a="1"/>
  <c r="D132" i="107" s="1"/>
  <c r="F131" i="107" a="1"/>
  <c r="F131" i="107" s="1"/>
  <c r="E131" i="107" a="1"/>
  <c r="E131" i="107" s="1"/>
  <c r="D131" i="107" a="1"/>
  <c r="D131" i="107" s="1"/>
  <c r="F130" i="107" a="1"/>
  <c r="F130" i="107" s="1"/>
  <c r="E130" i="107" a="1"/>
  <c r="E130" i="107" s="1"/>
  <c r="D130" i="107" a="1"/>
  <c r="D130" i="107" s="1"/>
  <c r="F129" i="107" a="1"/>
  <c r="F129" i="107" s="1"/>
  <c r="E129" i="107" a="1"/>
  <c r="E129" i="107" s="1"/>
  <c r="D129" i="107" a="1"/>
  <c r="D129" i="107" s="1"/>
  <c r="F128" i="107" a="1"/>
  <c r="F128" i="107" s="1"/>
  <c r="E128" i="107" a="1"/>
  <c r="E128" i="107" s="1"/>
  <c r="D128" i="107" a="1"/>
  <c r="D128" i="107" s="1"/>
  <c r="F127" i="107" a="1"/>
  <c r="F127" i="107" s="1"/>
  <c r="E127" i="107" a="1"/>
  <c r="E127" i="107" s="1"/>
  <c r="D127" i="107" a="1"/>
  <c r="D127" i="107" s="1"/>
  <c r="F126" i="107" a="1"/>
  <c r="F126" i="107" s="1"/>
  <c r="E126" i="107" a="1"/>
  <c r="E126" i="107" s="1"/>
  <c r="D126" i="107" a="1"/>
  <c r="D126" i="107" s="1"/>
  <c r="F125" i="107" a="1"/>
  <c r="F125" i="107" s="1"/>
  <c r="E125" i="107" a="1"/>
  <c r="E125" i="107" s="1"/>
  <c r="D125" i="107" a="1"/>
  <c r="D125" i="107" s="1"/>
  <c r="F124" i="107" a="1"/>
  <c r="F124" i="107" s="1"/>
  <c r="E124" i="107" a="1"/>
  <c r="E124" i="107" s="1"/>
  <c r="D124" i="107" a="1"/>
  <c r="D124" i="107" s="1"/>
  <c r="F123" i="107" a="1"/>
  <c r="F123" i="107" s="1"/>
  <c r="E123" i="107" a="1"/>
  <c r="E123" i="107" s="1"/>
  <c r="D123" i="107" a="1"/>
  <c r="D123" i="107" s="1"/>
  <c r="F122" i="107" a="1"/>
  <c r="F122" i="107" s="1"/>
  <c r="E122" i="107" a="1"/>
  <c r="E122" i="107" s="1"/>
  <c r="D122" i="107" a="1"/>
  <c r="D122" i="107" s="1"/>
  <c r="F121" i="107" a="1"/>
  <c r="F121" i="107" s="1"/>
  <c r="E121" i="107" a="1"/>
  <c r="E121" i="107" s="1"/>
  <c r="D121" i="107" a="1"/>
  <c r="D121" i="107" s="1"/>
  <c r="F120" i="107" a="1"/>
  <c r="F120" i="107" s="1"/>
  <c r="E120" i="107" a="1"/>
  <c r="E120" i="107" s="1"/>
  <c r="D120" i="107" a="1"/>
  <c r="D120" i="107" s="1"/>
  <c r="F119" i="107" a="1"/>
  <c r="F119" i="107" s="1"/>
  <c r="E119" i="107" a="1"/>
  <c r="E119" i="107" s="1"/>
  <c r="D119" i="107" a="1"/>
  <c r="D119" i="107" s="1"/>
  <c r="F118" i="107" a="1"/>
  <c r="F118" i="107" s="1"/>
  <c r="E118" i="107" a="1"/>
  <c r="E118" i="107" s="1"/>
  <c r="D118" i="107" a="1"/>
  <c r="D118" i="107" s="1"/>
  <c r="F117" i="107" a="1"/>
  <c r="F117" i="107" s="1"/>
  <c r="E117" i="107" a="1"/>
  <c r="E117" i="107" s="1"/>
  <c r="D117" i="107" a="1"/>
  <c r="D117" i="107" s="1"/>
  <c r="F116" i="107" a="1"/>
  <c r="F116" i="107" s="1"/>
  <c r="E116" i="107" a="1"/>
  <c r="E116" i="107" s="1"/>
  <c r="D116" i="107" a="1"/>
  <c r="D116" i="107" s="1"/>
  <c r="F115" i="107" a="1"/>
  <c r="F115" i="107" s="1"/>
  <c r="E115" i="107" a="1"/>
  <c r="E115" i="107" s="1"/>
  <c r="D115" i="107" a="1"/>
  <c r="D115" i="107" s="1"/>
  <c r="F114" i="107" a="1"/>
  <c r="F114" i="107" s="1"/>
  <c r="E114" i="107" a="1"/>
  <c r="E114" i="107" s="1"/>
  <c r="D114" i="107" a="1"/>
  <c r="D114" i="107" s="1"/>
  <c r="F113" i="107" a="1"/>
  <c r="F113" i="107" s="1"/>
  <c r="E113" i="107" a="1"/>
  <c r="E113" i="107" s="1"/>
  <c r="D113" i="107" a="1"/>
  <c r="D113" i="107" s="1"/>
  <c r="F112" i="107" a="1"/>
  <c r="F112" i="107" s="1"/>
  <c r="E112" i="107" a="1"/>
  <c r="E112" i="107" s="1"/>
  <c r="D112" i="107" a="1"/>
  <c r="D112" i="107" s="1"/>
  <c r="F111" i="107" a="1"/>
  <c r="F111" i="107" s="1"/>
  <c r="E111" i="107" a="1"/>
  <c r="E111" i="107" s="1"/>
  <c r="D111" i="107" a="1"/>
  <c r="D111" i="107" s="1"/>
  <c r="F110" i="107" a="1"/>
  <c r="F110" i="107" s="1"/>
  <c r="E110" i="107" a="1"/>
  <c r="E110" i="107" s="1"/>
  <c r="D110" i="107" a="1"/>
  <c r="D110" i="107" s="1"/>
  <c r="F109" i="107" a="1"/>
  <c r="F109" i="107" s="1"/>
  <c r="E109" i="107" a="1"/>
  <c r="E109" i="107" s="1"/>
  <c r="D109" i="107" a="1"/>
  <c r="D109" i="107" s="1"/>
  <c r="F108" i="107" a="1"/>
  <c r="F108" i="107" s="1"/>
  <c r="E108" i="107" a="1"/>
  <c r="E108" i="107" s="1"/>
  <c r="D108" i="107" a="1"/>
  <c r="D108" i="107" s="1"/>
  <c r="F107" i="107" a="1"/>
  <c r="F107" i="107" s="1"/>
  <c r="E107" i="107" a="1"/>
  <c r="E107" i="107" s="1"/>
  <c r="D107" i="107" a="1"/>
  <c r="D107" i="107" s="1"/>
  <c r="F106" i="107" a="1"/>
  <c r="F106" i="107" s="1"/>
  <c r="E106" i="107" a="1"/>
  <c r="E106" i="107" s="1"/>
  <c r="D106" i="107" a="1"/>
  <c r="D106" i="107" s="1"/>
  <c r="F105" i="107" a="1"/>
  <c r="F105" i="107" s="1"/>
  <c r="E105" i="107" a="1"/>
  <c r="E105" i="107" s="1"/>
  <c r="D105" i="107" a="1"/>
  <c r="D105" i="107" s="1"/>
  <c r="F104" i="107" a="1"/>
  <c r="F104" i="107" s="1"/>
  <c r="E104" i="107" a="1"/>
  <c r="E104" i="107" s="1"/>
  <c r="D104" i="107" a="1"/>
  <c r="D104" i="107" s="1"/>
  <c r="F103" i="107" a="1"/>
  <c r="F103" i="107" s="1"/>
  <c r="E103" i="107" a="1"/>
  <c r="E103" i="107" s="1"/>
  <c r="D103" i="107" a="1"/>
  <c r="D103" i="107" s="1"/>
  <c r="F102" i="107" a="1"/>
  <c r="F102" i="107" s="1"/>
  <c r="E102" i="107" a="1"/>
  <c r="E102" i="107" s="1"/>
  <c r="D102" i="107" a="1"/>
  <c r="D102" i="107" s="1"/>
  <c r="F101" i="107" a="1"/>
  <c r="F101" i="107" s="1"/>
  <c r="E101" i="107" a="1"/>
  <c r="E101" i="107" s="1"/>
  <c r="D101" i="107" a="1"/>
  <c r="D101" i="107" s="1"/>
  <c r="F100" i="107" a="1"/>
  <c r="F100" i="107" s="1"/>
  <c r="E100" i="107" a="1"/>
  <c r="E100" i="107" s="1"/>
  <c r="D100" i="107" a="1"/>
  <c r="D100" i="107" s="1"/>
  <c r="F99" i="107" a="1"/>
  <c r="F99" i="107" s="1"/>
  <c r="E99" i="107" a="1"/>
  <c r="E99" i="107" s="1"/>
  <c r="D99" i="107" a="1"/>
  <c r="D99" i="107" s="1"/>
  <c r="F98" i="107" a="1"/>
  <c r="F98" i="107" s="1"/>
  <c r="E98" i="107" a="1"/>
  <c r="E98" i="107" s="1"/>
  <c r="D98" i="107" a="1"/>
  <c r="D98" i="107" s="1"/>
  <c r="F97" i="107" a="1"/>
  <c r="F97" i="107" s="1"/>
  <c r="E97" i="107" a="1"/>
  <c r="E97" i="107" s="1"/>
  <c r="D97" i="107" a="1"/>
  <c r="D97" i="107" s="1"/>
  <c r="F96" i="107" a="1"/>
  <c r="F96" i="107" s="1"/>
  <c r="E96" i="107" a="1"/>
  <c r="E96" i="107" s="1"/>
  <c r="D96" i="107" a="1"/>
  <c r="D96" i="107" s="1"/>
  <c r="F95" i="107" a="1"/>
  <c r="F95" i="107" s="1"/>
  <c r="E95" i="107" a="1"/>
  <c r="E95" i="107" s="1"/>
  <c r="D95" i="107" a="1"/>
  <c r="D95" i="107" s="1"/>
  <c r="F94" i="107" a="1"/>
  <c r="F94" i="107" s="1"/>
  <c r="E94" i="107" a="1"/>
  <c r="E94" i="107" s="1"/>
  <c r="D94" i="107" a="1"/>
  <c r="D94" i="107" s="1"/>
  <c r="F93" i="107" a="1"/>
  <c r="F93" i="107" s="1"/>
  <c r="E93" i="107" a="1"/>
  <c r="E93" i="107" s="1"/>
  <c r="D93" i="107" a="1"/>
  <c r="D93" i="107" s="1"/>
  <c r="D91" i="107" a="1"/>
  <c r="D91" i="107" s="1"/>
  <c r="F89" i="107" a="1"/>
  <c r="F89" i="107" s="1"/>
  <c r="E89" i="107" a="1"/>
  <c r="E89" i="107" s="1"/>
  <c r="D89" i="107" a="1"/>
  <c r="D89" i="107" s="1"/>
  <c r="F88" i="107" a="1"/>
  <c r="F88" i="107" s="1"/>
  <c r="E88" i="107" a="1"/>
  <c r="E88" i="107" s="1"/>
  <c r="D88" i="107" a="1"/>
  <c r="D88" i="107" s="1"/>
  <c r="F87" i="107" a="1"/>
  <c r="F87" i="107" s="1"/>
  <c r="E87" i="107" a="1"/>
  <c r="E87" i="107" s="1"/>
  <c r="D87" i="107" a="1"/>
  <c r="D87" i="107" s="1"/>
  <c r="F86" i="107" a="1"/>
  <c r="F86" i="107" s="1"/>
  <c r="E86" i="107" a="1"/>
  <c r="E86" i="107" s="1"/>
  <c r="D86" i="107" a="1"/>
  <c r="D86" i="107" s="1"/>
  <c r="F85" i="107" a="1"/>
  <c r="F85" i="107" s="1"/>
  <c r="E85" i="107" a="1"/>
  <c r="E85" i="107" s="1"/>
  <c r="D85" i="107" a="1"/>
  <c r="D85" i="107" s="1"/>
  <c r="F84" i="107" a="1"/>
  <c r="F84" i="107" s="1"/>
  <c r="E84" i="107" a="1"/>
  <c r="E84" i="107" s="1"/>
  <c r="D84" i="107" a="1"/>
  <c r="D84" i="107" s="1"/>
  <c r="F83" i="107" a="1"/>
  <c r="F83" i="107" s="1"/>
  <c r="E83" i="107" a="1"/>
  <c r="E83" i="107" s="1"/>
  <c r="D83" i="107" a="1"/>
  <c r="D83" i="107" s="1"/>
  <c r="F82" i="107" a="1"/>
  <c r="F82" i="107" s="1"/>
  <c r="E82" i="107" a="1"/>
  <c r="E82" i="107" s="1"/>
  <c r="D82" i="107" a="1"/>
  <c r="D82" i="107" s="1"/>
  <c r="F81" i="107" a="1"/>
  <c r="F81" i="107" s="1"/>
  <c r="E81" i="107" a="1"/>
  <c r="E81" i="107" s="1"/>
  <c r="D81" i="107" a="1"/>
  <c r="D81" i="107" s="1"/>
  <c r="F80" i="107" a="1"/>
  <c r="F80" i="107" s="1"/>
  <c r="E80" i="107" a="1"/>
  <c r="E80" i="107" s="1"/>
  <c r="D80" i="107" a="1"/>
  <c r="D80" i="107" s="1"/>
  <c r="F79" i="107" a="1"/>
  <c r="F79" i="107" s="1"/>
  <c r="E79" i="107" a="1"/>
  <c r="E79" i="107" s="1"/>
  <c r="D79" i="107" a="1"/>
  <c r="D79" i="107" s="1"/>
  <c r="F78" i="107" a="1"/>
  <c r="F78" i="107" s="1"/>
  <c r="E78" i="107" a="1"/>
  <c r="E78" i="107" s="1"/>
  <c r="D78" i="107" a="1"/>
  <c r="D78" i="107" s="1"/>
  <c r="F77" i="107" a="1"/>
  <c r="F77" i="107" s="1"/>
  <c r="E77" i="107" a="1"/>
  <c r="E77" i="107" s="1"/>
  <c r="D77" i="107" a="1"/>
  <c r="D77" i="107" s="1"/>
  <c r="F76" i="107" a="1"/>
  <c r="F76" i="107" s="1"/>
  <c r="E76" i="107" a="1"/>
  <c r="E76" i="107" s="1"/>
  <c r="D76" i="107" a="1"/>
  <c r="D76" i="107" s="1"/>
  <c r="F75" i="107" a="1"/>
  <c r="F75" i="107" s="1"/>
  <c r="E75" i="107" a="1"/>
  <c r="E75" i="107" s="1"/>
  <c r="D75" i="107" a="1"/>
  <c r="D75" i="107" s="1"/>
  <c r="F74" i="107" a="1"/>
  <c r="F74" i="107" s="1"/>
  <c r="E74" i="107" a="1"/>
  <c r="E74" i="107" s="1"/>
  <c r="D74" i="107" a="1"/>
  <c r="D74" i="107" s="1"/>
  <c r="D71" i="107" a="1"/>
  <c r="D71" i="107" s="1"/>
  <c r="D70" i="107" a="1"/>
  <c r="D70" i="107" s="1"/>
  <c r="F67" i="107" a="1"/>
  <c r="F67" i="107" s="1"/>
  <c r="E67" i="107" a="1"/>
  <c r="E67" i="107" s="1"/>
  <c r="D67" i="107" a="1"/>
  <c r="D67" i="107" s="1"/>
  <c r="F66" i="107" a="1"/>
  <c r="F66" i="107" s="1"/>
  <c r="E66" i="107" a="1"/>
  <c r="E66" i="107" s="1"/>
  <c r="D66" i="107" a="1"/>
  <c r="D66" i="107" s="1"/>
  <c r="F65" i="107" a="1"/>
  <c r="F65" i="107" s="1"/>
  <c r="E65" i="107" a="1"/>
  <c r="E65" i="107" s="1"/>
  <c r="D65" i="107" a="1"/>
  <c r="D65" i="107" s="1"/>
  <c r="F64" i="107" a="1"/>
  <c r="F64" i="107" s="1"/>
  <c r="E64" i="107" a="1"/>
  <c r="E64" i="107" s="1"/>
  <c r="D64" i="107" a="1"/>
  <c r="D64" i="107" s="1"/>
  <c r="F63" i="107" a="1"/>
  <c r="F63" i="107" s="1"/>
  <c r="E63" i="107" a="1"/>
  <c r="E63" i="107" s="1"/>
  <c r="D63" i="107" a="1"/>
  <c r="D63" i="107" s="1"/>
  <c r="D60" i="107" a="1"/>
  <c r="D60" i="107" s="1"/>
  <c r="D59" i="107" a="1"/>
  <c r="D59" i="107" s="1"/>
  <c r="I56" i="107" a="1"/>
  <c r="I56" i="107" s="1"/>
  <c r="H56" i="107" a="1"/>
  <c r="H56" i="107" s="1"/>
  <c r="G56" i="107" a="1"/>
  <c r="G56" i="107" s="1"/>
  <c r="F56" i="107" a="1"/>
  <c r="F56" i="107" s="1"/>
  <c r="E56" i="107" a="1"/>
  <c r="E56" i="107" s="1"/>
  <c r="D56" i="107" a="1"/>
  <c r="D56" i="107" s="1"/>
  <c r="I55" i="107" a="1"/>
  <c r="I55" i="107" s="1"/>
  <c r="H55" i="107" a="1"/>
  <c r="H55" i="107" s="1"/>
  <c r="G55" i="107" a="1"/>
  <c r="G55" i="107" s="1"/>
  <c r="F55" i="107" a="1"/>
  <c r="F55" i="107" s="1"/>
  <c r="E55" i="107" a="1"/>
  <c r="E55" i="107" s="1"/>
  <c r="D55" i="107" a="1"/>
  <c r="D55" i="107" s="1"/>
  <c r="I54" i="107" a="1"/>
  <c r="I54" i="107" s="1"/>
  <c r="H54" i="107" a="1"/>
  <c r="H54" i="107" s="1"/>
  <c r="G54" i="107" a="1"/>
  <c r="G54" i="107" s="1"/>
  <c r="F54" i="107" a="1"/>
  <c r="F54" i="107" s="1"/>
  <c r="E54" i="107" a="1"/>
  <c r="E54" i="107" s="1"/>
  <c r="D54" i="107" a="1"/>
  <c r="D54" i="107" s="1"/>
  <c r="I53" i="107" a="1"/>
  <c r="I53" i="107" s="1"/>
  <c r="H53" i="107" a="1"/>
  <c r="H53" i="107" s="1"/>
  <c r="G53" i="107" a="1"/>
  <c r="G53" i="107" s="1"/>
  <c r="F53" i="107" a="1"/>
  <c r="F53" i="107" s="1"/>
  <c r="E53" i="107" a="1"/>
  <c r="E53" i="107" s="1"/>
  <c r="D53" i="107" a="1"/>
  <c r="D53" i="107" s="1"/>
  <c r="I52" i="107" a="1"/>
  <c r="I52" i="107" s="1"/>
  <c r="H52" i="107" a="1"/>
  <c r="H52" i="107" s="1"/>
  <c r="G52" i="107" a="1"/>
  <c r="G52" i="107" s="1"/>
  <c r="F52" i="107" a="1"/>
  <c r="F52" i="107" s="1"/>
  <c r="E52" i="107" a="1"/>
  <c r="E52" i="107" s="1"/>
  <c r="D52" i="107" a="1"/>
  <c r="D52" i="107" s="1"/>
  <c r="E19" i="104" s="1"/>
  <c r="D49" i="107" a="1"/>
  <c r="D49" i="107" s="1"/>
  <c r="D48" i="107" a="1"/>
  <c r="D48" i="107" s="1"/>
  <c r="E45" i="107" a="1"/>
  <c r="E45" i="107" s="1"/>
  <c r="D45" i="107" a="1"/>
  <c r="D45" i="107" s="1"/>
  <c r="E44" i="107" a="1"/>
  <c r="E44" i="107" s="1"/>
  <c r="D44" i="107" a="1"/>
  <c r="D44" i="107" s="1"/>
  <c r="D41" i="107" a="1"/>
  <c r="D41" i="107" s="1"/>
  <c r="D40" i="107" a="1"/>
  <c r="D40" i="107" s="1"/>
  <c r="L37" i="107" a="1"/>
  <c r="L37" i="107" s="1"/>
  <c r="K37" i="107" a="1"/>
  <c r="K37" i="107" s="1"/>
  <c r="J37" i="107" a="1"/>
  <c r="J37" i="107" s="1"/>
  <c r="I37" i="107" a="1"/>
  <c r="I37" i="107" s="1"/>
  <c r="H37" i="107" a="1"/>
  <c r="H37" i="107" s="1"/>
  <c r="G37" i="107" a="1"/>
  <c r="G37" i="107" s="1"/>
  <c r="F37" i="107" a="1"/>
  <c r="F37" i="107" s="1"/>
  <c r="E37" i="107" a="1"/>
  <c r="E37" i="107" s="1"/>
  <c r="D37" i="107" a="1"/>
  <c r="D37" i="107" s="1"/>
  <c r="L36" i="107" a="1"/>
  <c r="L36" i="107" s="1"/>
  <c r="K36" i="107" a="1"/>
  <c r="K36" i="107" s="1"/>
  <c r="J36" i="107" a="1"/>
  <c r="J36" i="107" s="1"/>
  <c r="I36" i="107" a="1"/>
  <c r="I36" i="107" s="1"/>
  <c r="H36" i="107" a="1"/>
  <c r="H36" i="107" s="1"/>
  <c r="G36" i="107" a="1"/>
  <c r="G36" i="107" s="1"/>
  <c r="F36" i="107" a="1"/>
  <c r="F36" i="107" s="1"/>
  <c r="E36" i="107" a="1"/>
  <c r="E36" i="107" s="1"/>
  <c r="D36" i="107" a="1"/>
  <c r="D36" i="107" s="1"/>
  <c r="L35" i="107" a="1"/>
  <c r="L35" i="107" s="1"/>
  <c r="K35" i="107" a="1"/>
  <c r="K35" i="107" s="1"/>
  <c r="J35" i="107" a="1"/>
  <c r="J35" i="107" s="1"/>
  <c r="I35" i="107" a="1"/>
  <c r="I35" i="107" s="1"/>
  <c r="H35" i="107" a="1"/>
  <c r="H35" i="107" s="1"/>
  <c r="G35" i="107" a="1"/>
  <c r="G35" i="107" s="1"/>
  <c r="F35" i="107" a="1"/>
  <c r="F35" i="107" s="1"/>
  <c r="E35" i="107" a="1"/>
  <c r="E35" i="107" s="1"/>
  <c r="D35" i="107" a="1"/>
  <c r="D35" i="107" s="1"/>
  <c r="L34" i="107" a="1"/>
  <c r="L34" i="107" s="1"/>
  <c r="K34" i="107" a="1"/>
  <c r="K34" i="107" s="1"/>
  <c r="J34" i="107" a="1"/>
  <c r="J34" i="107" s="1"/>
  <c r="I34" i="107" a="1"/>
  <c r="I34" i="107" s="1"/>
  <c r="H34" i="107" a="1"/>
  <c r="H34" i="107" s="1"/>
  <c r="G34" i="107" a="1"/>
  <c r="G34" i="107" s="1"/>
  <c r="F34" i="107" a="1"/>
  <c r="F34" i="107" s="1"/>
  <c r="E34" i="107" a="1"/>
  <c r="E34" i="107" s="1"/>
  <c r="D34" i="107" a="1"/>
  <c r="D34" i="107" s="1"/>
  <c r="L33" i="107" a="1"/>
  <c r="L33" i="107" s="1"/>
  <c r="K33" i="107" a="1"/>
  <c r="K33" i="107" s="1"/>
  <c r="J33" i="107" a="1"/>
  <c r="J33" i="107" s="1"/>
  <c r="I33" i="107" a="1"/>
  <c r="I33" i="107" s="1"/>
  <c r="H33" i="107" a="1"/>
  <c r="H33" i="107" s="1"/>
  <c r="G33" i="107" a="1"/>
  <c r="G33" i="107" s="1"/>
  <c r="F33" i="107" a="1"/>
  <c r="F33" i="107" s="1"/>
  <c r="E33" i="107" a="1"/>
  <c r="E33" i="107" s="1"/>
  <c r="D33" i="107" a="1"/>
  <c r="D33" i="107" s="1"/>
  <c r="L32" i="107" a="1"/>
  <c r="L32" i="107" s="1"/>
  <c r="K32" i="107" a="1"/>
  <c r="K32" i="107" s="1"/>
  <c r="J32" i="107" a="1"/>
  <c r="J32" i="107" s="1"/>
  <c r="I32" i="107" a="1"/>
  <c r="I32" i="107" s="1"/>
  <c r="H32" i="107" a="1"/>
  <c r="H32" i="107" s="1"/>
  <c r="G32" i="107" a="1"/>
  <c r="G32" i="107" s="1"/>
  <c r="F32" i="107" a="1"/>
  <c r="F32" i="107" s="1"/>
  <c r="E32" i="107" a="1"/>
  <c r="E32" i="107" s="1"/>
  <c r="D32" i="107" a="1"/>
  <c r="D32" i="107" s="1"/>
  <c r="L31" i="107" a="1"/>
  <c r="L31" i="107" s="1"/>
  <c r="K31" i="107" a="1"/>
  <c r="K31" i="107" s="1"/>
  <c r="J31" i="107" a="1"/>
  <c r="J31" i="107" s="1"/>
  <c r="I31" i="107" a="1"/>
  <c r="I31" i="107" s="1"/>
  <c r="H31" i="107" a="1"/>
  <c r="H31" i="107" s="1"/>
  <c r="G31" i="107" a="1"/>
  <c r="G31" i="107" s="1"/>
  <c r="F31" i="107" a="1"/>
  <c r="F31" i="107" s="1"/>
  <c r="E31" i="107" a="1"/>
  <c r="E31" i="107" s="1"/>
  <c r="D31" i="107" a="1"/>
  <c r="D31" i="107" s="1"/>
  <c r="L30" i="107" a="1"/>
  <c r="L30" i="107" s="1"/>
  <c r="K30" i="107" a="1"/>
  <c r="K30" i="107" s="1"/>
  <c r="J30" i="107" a="1"/>
  <c r="J30" i="107" s="1"/>
  <c r="I30" i="107" a="1"/>
  <c r="I30" i="107" s="1"/>
  <c r="H30" i="107" a="1"/>
  <c r="H30" i="107" s="1"/>
  <c r="G30" i="107" a="1"/>
  <c r="G30" i="107" s="1"/>
  <c r="F30" i="107" a="1"/>
  <c r="F30" i="107" s="1"/>
  <c r="E30" i="107" a="1"/>
  <c r="E30" i="107" s="1"/>
  <c r="D30" i="107" a="1"/>
  <c r="D30" i="107" s="1"/>
  <c r="L29" i="107" a="1"/>
  <c r="L29" i="107" s="1"/>
  <c r="K29" i="107" a="1"/>
  <c r="K29" i="107" s="1"/>
  <c r="J29" i="107" a="1"/>
  <c r="J29" i="107" s="1"/>
  <c r="I29" i="107" a="1"/>
  <c r="I29" i="107" s="1"/>
  <c r="H29" i="107" a="1"/>
  <c r="H29" i="107" s="1"/>
  <c r="G29" i="107" a="1"/>
  <c r="G29" i="107" s="1"/>
  <c r="F29" i="107" a="1"/>
  <c r="F29" i="107" s="1"/>
  <c r="E29" i="107" a="1"/>
  <c r="E29" i="107" s="1"/>
  <c r="D29" i="107" a="1"/>
  <c r="D29" i="107" s="1"/>
  <c r="L28" i="107" a="1"/>
  <c r="L28" i="107" s="1"/>
  <c r="K28" i="107" a="1"/>
  <c r="K28" i="107" s="1"/>
  <c r="J28" i="107" a="1"/>
  <c r="J28" i="107" s="1"/>
  <c r="I28" i="107" a="1"/>
  <c r="I28" i="107" s="1"/>
  <c r="H28" i="107" a="1"/>
  <c r="H28" i="107" s="1"/>
  <c r="G28" i="107" a="1"/>
  <c r="G28" i="107" s="1"/>
  <c r="F28" i="107" a="1"/>
  <c r="F28" i="107" s="1"/>
  <c r="E28" i="107" a="1"/>
  <c r="E28" i="107" s="1"/>
  <c r="D28" i="107" a="1"/>
  <c r="D28" i="107" s="1"/>
  <c r="L27" i="107" a="1"/>
  <c r="L27" i="107" s="1"/>
  <c r="K27" i="107" a="1"/>
  <c r="K27" i="107" s="1"/>
  <c r="J27" i="107" a="1"/>
  <c r="J27" i="107" s="1"/>
  <c r="I27" i="107" a="1"/>
  <c r="I27" i="107" s="1"/>
  <c r="H27" i="107" a="1"/>
  <c r="H27" i="107" s="1"/>
  <c r="G27" i="107" a="1"/>
  <c r="G27" i="107" s="1"/>
  <c r="F27" i="107" a="1"/>
  <c r="F27" i="107" s="1"/>
  <c r="E27" i="107" a="1"/>
  <c r="E27" i="107" s="1"/>
  <c r="D27" i="107" a="1"/>
  <c r="D27" i="107" s="1"/>
  <c r="L26" i="107" a="1"/>
  <c r="L26" i="107" s="1"/>
  <c r="K26" i="107" a="1"/>
  <c r="K26" i="107" s="1"/>
  <c r="J26" i="107" a="1"/>
  <c r="J26" i="107" s="1"/>
  <c r="I26" i="107" a="1"/>
  <c r="I26" i="107" s="1"/>
  <c r="H26" i="107" a="1"/>
  <c r="H26" i="107" s="1"/>
  <c r="G26" i="107" a="1"/>
  <c r="G26" i="107" s="1"/>
  <c r="F26" i="107" a="1"/>
  <c r="F26" i="107" s="1"/>
  <c r="E26" i="107" a="1"/>
  <c r="E26" i="107" s="1"/>
  <c r="D26" i="107" a="1"/>
  <c r="D26" i="107" s="1"/>
  <c r="L25" i="107" a="1"/>
  <c r="L25" i="107" s="1"/>
  <c r="K25" i="107" a="1"/>
  <c r="K25" i="107" s="1"/>
  <c r="J25" i="107" a="1"/>
  <c r="J25" i="107" s="1"/>
  <c r="I25" i="107" a="1"/>
  <c r="I25" i="107" s="1"/>
  <c r="H25" i="107" a="1"/>
  <c r="H25" i="107" s="1"/>
  <c r="G25" i="107" a="1"/>
  <c r="G25" i="107" s="1"/>
  <c r="F25" i="107" a="1"/>
  <c r="F25" i="107" s="1"/>
  <c r="E25" i="107" a="1"/>
  <c r="E25" i="107" s="1"/>
  <c r="D25" i="107" a="1"/>
  <c r="D25" i="107" s="1"/>
  <c r="L24" i="107" a="1"/>
  <c r="L24" i="107" s="1"/>
  <c r="K24" i="107" a="1"/>
  <c r="K24" i="107" s="1"/>
  <c r="J24" i="107" a="1"/>
  <c r="J24" i="107" s="1"/>
  <c r="I24" i="107" a="1"/>
  <c r="I24" i="107" s="1"/>
  <c r="H24" i="107" a="1"/>
  <c r="H24" i="107" s="1"/>
  <c r="G24" i="107" a="1"/>
  <c r="G24" i="107" s="1"/>
  <c r="F24" i="107" a="1"/>
  <c r="F24" i="107" s="1"/>
  <c r="E24" i="107" a="1"/>
  <c r="E24" i="107" s="1"/>
  <c r="D24" i="107" a="1"/>
  <c r="D24" i="107" s="1"/>
  <c r="L23" i="107" a="1"/>
  <c r="L23" i="107" s="1"/>
  <c r="K23" i="107" a="1"/>
  <c r="K23" i="107" s="1"/>
  <c r="J23" i="107" a="1"/>
  <c r="J23" i="107" s="1"/>
  <c r="I23" i="107" a="1"/>
  <c r="I23" i="107" s="1"/>
  <c r="H23" i="107" a="1"/>
  <c r="H23" i="107" s="1"/>
  <c r="G23" i="107" a="1"/>
  <c r="G23" i="107" s="1"/>
  <c r="F23" i="107" a="1"/>
  <c r="F23" i="107" s="1"/>
  <c r="E23" i="107" a="1"/>
  <c r="E23" i="107" s="1"/>
  <c r="D23" i="107" a="1"/>
  <c r="D23" i="107" s="1"/>
  <c r="L22" i="107" a="1"/>
  <c r="L22" i="107" s="1"/>
  <c r="K22" i="107" a="1"/>
  <c r="K22" i="107" s="1"/>
  <c r="J22" i="107" a="1"/>
  <c r="J22" i="107" s="1"/>
  <c r="I22" i="107" a="1"/>
  <c r="I22" i="107" s="1"/>
  <c r="H22" i="107" a="1"/>
  <c r="H22" i="107" s="1"/>
  <c r="G22" i="107" a="1"/>
  <c r="G22" i="107" s="1"/>
  <c r="F22" i="107" a="1"/>
  <c r="F22" i="107" s="1"/>
  <c r="E22" i="107" a="1"/>
  <c r="E22" i="107" s="1"/>
  <c r="D22" i="107" a="1"/>
  <c r="D22" i="107" s="1"/>
  <c r="L21" i="107" a="1"/>
  <c r="L21" i="107" s="1"/>
  <c r="K21" i="107" a="1"/>
  <c r="K21" i="107" s="1"/>
  <c r="J21" i="107" a="1"/>
  <c r="J21" i="107" s="1"/>
  <c r="I21" i="107" a="1"/>
  <c r="I21" i="107" s="1"/>
  <c r="H21" i="107" a="1"/>
  <c r="H21" i="107" s="1"/>
  <c r="G21" i="107" a="1"/>
  <c r="G21" i="107" s="1"/>
  <c r="F21" i="107" a="1"/>
  <c r="F21" i="107" s="1"/>
  <c r="E21" i="107" a="1"/>
  <c r="E21" i="107" s="1"/>
  <c r="D21" i="107" a="1"/>
  <c r="D21" i="107" s="1"/>
  <c r="L20" i="107" a="1"/>
  <c r="L20" i="107" s="1"/>
  <c r="K20" i="107" a="1"/>
  <c r="K20" i="107" s="1"/>
  <c r="J20" i="107" a="1"/>
  <c r="J20" i="107" s="1"/>
  <c r="I20" i="107" a="1"/>
  <c r="I20" i="107" s="1"/>
  <c r="H20" i="107" a="1"/>
  <c r="H20" i="107" s="1"/>
  <c r="G20" i="107" a="1"/>
  <c r="G20" i="107" s="1"/>
  <c r="F20" i="107" a="1"/>
  <c r="F20" i="107" s="1"/>
  <c r="E20" i="107" a="1"/>
  <c r="E20" i="107" s="1"/>
  <c r="D20" i="107" a="1"/>
  <c r="D20" i="107" s="1"/>
  <c r="D17" i="107" a="1"/>
  <c r="D17" i="107" s="1"/>
  <c r="D16" i="107" a="1"/>
  <c r="D16" i="107" s="1"/>
  <c r="D15" i="107" a="1"/>
  <c r="D15" i="107" s="1"/>
  <c r="K10" i="107" a="1"/>
  <c r="K10" i="107" s="1"/>
  <c r="J10" i="107" a="1"/>
  <c r="J10" i="107" s="1"/>
  <c r="I10" i="107" a="1"/>
  <c r="I10" i="107" s="1"/>
  <c r="H10" i="107" a="1"/>
  <c r="H10" i="107" s="1"/>
  <c r="G10" i="107" a="1"/>
  <c r="G10" i="107" s="1"/>
  <c r="F10" i="107" a="1"/>
  <c r="F10" i="107" s="1"/>
  <c r="E10" i="107" a="1"/>
  <c r="E10" i="107" s="1"/>
  <c r="D10" i="107" a="1"/>
  <c r="D10" i="107" s="1"/>
  <c r="K9" i="107" a="1"/>
  <c r="K9" i="107" s="1"/>
  <c r="J9" i="107" a="1"/>
  <c r="J9" i="107" s="1"/>
  <c r="I9" i="107" a="1"/>
  <c r="I9" i="107" s="1"/>
  <c r="H9" i="107" a="1"/>
  <c r="H9" i="107" s="1"/>
  <c r="G9" i="107" a="1"/>
  <c r="G9" i="107" s="1"/>
  <c r="F9" i="107" a="1"/>
  <c r="F9" i="107" s="1"/>
  <c r="E9" i="107" a="1"/>
  <c r="E9" i="107" s="1"/>
  <c r="D9" i="107" a="1"/>
  <c r="D9" i="107" s="1"/>
  <c r="K8" i="107" a="1"/>
  <c r="K8" i="107" s="1"/>
  <c r="J8" i="107" a="1"/>
  <c r="J8" i="107" s="1"/>
  <c r="I8" i="107" a="1"/>
  <c r="I8" i="107" s="1"/>
  <c r="H8" i="107" a="1"/>
  <c r="H8" i="107" s="1"/>
  <c r="G8" i="107" a="1"/>
  <c r="G8" i="107" s="1"/>
  <c r="F8" i="107" a="1"/>
  <c r="F8" i="107" s="1"/>
  <c r="E8" i="107" a="1"/>
  <c r="E8" i="107" s="1"/>
  <c r="D8" i="107" a="1"/>
  <c r="D8" i="107" s="1"/>
  <c r="D5" i="107" a="1"/>
  <c r="D5" i="107" s="1"/>
  <c r="P53" i="106" a="1"/>
  <c r="P53" i="106" s="1"/>
  <c r="F53" i="106" a="1"/>
  <c r="F53" i="106" s="1"/>
  <c r="N50" i="106" a="1"/>
  <c r="N50" i="106" s="1"/>
  <c r="D50" i="106" a="1"/>
  <c r="D50" i="106" s="1"/>
  <c r="N45" i="106"/>
  <c r="D45" i="106"/>
  <c r="J40" i="106"/>
  <c r="J36" i="106" a="1"/>
  <c r="J36" i="106" s="1"/>
  <c r="H36" i="106" a="1"/>
  <c r="H36" i="106" s="1"/>
  <c r="D36" i="106" a="1"/>
  <c r="D36" i="106" s="1"/>
  <c r="E34" i="106" a="1"/>
  <c r="E34" i="106" s="1"/>
  <c r="E33" i="106" a="1"/>
  <c r="E33" i="106" s="1"/>
  <c r="D29" i="106" a="1"/>
  <c r="D29" i="106" s="1"/>
  <c r="D28" i="106" a="1"/>
  <c r="D28" i="106" s="1"/>
  <c r="G25" i="106"/>
  <c r="F25" i="106"/>
  <c r="J19" i="106" a="1"/>
  <c r="J19" i="106" s="1"/>
  <c r="J18" i="106"/>
  <c r="J16" i="106" a="1"/>
  <c r="J16" i="106" s="1"/>
  <c r="J14" i="106" a="1"/>
  <c r="J14" i="106" s="1"/>
  <c r="J13" i="106" a="1"/>
  <c r="J13" i="106" s="1"/>
  <c r="H13" i="106" a="1"/>
  <c r="H13" i="106" s="1"/>
  <c r="D13" i="106" a="1"/>
  <c r="D13" i="106" s="1"/>
  <c r="E11" i="106" a="1"/>
  <c r="E11" i="106" s="1"/>
  <c r="E10" i="106" a="1"/>
  <c r="E10" i="106" s="1"/>
  <c r="D6" i="106" a="1"/>
  <c r="D6" i="106" s="1"/>
  <c r="D5" i="106" a="1"/>
  <c r="D5" i="106" s="1"/>
  <c r="P45" i="105" a="1"/>
  <c r="P45" i="105" s="1"/>
  <c r="F45" i="105" a="1"/>
  <c r="F45" i="105" s="1"/>
  <c r="N42" i="105" a="1"/>
  <c r="N42" i="105" s="1"/>
  <c r="D42" i="105" a="1"/>
  <c r="D42" i="105" s="1"/>
  <c r="P40" i="105" a="1"/>
  <c r="P40" i="105" s="1"/>
  <c r="F40" i="105" a="1"/>
  <c r="F40" i="105" s="1"/>
  <c r="J36" i="105"/>
  <c r="R33" i="105" a="1"/>
  <c r="R33" i="105" s="1"/>
  <c r="N33" i="105" a="1"/>
  <c r="N33" i="105" s="1"/>
  <c r="H33" i="105" a="1"/>
  <c r="H33" i="105" s="1"/>
  <c r="D33" i="105" a="1"/>
  <c r="D33" i="105" s="1"/>
  <c r="O31" i="105" a="1"/>
  <c r="O31" i="105" s="1"/>
  <c r="E31" i="105" a="1"/>
  <c r="E31" i="105" s="1"/>
  <c r="O30" i="105" a="1"/>
  <c r="O30" i="105" s="1"/>
  <c r="E30" i="105" a="1"/>
  <c r="E30" i="105" s="1"/>
  <c r="N26" i="105" a="1"/>
  <c r="N26" i="105" s="1"/>
  <c r="D26" i="105" a="1"/>
  <c r="D26" i="105" s="1"/>
  <c r="N25" i="105" a="1"/>
  <c r="N25" i="105" s="1"/>
  <c r="D25" i="105" a="1"/>
  <c r="D25" i="105" s="1"/>
  <c r="P21" i="105" a="1"/>
  <c r="P21" i="105" s="1"/>
  <c r="F21" i="105" a="1"/>
  <c r="F21" i="105" s="1"/>
  <c r="J19" i="105"/>
  <c r="J18" i="105" s="1" a="1"/>
  <c r="J18" i="105" s="1"/>
  <c r="R13" i="105" a="1"/>
  <c r="R13" i="105" s="1"/>
  <c r="N13" i="105" a="1"/>
  <c r="N13" i="105" s="1"/>
  <c r="J13" i="105"/>
  <c r="H13" i="105" a="1"/>
  <c r="H13" i="105" s="1"/>
  <c r="D13" i="105" a="1"/>
  <c r="D13" i="105" s="1"/>
  <c r="E11" i="105" a="1"/>
  <c r="E11" i="105" s="1"/>
  <c r="E10" i="105" a="1"/>
  <c r="E10" i="105" s="1"/>
  <c r="D6" i="105" a="1"/>
  <c r="D6" i="105" s="1"/>
  <c r="D5" i="105" a="1"/>
  <c r="D5" i="105" s="1"/>
  <c r="E68" i="103" a="1"/>
  <c r="E68" i="103" s="1"/>
  <c r="D68" i="103" a="1"/>
  <c r="D68" i="103" s="1"/>
  <c r="E67" i="103" a="1"/>
  <c r="E67" i="103" s="1"/>
  <c r="D67" i="103" a="1"/>
  <c r="D67" i="103" s="1"/>
  <c r="E66" i="103" a="1"/>
  <c r="E66" i="103" s="1"/>
  <c r="D66" i="103" a="1"/>
  <c r="D66" i="103" s="1"/>
  <c r="E65" i="103" a="1"/>
  <c r="E65" i="103" s="1"/>
  <c r="D65" i="103" a="1"/>
  <c r="D65" i="103" s="1"/>
  <c r="E64" i="103" a="1"/>
  <c r="E64" i="103" s="1"/>
  <c r="D64" i="103" a="1"/>
  <c r="D64" i="103" s="1"/>
  <c r="E63" i="103" a="1"/>
  <c r="E63" i="103" s="1"/>
  <c r="D63" i="103" a="1"/>
  <c r="D63" i="103" s="1"/>
  <c r="E62" i="103" a="1"/>
  <c r="E62" i="103" s="1"/>
  <c r="D62" i="103" a="1"/>
  <c r="D62" i="103" s="1"/>
  <c r="E61" i="103" a="1"/>
  <c r="E61" i="103" s="1"/>
  <c r="D61" i="103" a="1"/>
  <c r="D61" i="103" s="1"/>
  <c r="E60" i="103" a="1"/>
  <c r="E60" i="103" s="1"/>
  <c r="D60" i="103" a="1"/>
  <c r="D60" i="103" s="1"/>
  <c r="E59" i="103" a="1"/>
  <c r="E59" i="103" s="1"/>
  <c r="D59" i="103" a="1"/>
  <c r="D59" i="103" s="1"/>
  <c r="E58" i="103" a="1"/>
  <c r="E58" i="103" s="1"/>
  <c r="D58" i="103" a="1"/>
  <c r="D58" i="103" s="1"/>
  <c r="D56" i="103" a="1"/>
  <c r="D56" i="103" s="1"/>
  <c r="D55" i="103" a="1"/>
  <c r="D55" i="103" s="1"/>
  <c r="D54" i="103" a="1"/>
  <c r="D54" i="103" s="1"/>
  <c r="D53" i="103" a="1"/>
  <c r="D53" i="103" s="1"/>
  <c r="D52" i="103" a="1"/>
  <c r="D52" i="103" s="1"/>
  <c r="G50" i="103" a="1"/>
  <c r="G50" i="103" s="1"/>
  <c r="F50" i="103" a="1"/>
  <c r="F50" i="103" s="1"/>
  <c r="E50" i="103" a="1"/>
  <c r="E50" i="103" s="1"/>
  <c r="O21" i="103" s="1"/>
  <c r="D50" i="103" a="1"/>
  <c r="D50" i="103" s="1"/>
  <c r="G49" i="103" a="1"/>
  <c r="G49" i="103" s="1"/>
  <c r="F49" i="103" a="1"/>
  <c r="F49" i="103" s="1"/>
  <c r="E49" i="103" a="1"/>
  <c r="E49" i="103" s="1"/>
  <c r="O20" i="103" s="1"/>
  <c r="D49" i="103" a="1"/>
  <c r="D49" i="103" s="1"/>
  <c r="G48" i="103" a="1"/>
  <c r="G48" i="103" s="1"/>
  <c r="F48" i="103" a="1"/>
  <c r="F48" i="103" s="1"/>
  <c r="E48" i="103" a="1"/>
  <c r="E48" i="103" s="1"/>
  <c r="O19" i="103" s="1"/>
  <c r="D48" i="103" a="1"/>
  <c r="D48" i="103" s="1"/>
  <c r="G47" i="103" a="1"/>
  <c r="G47" i="103" s="1"/>
  <c r="F47" i="103" a="1"/>
  <c r="F47" i="103" s="1"/>
  <c r="E47" i="103" a="1"/>
  <c r="E47" i="103" s="1"/>
  <c r="O18" i="103" s="1"/>
  <c r="D47" i="103" a="1"/>
  <c r="D47" i="103" s="1"/>
  <c r="G46" i="103" a="1"/>
  <c r="G46" i="103" s="1"/>
  <c r="F46" i="103" a="1"/>
  <c r="F46" i="103" s="1"/>
  <c r="E46" i="103" a="1"/>
  <c r="E46" i="103" s="1"/>
  <c r="O17" i="103" s="1"/>
  <c r="D46" i="103" a="1"/>
  <c r="D46" i="103" s="1"/>
  <c r="G45" i="103" a="1"/>
  <c r="G45" i="103" s="1"/>
  <c r="F45" i="103" a="1"/>
  <c r="F45" i="103" s="1"/>
  <c r="E45" i="103" a="1"/>
  <c r="E45" i="103" s="1"/>
  <c r="D45" i="103" a="1"/>
  <c r="D45" i="103" s="1"/>
  <c r="G44" i="103" a="1"/>
  <c r="G44" i="103" s="1"/>
  <c r="F44" i="103" a="1"/>
  <c r="F44" i="103" s="1"/>
  <c r="E44" i="103" a="1"/>
  <c r="E44" i="103" s="1"/>
  <c r="M21" i="103" s="1"/>
  <c r="D44" i="103" a="1"/>
  <c r="D44" i="103" s="1"/>
  <c r="G43" i="103" a="1"/>
  <c r="G43" i="103" s="1"/>
  <c r="F43" i="103" a="1"/>
  <c r="F43" i="103" s="1"/>
  <c r="E43" i="103" a="1"/>
  <c r="E43" i="103" s="1"/>
  <c r="M20" i="103" s="1"/>
  <c r="D43" i="103" a="1"/>
  <c r="D43" i="103" s="1"/>
  <c r="G42" i="103" a="1"/>
  <c r="G42" i="103" s="1"/>
  <c r="F42" i="103" a="1"/>
  <c r="F42" i="103" s="1"/>
  <c r="E42" i="103" a="1"/>
  <c r="E42" i="103" s="1"/>
  <c r="M19" i="103" s="1"/>
  <c r="D42" i="103" a="1"/>
  <c r="D42" i="103" s="1"/>
  <c r="G41" i="103" a="1"/>
  <c r="G41" i="103" s="1"/>
  <c r="F41" i="103" a="1"/>
  <c r="F41" i="103" s="1"/>
  <c r="E41" i="103" a="1"/>
  <c r="E41" i="103" s="1"/>
  <c r="M18" i="103" s="1"/>
  <c r="D41" i="103" a="1"/>
  <c r="D41" i="103" s="1"/>
  <c r="G40" i="103" a="1"/>
  <c r="G40" i="103" s="1"/>
  <c r="F40" i="103" a="1"/>
  <c r="F40" i="103" s="1"/>
  <c r="E40" i="103" a="1"/>
  <c r="E40" i="103" s="1"/>
  <c r="M17" i="103" s="1"/>
  <c r="D40" i="103" a="1"/>
  <c r="D40" i="103" s="1"/>
  <c r="G39" i="103" a="1"/>
  <c r="G39" i="103" s="1"/>
  <c r="F39" i="103" a="1"/>
  <c r="F39" i="103" s="1"/>
  <c r="E39" i="103" a="1"/>
  <c r="E39" i="103" s="1"/>
  <c r="D39" i="103" a="1"/>
  <c r="D39" i="103" s="1"/>
  <c r="G38" i="103" a="1"/>
  <c r="G38" i="103" s="1"/>
  <c r="F38" i="103" a="1"/>
  <c r="F38" i="103" s="1"/>
  <c r="E38" i="103" a="1"/>
  <c r="E38" i="103" s="1"/>
  <c r="K26" i="103" s="1"/>
  <c r="D38" i="103" a="1"/>
  <c r="D38" i="103" s="1"/>
  <c r="G37" i="103" a="1"/>
  <c r="G37" i="103" s="1"/>
  <c r="F37" i="103" a="1"/>
  <c r="F37" i="103" s="1"/>
  <c r="E37" i="103" a="1"/>
  <c r="E37" i="103" s="1"/>
  <c r="K25" i="103" s="1"/>
  <c r="D37" i="103" a="1"/>
  <c r="D37" i="103" s="1"/>
  <c r="G36" i="103" a="1"/>
  <c r="G36" i="103" s="1"/>
  <c r="F36" i="103" a="1"/>
  <c r="F36" i="103" s="1"/>
  <c r="E36" i="103" a="1"/>
  <c r="E36" i="103" s="1"/>
  <c r="K24" i="103" s="1"/>
  <c r="D36" i="103" a="1"/>
  <c r="D36" i="103" s="1"/>
  <c r="G35" i="103" a="1"/>
  <c r="G35" i="103" s="1"/>
  <c r="F35" i="103" a="1"/>
  <c r="F35" i="103" s="1"/>
  <c r="E35" i="103" a="1"/>
  <c r="E35" i="103" s="1"/>
  <c r="K23" i="103" s="1"/>
  <c r="D35" i="103" a="1"/>
  <c r="D35" i="103" s="1"/>
  <c r="G34" i="103" a="1"/>
  <c r="G34" i="103" s="1"/>
  <c r="F34" i="103" a="1"/>
  <c r="F34" i="103" s="1"/>
  <c r="E34" i="103" a="1"/>
  <c r="E34" i="103" s="1"/>
  <c r="K22" i="103" s="1"/>
  <c r="D34" i="103" a="1"/>
  <c r="D34" i="103" s="1"/>
  <c r="G33" i="103" a="1"/>
  <c r="G33" i="103" s="1"/>
  <c r="F33" i="103" a="1"/>
  <c r="F33" i="103" s="1"/>
  <c r="E33" i="103" a="1"/>
  <c r="E33" i="103" s="1"/>
  <c r="K21" i="103" s="1"/>
  <c r="D33" i="103" a="1"/>
  <c r="D33" i="103" s="1"/>
  <c r="G32" i="103" a="1"/>
  <c r="G32" i="103" s="1"/>
  <c r="F32" i="103" a="1"/>
  <c r="F32" i="103" s="1"/>
  <c r="E32" i="103" a="1"/>
  <c r="E32" i="103" s="1"/>
  <c r="K20" i="103" s="1"/>
  <c r="D32" i="103" a="1"/>
  <c r="D32" i="103" s="1"/>
  <c r="G31" i="103" a="1"/>
  <c r="G31" i="103" s="1"/>
  <c r="F31" i="103" a="1"/>
  <c r="F31" i="103" s="1"/>
  <c r="E31" i="103" a="1"/>
  <c r="E31" i="103" s="1"/>
  <c r="K19" i="103" s="1"/>
  <c r="D31" i="103" a="1"/>
  <c r="D31" i="103" s="1"/>
  <c r="G30" i="103" a="1"/>
  <c r="G30" i="103" s="1"/>
  <c r="F30" i="103" a="1"/>
  <c r="F30" i="103" s="1"/>
  <c r="E30" i="103" a="1"/>
  <c r="E30" i="103" s="1"/>
  <c r="K18" i="103" s="1"/>
  <c r="D30" i="103" a="1"/>
  <c r="D30" i="103" s="1"/>
  <c r="G29" i="103" a="1"/>
  <c r="G29" i="103" s="1"/>
  <c r="F29" i="103" a="1"/>
  <c r="F29" i="103" s="1"/>
  <c r="E29" i="103" a="1"/>
  <c r="E29" i="103" s="1"/>
  <c r="K17" i="103" s="1"/>
  <c r="D29" i="103" a="1"/>
  <c r="D29" i="103" s="1"/>
  <c r="G28" i="103" a="1"/>
  <c r="G28" i="103" s="1"/>
  <c r="F28" i="103" a="1"/>
  <c r="F28" i="103" s="1"/>
  <c r="E28" i="103" a="1"/>
  <c r="E28" i="103" s="1"/>
  <c r="D28" i="103" a="1"/>
  <c r="D28" i="103" s="1"/>
  <c r="G27" i="103" a="1"/>
  <c r="G27" i="103" s="1"/>
  <c r="F27" i="103" a="1"/>
  <c r="F27" i="103" s="1"/>
  <c r="E27" i="103" a="1"/>
  <c r="E27" i="103" s="1"/>
  <c r="I27" i="103" s="1"/>
  <c r="D27" i="103" a="1"/>
  <c r="D27" i="103" s="1"/>
  <c r="G26" i="103" a="1"/>
  <c r="G26" i="103" s="1"/>
  <c r="F26" i="103" a="1"/>
  <c r="F26" i="103" s="1"/>
  <c r="E26" i="103" a="1"/>
  <c r="E26" i="103" s="1"/>
  <c r="I26" i="103" s="1"/>
  <c r="D26" i="103" a="1"/>
  <c r="D26" i="103" s="1"/>
  <c r="G25" i="103" a="1"/>
  <c r="G25" i="103" s="1"/>
  <c r="F25" i="103" a="1"/>
  <c r="F25" i="103" s="1"/>
  <c r="E25" i="103" a="1"/>
  <c r="E25" i="103" s="1"/>
  <c r="I25" i="103" s="1"/>
  <c r="D25" i="103" a="1"/>
  <c r="D25" i="103" s="1"/>
  <c r="G24" i="103" a="1"/>
  <c r="G24" i="103" s="1"/>
  <c r="F24" i="103" a="1"/>
  <c r="F24" i="103" s="1"/>
  <c r="E24" i="103" a="1"/>
  <c r="E24" i="103" s="1"/>
  <c r="I24" i="103" s="1"/>
  <c r="D24" i="103" a="1"/>
  <c r="D24" i="103" s="1"/>
  <c r="G23" i="103" a="1"/>
  <c r="G23" i="103" s="1"/>
  <c r="F23" i="103" a="1"/>
  <c r="F23" i="103" s="1"/>
  <c r="E23" i="103" a="1"/>
  <c r="E23" i="103" s="1"/>
  <c r="I23" i="103" s="1"/>
  <c r="D23" i="103" a="1"/>
  <c r="D23" i="103" s="1"/>
  <c r="G22" i="103" a="1"/>
  <c r="G22" i="103" s="1"/>
  <c r="F22" i="103" a="1"/>
  <c r="F22" i="103" s="1"/>
  <c r="E22" i="103" a="1"/>
  <c r="E22" i="103" s="1"/>
  <c r="I22" i="103" s="1"/>
  <c r="D22" i="103" a="1"/>
  <c r="D22" i="103" s="1"/>
  <c r="G21" i="103" a="1"/>
  <c r="G21" i="103" s="1"/>
  <c r="F21" i="103" a="1"/>
  <c r="F21" i="103" s="1"/>
  <c r="E21" i="103" a="1"/>
  <c r="E21" i="103" s="1"/>
  <c r="I21" i="103" s="1"/>
  <c r="D21" i="103" a="1"/>
  <c r="D21" i="103" s="1"/>
  <c r="G20" i="103" a="1"/>
  <c r="G20" i="103" s="1"/>
  <c r="F20" i="103" a="1"/>
  <c r="F20" i="103" s="1"/>
  <c r="E20" i="103" a="1"/>
  <c r="E20" i="103" s="1"/>
  <c r="I20" i="103" s="1"/>
  <c r="D20" i="103" a="1"/>
  <c r="D20" i="103" s="1"/>
  <c r="G19" i="103" a="1"/>
  <c r="G19" i="103" s="1"/>
  <c r="F19" i="103" a="1"/>
  <c r="F19" i="103" s="1"/>
  <c r="E19" i="103" a="1"/>
  <c r="E19" i="103" s="1"/>
  <c r="I19" i="103" s="1"/>
  <c r="D19" i="103" a="1"/>
  <c r="D19" i="103" s="1"/>
  <c r="G18" i="103" a="1"/>
  <c r="G18" i="103" s="1"/>
  <c r="F18" i="103" a="1"/>
  <c r="F18" i="103" s="1"/>
  <c r="E18" i="103" a="1"/>
  <c r="E18" i="103" s="1"/>
  <c r="I18" i="103" s="1"/>
  <c r="D18" i="103" a="1"/>
  <c r="D18" i="103" s="1"/>
  <c r="G17" i="103" a="1"/>
  <c r="G17" i="103" s="1"/>
  <c r="F17" i="103" a="1"/>
  <c r="F17" i="103" s="1"/>
  <c r="E17" i="103" a="1"/>
  <c r="E17" i="103" s="1"/>
  <c r="D17" i="103" a="1"/>
  <c r="D17" i="103" s="1"/>
  <c r="D15" i="103" a="1"/>
  <c r="D15" i="103" s="1"/>
  <c r="D14" i="103" a="1"/>
  <c r="D14" i="103" s="1"/>
  <c r="D7" i="103" a="1"/>
  <c r="D7" i="103" s="1"/>
  <c r="D6" i="103" a="1"/>
  <c r="D6" i="103" s="1"/>
  <c r="D5" i="103" a="1"/>
  <c r="D5" i="103" s="1"/>
  <c r="H185" i="102"/>
  <c r="H179" i="102"/>
  <c r="H168" i="102"/>
  <c r="H144" i="102"/>
  <c r="H138" i="102"/>
  <c r="H127" i="102"/>
  <c r="H105" i="102" a="1"/>
  <c r="H105" i="102" s="1"/>
  <c r="D105" i="102" a="1"/>
  <c r="D105" i="102" s="1"/>
  <c r="E103" i="102" a="1"/>
  <c r="E103" i="102" s="1"/>
  <c r="E102" i="102" a="1"/>
  <c r="E102" i="102" s="1"/>
  <c r="D98" i="102" a="1"/>
  <c r="D98" i="102" s="1"/>
  <c r="D97" i="102" a="1"/>
  <c r="D97" i="102" s="1"/>
  <c r="D96" i="102" a="1"/>
  <c r="D96" i="102" s="1"/>
  <c r="J16" i="102" a="1"/>
  <c r="J16" i="102" s="1"/>
  <c r="I16" i="102" a="1"/>
  <c r="I16" i="102" s="1"/>
  <c r="J15" i="102" a="1"/>
  <c r="J15" i="102" s="1"/>
  <c r="I15" i="102" a="1"/>
  <c r="I15" i="102" s="1"/>
  <c r="J14" i="102" a="1"/>
  <c r="J14" i="102" s="1"/>
  <c r="I14" i="102" a="1"/>
  <c r="I14" i="102" s="1"/>
  <c r="J13" i="102" a="1"/>
  <c r="J13" i="102" s="1"/>
  <c r="I13" i="102" a="1"/>
  <c r="I13" i="102" s="1"/>
  <c r="G13" i="102" a="1"/>
  <c r="G13" i="102" s="1"/>
  <c r="D13" i="102" a="1"/>
  <c r="D13" i="102" s="1"/>
  <c r="E11" i="102" a="1"/>
  <c r="E11" i="102" s="1"/>
  <c r="E10" i="102" a="1"/>
  <c r="E10" i="102" s="1"/>
  <c r="D6" i="102" a="1"/>
  <c r="D6" i="102" s="1"/>
  <c r="D5" i="102" a="1"/>
  <c r="D5" i="102" s="1"/>
  <c r="E139" i="100"/>
  <c r="F40" i="99" s="1"/>
  <c r="G138" i="100"/>
  <c r="F32" i="98" s="1"/>
  <c r="E138" i="100"/>
  <c r="F39" i="99" s="1"/>
  <c r="M39" i="99" s="1" a="1"/>
  <c r="M39" i="99" s="1"/>
  <c r="G137" i="100"/>
  <c r="F31" i="98" s="1"/>
  <c r="M31" i="98" s="1" a="1"/>
  <c r="M31" i="98" s="1"/>
  <c r="E137" i="100"/>
  <c r="F38" i="99" s="1"/>
  <c r="D137" i="100"/>
  <c r="F31" i="99" s="1"/>
  <c r="M31" i="99" s="1" a="1"/>
  <c r="M31" i="99" s="1"/>
  <c r="G136" i="100"/>
  <c r="F30" i="98" s="1"/>
  <c r="E136" i="100"/>
  <c r="F37" i="99" s="1"/>
  <c r="M37" i="99" s="1" a="1"/>
  <c r="M37" i="99" s="1"/>
  <c r="D136" i="100"/>
  <c r="F30" i="99" s="1"/>
  <c r="G135" i="100"/>
  <c r="F29" i="98" s="1"/>
  <c r="E135" i="100"/>
  <c r="F36" i="99" s="1"/>
  <c r="D135" i="100"/>
  <c r="F29" i="99" s="1"/>
  <c r="G134" i="100"/>
  <c r="F28" i="98" s="1"/>
  <c r="M28" i="98" s="1" a="1"/>
  <c r="M28" i="98" s="1"/>
  <c r="E134" i="100"/>
  <c r="F35" i="99" s="1"/>
  <c r="D134" i="100"/>
  <c r="F28" i="99" s="1"/>
  <c r="M28" i="99" s="1" a="1"/>
  <c r="M28" i="99" s="1"/>
  <c r="G133" i="100"/>
  <c r="F27" i="98" s="1"/>
  <c r="F133" i="100"/>
  <c r="F36" i="98" s="1"/>
  <c r="E133" i="100"/>
  <c r="F34" i="99" s="1"/>
  <c r="M34" i="99" s="1" a="1"/>
  <c r="M34" i="99" s="1"/>
  <c r="D133" i="100"/>
  <c r="F27" i="99" s="1"/>
  <c r="I132" i="100"/>
  <c r="F38" i="98" s="1"/>
  <c r="G132" i="100"/>
  <c r="F26" i="98" s="1"/>
  <c r="M26" i="98" s="1" a="1"/>
  <c r="M26" i="98" s="1"/>
  <c r="F132" i="100"/>
  <c r="F35" i="98" s="1"/>
  <c r="E132" i="100"/>
  <c r="F33" i="99" s="1"/>
  <c r="D132" i="100"/>
  <c r="F26" i="99" s="1"/>
  <c r="M26" i="99" s="1" a="1"/>
  <c r="M26" i="99" s="1"/>
  <c r="I131" i="100"/>
  <c r="F37" i="98" s="1"/>
  <c r="M37" i="98" s="1" a="1"/>
  <c r="M37" i="98" s="1"/>
  <c r="H131" i="100"/>
  <c r="F33" i="98" s="1"/>
  <c r="G131" i="100"/>
  <c r="F25" i="98" s="1"/>
  <c r="M25" i="98" s="1" a="1"/>
  <c r="M25" i="98" s="1"/>
  <c r="F131" i="100"/>
  <c r="F34" i="98" s="1"/>
  <c r="M34" i="98" s="1" a="1"/>
  <c r="M34" i="98" s="1"/>
  <c r="E131" i="100"/>
  <c r="F32" i="99" s="1"/>
  <c r="D131" i="100"/>
  <c r="F25" i="99" s="1"/>
  <c r="M25" i="99" s="1" a="1"/>
  <c r="M25" i="99" s="1"/>
  <c r="F120" i="100" a="1"/>
  <c r="F120" i="100" s="1"/>
  <c r="E120" i="100" a="1"/>
  <c r="E120" i="100" s="1"/>
  <c r="D120" i="100" a="1"/>
  <c r="D120" i="100" s="1"/>
  <c r="F119" i="100" a="1"/>
  <c r="F119" i="100" s="1"/>
  <c r="E119" i="100" a="1"/>
  <c r="E119" i="100" s="1"/>
  <c r="D119" i="100" a="1"/>
  <c r="D119" i="100" s="1"/>
  <c r="F118" i="100" a="1"/>
  <c r="F118" i="100" s="1"/>
  <c r="E118" i="100" a="1"/>
  <c r="E118" i="100" s="1"/>
  <c r="D118" i="100" a="1"/>
  <c r="D118" i="100" s="1"/>
  <c r="F117" i="100" a="1"/>
  <c r="F117" i="100" s="1"/>
  <c r="E117" i="100" a="1"/>
  <c r="E117" i="100" s="1"/>
  <c r="D117" i="100" a="1"/>
  <c r="D117" i="100" s="1"/>
  <c r="F116" i="100" a="1"/>
  <c r="F116" i="100" s="1"/>
  <c r="E116" i="100" a="1"/>
  <c r="E116" i="100" s="1"/>
  <c r="D116" i="100" a="1"/>
  <c r="D116" i="100" s="1"/>
  <c r="F115" i="100" a="1"/>
  <c r="F115" i="100" s="1"/>
  <c r="E115" i="100" a="1"/>
  <c r="E115" i="100" s="1"/>
  <c r="D115" i="100" a="1"/>
  <c r="D115" i="100" s="1"/>
  <c r="F114" i="100" a="1"/>
  <c r="F114" i="100" s="1"/>
  <c r="E114" i="100" a="1"/>
  <c r="E114" i="100" s="1"/>
  <c r="D114" i="100" a="1"/>
  <c r="D114" i="100" s="1"/>
  <c r="G113" i="100" a="1"/>
  <c r="G113" i="100" s="1"/>
  <c r="F113" i="100" a="1"/>
  <c r="F113" i="100" s="1"/>
  <c r="E113" i="100" a="1"/>
  <c r="E113" i="100" s="1"/>
  <c r="D113" i="100" a="1"/>
  <c r="D113" i="100" s="1"/>
  <c r="D110" i="100" a="1"/>
  <c r="D110" i="100" s="1"/>
  <c r="D109" i="100" a="1"/>
  <c r="D109" i="100" s="1"/>
  <c r="D108" i="100" a="1"/>
  <c r="D108" i="100" s="1"/>
  <c r="D107" i="100" a="1"/>
  <c r="D107" i="100" s="1"/>
  <c r="J104" i="100" a="1"/>
  <c r="J104" i="100" s="1"/>
  <c r="I104" i="100" a="1"/>
  <c r="I104" i="100" s="1"/>
  <c r="H104" i="100" a="1"/>
  <c r="H104" i="100" s="1"/>
  <c r="G104" i="100" a="1"/>
  <c r="G104" i="100" s="1"/>
  <c r="F104" i="100" a="1"/>
  <c r="F104" i="100" s="1"/>
  <c r="E104" i="100" a="1"/>
  <c r="E104" i="100" s="1"/>
  <c r="D104" i="100" a="1"/>
  <c r="D104" i="100" s="1"/>
  <c r="E40" i="99" s="1"/>
  <c r="J103" i="100" a="1"/>
  <c r="J103" i="100" s="1"/>
  <c r="I103" i="100" a="1"/>
  <c r="I103" i="100" s="1"/>
  <c r="H103" i="100" a="1"/>
  <c r="H103" i="100" s="1"/>
  <c r="G103" i="100" a="1"/>
  <c r="G103" i="100" s="1"/>
  <c r="F103" i="100" a="1"/>
  <c r="F103" i="100" s="1"/>
  <c r="E103" i="100" a="1"/>
  <c r="E103" i="100" s="1"/>
  <c r="D103" i="100" a="1"/>
  <c r="D103" i="100" s="1"/>
  <c r="E39" i="99" s="1"/>
  <c r="J39" i="99" s="1"/>
  <c r="J102" i="100" a="1"/>
  <c r="J102" i="100" s="1"/>
  <c r="I102" i="100" a="1"/>
  <c r="I102" i="100" s="1"/>
  <c r="H102" i="100" a="1"/>
  <c r="H102" i="100" s="1"/>
  <c r="G102" i="100" a="1"/>
  <c r="G102" i="100" s="1"/>
  <c r="F102" i="100" a="1"/>
  <c r="F102" i="100" s="1"/>
  <c r="E102" i="100" a="1"/>
  <c r="E102" i="100" s="1"/>
  <c r="D102" i="100" a="1"/>
  <c r="D102" i="100" s="1"/>
  <c r="J101" i="100" a="1"/>
  <c r="J101" i="100" s="1"/>
  <c r="I101" i="100" a="1"/>
  <c r="I101" i="100" s="1"/>
  <c r="H101" i="100" a="1"/>
  <c r="H101" i="100" s="1"/>
  <c r="G101" i="100" a="1"/>
  <c r="G101" i="100" s="1"/>
  <c r="F101" i="100" a="1"/>
  <c r="F101" i="100" s="1"/>
  <c r="E101" i="100" a="1"/>
  <c r="E101" i="100" s="1"/>
  <c r="D101" i="100" a="1"/>
  <c r="D101" i="100" s="1"/>
  <c r="J100" i="100" a="1"/>
  <c r="J100" i="100" s="1"/>
  <c r="I100" i="100" a="1"/>
  <c r="I100" i="100" s="1"/>
  <c r="H100" i="100" a="1"/>
  <c r="H100" i="100" s="1"/>
  <c r="G100" i="100" a="1"/>
  <c r="G100" i="100" s="1"/>
  <c r="F100" i="100" a="1"/>
  <c r="F100" i="100" s="1"/>
  <c r="E100" i="100" a="1"/>
  <c r="E100" i="100" s="1"/>
  <c r="D100" i="100" a="1"/>
  <c r="D100" i="100" s="1"/>
  <c r="J99" i="100" a="1"/>
  <c r="J99" i="100" s="1"/>
  <c r="I99" i="100" a="1"/>
  <c r="I99" i="100" s="1"/>
  <c r="H99" i="100" a="1"/>
  <c r="H99" i="100" s="1"/>
  <c r="G99" i="100" a="1"/>
  <c r="G99" i="100" s="1"/>
  <c r="F99" i="100" a="1"/>
  <c r="F99" i="100" s="1"/>
  <c r="E99" i="100" a="1"/>
  <c r="E99" i="100" s="1"/>
  <c r="D99" i="100" a="1"/>
  <c r="D99" i="100" s="1"/>
  <c r="J98" i="100" a="1"/>
  <c r="J98" i="100" s="1"/>
  <c r="I98" i="100" a="1"/>
  <c r="I98" i="100" s="1"/>
  <c r="H98" i="100" a="1"/>
  <c r="H98" i="100" s="1"/>
  <c r="G98" i="100" a="1"/>
  <c r="G98" i="100" s="1"/>
  <c r="F98" i="100" a="1"/>
  <c r="F98" i="100" s="1"/>
  <c r="E98" i="100" a="1"/>
  <c r="E98" i="100" s="1"/>
  <c r="D98" i="100" a="1"/>
  <c r="D98" i="100" s="1"/>
  <c r="J97" i="100" a="1"/>
  <c r="J97" i="100" s="1"/>
  <c r="I97" i="100" a="1"/>
  <c r="I97" i="100" s="1"/>
  <c r="H97" i="100" a="1"/>
  <c r="H97" i="100" s="1"/>
  <c r="G97" i="100" a="1"/>
  <c r="G97" i="100" s="1"/>
  <c r="F97" i="100" a="1"/>
  <c r="F97" i="100" s="1"/>
  <c r="E97" i="100" a="1"/>
  <c r="E97" i="100" s="1"/>
  <c r="D97" i="100" a="1"/>
  <c r="D97" i="100" s="1"/>
  <c r="J96" i="100" a="1"/>
  <c r="J96" i="100" s="1"/>
  <c r="I96" i="100" a="1"/>
  <c r="I96" i="100" s="1"/>
  <c r="H96" i="100" a="1"/>
  <c r="H96" i="100" s="1"/>
  <c r="G96" i="100" a="1"/>
  <c r="G96" i="100" s="1"/>
  <c r="F96" i="100" a="1"/>
  <c r="F96" i="100" s="1"/>
  <c r="E96" i="100" a="1"/>
  <c r="E96" i="100" s="1"/>
  <c r="D96" i="100" a="1"/>
  <c r="D96" i="100" s="1"/>
  <c r="J95" i="100" a="1"/>
  <c r="J95" i="100" s="1"/>
  <c r="I95" i="100" a="1"/>
  <c r="I95" i="100" s="1"/>
  <c r="H95" i="100" a="1"/>
  <c r="H95" i="100" s="1"/>
  <c r="G95" i="100" a="1"/>
  <c r="G95" i="100" s="1"/>
  <c r="F95" i="100" a="1"/>
  <c r="F95" i="100" s="1"/>
  <c r="E95" i="100" a="1"/>
  <c r="E95" i="100" s="1"/>
  <c r="D95" i="100" a="1"/>
  <c r="D95" i="100" s="1"/>
  <c r="J94" i="100" a="1"/>
  <c r="J94" i="100" s="1"/>
  <c r="I94" i="100" a="1"/>
  <c r="I94" i="100" s="1"/>
  <c r="H94" i="100" a="1"/>
  <c r="H94" i="100" s="1"/>
  <c r="G94" i="100" a="1"/>
  <c r="G94" i="100" s="1"/>
  <c r="F94" i="100" a="1"/>
  <c r="F94" i="100" s="1"/>
  <c r="E94" i="100" a="1"/>
  <c r="E94" i="100" s="1"/>
  <c r="D94" i="100" a="1"/>
  <c r="D94" i="100" s="1"/>
  <c r="J93" i="100" a="1"/>
  <c r="J93" i="100" s="1"/>
  <c r="I93" i="100" a="1"/>
  <c r="I93" i="100" s="1"/>
  <c r="H93" i="100" a="1"/>
  <c r="H93" i="100" s="1"/>
  <c r="G93" i="100" a="1"/>
  <c r="G93" i="100" s="1"/>
  <c r="F93" i="100" a="1"/>
  <c r="F93" i="100" s="1"/>
  <c r="E93" i="100" a="1"/>
  <c r="E93" i="100" s="1"/>
  <c r="D93" i="100" a="1"/>
  <c r="D93" i="100" s="1"/>
  <c r="J92" i="100" a="1"/>
  <c r="J92" i="100" s="1"/>
  <c r="I92" i="100" a="1"/>
  <c r="I92" i="100" s="1"/>
  <c r="H92" i="100" a="1"/>
  <c r="H92" i="100" s="1"/>
  <c r="G92" i="100" a="1"/>
  <c r="G92" i="100" s="1"/>
  <c r="F92" i="100" a="1"/>
  <c r="F92" i="100" s="1"/>
  <c r="E92" i="100" a="1"/>
  <c r="E92" i="100" s="1"/>
  <c r="D92" i="100" a="1"/>
  <c r="D92" i="100" s="1"/>
  <c r="J91" i="100" a="1"/>
  <c r="J91" i="100" s="1"/>
  <c r="I91" i="100" a="1"/>
  <c r="I91" i="100" s="1"/>
  <c r="H91" i="100" a="1"/>
  <c r="H91" i="100" s="1"/>
  <c r="G91" i="100" a="1"/>
  <c r="G91" i="100" s="1"/>
  <c r="F91" i="100" a="1"/>
  <c r="F91" i="100" s="1"/>
  <c r="E91" i="100" a="1"/>
  <c r="E91" i="100" s="1"/>
  <c r="D91" i="100" a="1"/>
  <c r="D91" i="100" s="1"/>
  <c r="J90" i="100" a="1"/>
  <c r="J90" i="100" s="1"/>
  <c r="I90" i="100" a="1"/>
  <c r="I90" i="100" s="1"/>
  <c r="H90" i="100" a="1"/>
  <c r="H90" i="100" s="1"/>
  <c r="G90" i="100" a="1"/>
  <c r="G90" i="100" s="1"/>
  <c r="F90" i="100" a="1"/>
  <c r="F90" i="100" s="1"/>
  <c r="E90" i="100" a="1"/>
  <c r="E90" i="100" s="1"/>
  <c r="D90" i="100" a="1"/>
  <c r="D90" i="100" s="1"/>
  <c r="J89" i="100" a="1"/>
  <c r="J89" i="100" s="1"/>
  <c r="I89" i="100" a="1"/>
  <c r="I89" i="100" s="1"/>
  <c r="H89" i="100" a="1"/>
  <c r="H89" i="100" s="1"/>
  <c r="G89" i="100" a="1"/>
  <c r="G89" i="100" s="1"/>
  <c r="F89" i="100" a="1"/>
  <c r="F89" i="100" s="1"/>
  <c r="E89" i="100" a="1"/>
  <c r="E89" i="100" s="1"/>
  <c r="D89" i="100" a="1"/>
  <c r="D89" i="100" s="1"/>
  <c r="J88" i="100" a="1"/>
  <c r="J88" i="100" s="1"/>
  <c r="I88" i="100" a="1"/>
  <c r="I88" i="100" s="1"/>
  <c r="H88" i="100" a="1"/>
  <c r="H88" i="100" s="1"/>
  <c r="G88" i="100" a="1"/>
  <c r="G88" i="100" s="1"/>
  <c r="F88" i="100" a="1"/>
  <c r="F88" i="100" s="1"/>
  <c r="E88" i="100" a="1"/>
  <c r="E88" i="100" s="1"/>
  <c r="D88" i="100" a="1"/>
  <c r="D88" i="100" s="1"/>
  <c r="J87" i="100" a="1"/>
  <c r="J87" i="100" s="1"/>
  <c r="I87" i="100" a="1"/>
  <c r="I87" i="100" s="1"/>
  <c r="H87" i="100" a="1"/>
  <c r="H87" i="100" s="1"/>
  <c r="G87" i="100" a="1"/>
  <c r="G87" i="100" s="1"/>
  <c r="F87" i="100" a="1"/>
  <c r="F87" i="100" s="1"/>
  <c r="E87" i="100" a="1"/>
  <c r="E87" i="100" s="1"/>
  <c r="D87" i="100" a="1"/>
  <c r="D87" i="100" s="1"/>
  <c r="D84" i="100" a="1"/>
  <c r="D84" i="100" s="1"/>
  <c r="D83" i="100" a="1"/>
  <c r="D83" i="100" s="1"/>
  <c r="D82" i="100" a="1"/>
  <c r="D82" i="100" s="1"/>
  <c r="D81" i="100" a="1"/>
  <c r="D81" i="100" s="1"/>
  <c r="K77" i="100" a="1"/>
  <c r="K77" i="100" s="1"/>
  <c r="J77" i="100" a="1"/>
  <c r="J77" i="100" s="1"/>
  <c r="I77" i="100" a="1"/>
  <c r="I77" i="100" s="1"/>
  <c r="H77" i="100" a="1"/>
  <c r="H77" i="100" s="1"/>
  <c r="G77" i="100" a="1"/>
  <c r="G77" i="100" s="1"/>
  <c r="F77" i="100" a="1"/>
  <c r="F77" i="100" s="1"/>
  <c r="E77" i="100" a="1"/>
  <c r="E77" i="100" s="1"/>
  <c r="D77" i="100" a="1"/>
  <c r="D77" i="100" s="1"/>
  <c r="E31" i="99" s="1"/>
  <c r="K76" i="100" a="1"/>
  <c r="K76" i="100" s="1"/>
  <c r="J76" i="100" a="1"/>
  <c r="J76" i="100" s="1"/>
  <c r="I76" i="100" a="1"/>
  <c r="I76" i="100" s="1"/>
  <c r="H76" i="100" a="1"/>
  <c r="H76" i="100" s="1"/>
  <c r="G76" i="100" a="1"/>
  <c r="G76" i="100" s="1"/>
  <c r="F76" i="100" a="1"/>
  <c r="F76" i="100" s="1"/>
  <c r="E76" i="100" a="1"/>
  <c r="E76" i="100" s="1"/>
  <c r="D76" i="100" a="1"/>
  <c r="D76" i="100" s="1"/>
  <c r="K75" i="100" a="1"/>
  <c r="K75" i="100" s="1"/>
  <c r="J75" i="100" a="1"/>
  <c r="J75" i="100" s="1"/>
  <c r="I75" i="100" a="1"/>
  <c r="I75" i="100" s="1"/>
  <c r="H75" i="100" a="1"/>
  <c r="H75" i="100" s="1"/>
  <c r="G75" i="100" a="1"/>
  <c r="G75" i="100" s="1"/>
  <c r="F75" i="100" a="1"/>
  <c r="F75" i="100" s="1"/>
  <c r="E75" i="100" a="1"/>
  <c r="E75" i="100" s="1"/>
  <c r="D75" i="100" a="1"/>
  <c r="D75" i="100" s="1"/>
  <c r="E37" i="99" s="1"/>
  <c r="K74" i="100" a="1"/>
  <c r="K74" i="100" s="1"/>
  <c r="J74" i="100" a="1"/>
  <c r="J74" i="100" s="1"/>
  <c r="I74" i="100" a="1"/>
  <c r="I74" i="100" s="1"/>
  <c r="H74" i="100" a="1"/>
  <c r="H74" i="100" s="1"/>
  <c r="G74" i="100" a="1"/>
  <c r="G74" i="100" s="1"/>
  <c r="F74" i="100" a="1"/>
  <c r="F74" i="100" s="1"/>
  <c r="E74" i="100" a="1"/>
  <c r="E74" i="100" s="1"/>
  <c r="D74" i="100" a="1"/>
  <c r="D74" i="100" s="1"/>
  <c r="E36" i="99" s="1"/>
  <c r="K36" i="99" s="1"/>
  <c r="K73" i="100" a="1"/>
  <c r="K73" i="100" s="1"/>
  <c r="J73" i="100" a="1"/>
  <c r="J73" i="100" s="1"/>
  <c r="I73" i="100" a="1"/>
  <c r="I73" i="100" s="1"/>
  <c r="H73" i="100" a="1"/>
  <c r="H73" i="100" s="1"/>
  <c r="G73" i="100" a="1"/>
  <c r="G73" i="100" s="1"/>
  <c r="F73" i="100" a="1"/>
  <c r="F73" i="100" s="1"/>
  <c r="E73" i="100" a="1"/>
  <c r="E73" i="100" s="1"/>
  <c r="D73" i="100" a="1"/>
  <c r="D73" i="100" s="1"/>
  <c r="E28" i="99" s="1"/>
  <c r="K28" i="99" s="1"/>
  <c r="K72" i="100" a="1"/>
  <c r="K72" i="100" s="1"/>
  <c r="J72" i="100" a="1"/>
  <c r="J72" i="100" s="1"/>
  <c r="I72" i="100" a="1"/>
  <c r="I72" i="100" s="1"/>
  <c r="H72" i="100" a="1"/>
  <c r="H72" i="100" s="1"/>
  <c r="G72" i="100" a="1"/>
  <c r="G72" i="100" s="1"/>
  <c r="F72" i="100" a="1"/>
  <c r="F72" i="100" s="1"/>
  <c r="E72" i="100" a="1"/>
  <c r="E72" i="100" s="1"/>
  <c r="D72" i="100" a="1"/>
  <c r="D72" i="100" s="1"/>
  <c r="K71" i="100" a="1"/>
  <c r="K71" i="100" s="1"/>
  <c r="J71" i="100" a="1"/>
  <c r="J71" i="100" s="1"/>
  <c r="I71" i="100" a="1"/>
  <c r="I71" i="100" s="1"/>
  <c r="H71" i="100" a="1"/>
  <c r="H71" i="100" s="1"/>
  <c r="G71" i="100" a="1"/>
  <c r="G71" i="100" s="1"/>
  <c r="F71" i="100" a="1"/>
  <c r="F71" i="100" s="1"/>
  <c r="E71" i="100" a="1"/>
  <c r="E71" i="100" s="1"/>
  <c r="D71" i="100" a="1"/>
  <c r="D71" i="100" s="1"/>
  <c r="K70" i="100" a="1"/>
  <c r="K70" i="100" s="1"/>
  <c r="J70" i="100" a="1"/>
  <c r="J70" i="100" s="1"/>
  <c r="I70" i="100" a="1"/>
  <c r="I70" i="100" s="1"/>
  <c r="H70" i="100" a="1"/>
  <c r="H70" i="100" s="1"/>
  <c r="G70" i="100" a="1"/>
  <c r="G70" i="100" s="1"/>
  <c r="F70" i="100" a="1"/>
  <c r="F70" i="100" s="1"/>
  <c r="E70" i="100" a="1"/>
  <c r="E70" i="100" s="1"/>
  <c r="D70" i="100" a="1"/>
  <c r="D70" i="100" s="1"/>
  <c r="K69" i="100" a="1"/>
  <c r="K69" i="100" s="1"/>
  <c r="J69" i="100" a="1"/>
  <c r="J69" i="100" s="1"/>
  <c r="I69" i="100" a="1"/>
  <c r="I69" i="100" s="1"/>
  <c r="H69" i="100" a="1"/>
  <c r="H69" i="100" s="1"/>
  <c r="G69" i="100" a="1"/>
  <c r="G69" i="100" s="1"/>
  <c r="F69" i="100" a="1"/>
  <c r="F69" i="100" s="1"/>
  <c r="E69" i="100" a="1"/>
  <c r="E69" i="100" s="1"/>
  <c r="D69" i="100" a="1"/>
  <c r="D69" i="100" s="1"/>
  <c r="K68" i="100" a="1"/>
  <c r="K68" i="100" s="1"/>
  <c r="J68" i="100" a="1"/>
  <c r="J68" i="100" s="1"/>
  <c r="I68" i="100" a="1"/>
  <c r="I68" i="100" s="1"/>
  <c r="H68" i="100" a="1"/>
  <c r="H68" i="100" s="1"/>
  <c r="G68" i="100" a="1"/>
  <c r="G68" i="100" s="1"/>
  <c r="F68" i="100" a="1"/>
  <c r="F68" i="100" s="1"/>
  <c r="E68" i="100" a="1"/>
  <c r="E68" i="100" s="1"/>
  <c r="D68" i="100" a="1"/>
  <c r="D68" i="100" s="1"/>
  <c r="K67" i="100" a="1"/>
  <c r="K67" i="100" s="1"/>
  <c r="J67" i="100" a="1"/>
  <c r="J67" i="100" s="1"/>
  <c r="I67" i="100" a="1"/>
  <c r="I67" i="100" s="1"/>
  <c r="H67" i="100" a="1"/>
  <c r="H67" i="100" s="1"/>
  <c r="G67" i="100" a="1"/>
  <c r="G67" i="100" s="1"/>
  <c r="F67" i="100" a="1"/>
  <c r="F67" i="100" s="1"/>
  <c r="E67" i="100" a="1"/>
  <c r="E67" i="100" s="1"/>
  <c r="D67" i="100" a="1"/>
  <c r="D67" i="100" s="1"/>
  <c r="E34" i="99" s="1"/>
  <c r="J34" i="99" s="1"/>
  <c r="K66" i="100" a="1"/>
  <c r="K66" i="100" s="1"/>
  <c r="J66" i="100" a="1"/>
  <c r="J66" i="100" s="1"/>
  <c r="I66" i="100" a="1"/>
  <c r="I66" i="100" s="1"/>
  <c r="H66" i="100" a="1"/>
  <c r="H66" i="100" s="1"/>
  <c r="G66" i="100" a="1"/>
  <c r="G66" i="100" s="1"/>
  <c r="F66" i="100" a="1"/>
  <c r="F66" i="100" s="1"/>
  <c r="E66" i="100" a="1"/>
  <c r="E66" i="100" s="1"/>
  <c r="D66" i="100" a="1"/>
  <c r="D66" i="100" s="1"/>
  <c r="K65" i="100" a="1"/>
  <c r="K65" i="100" s="1"/>
  <c r="J65" i="100" a="1"/>
  <c r="J65" i="100" s="1"/>
  <c r="I65" i="100" a="1"/>
  <c r="I65" i="100" s="1"/>
  <c r="H65" i="100" a="1"/>
  <c r="H65" i="100" s="1"/>
  <c r="G65" i="100" a="1"/>
  <c r="G65" i="100" s="1"/>
  <c r="F65" i="100" a="1"/>
  <c r="F65" i="100" s="1"/>
  <c r="E65" i="100" a="1"/>
  <c r="E65" i="100" s="1"/>
  <c r="D65" i="100" a="1"/>
  <c r="D65" i="100" s="1"/>
  <c r="K64" i="100" a="1"/>
  <c r="K64" i="100" s="1"/>
  <c r="J64" i="100" a="1"/>
  <c r="J64" i="100" s="1"/>
  <c r="I64" i="100" a="1"/>
  <c r="I64" i="100" s="1"/>
  <c r="H64" i="100" a="1"/>
  <c r="H64" i="100" s="1"/>
  <c r="G64" i="100" a="1"/>
  <c r="G64" i="100" s="1"/>
  <c r="F64" i="100" a="1"/>
  <c r="F64" i="100" s="1"/>
  <c r="E64" i="100" a="1"/>
  <c r="E64" i="100" s="1"/>
  <c r="D64" i="100" a="1"/>
  <c r="D64" i="100" s="1"/>
  <c r="K63" i="100" a="1"/>
  <c r="K63" i="100" s="1"/>
  <c r="J63" i="100" a="1"/>
  <c r="J63" i="100" s="1"/>
  <c r="I63" i="100" a="1"/>
  <c r="I63" i="100" s="1"/>
  <c r="H63" i="100" a="1"/>
  <c r="H63" i="100" s="1"/>
  <c r="G63" i="100" a="1"/>
  <c r="G63" i="100" s="1"/>
  <c r="F63" i="100" a="1"/>
  <c r="F63" i="100" s="1"/>
  <c r="E63" i="100" a="1"/>
  <c r="E63" i="100" s="1"/>
  <c r="D63" i="100" a="1"/>
  <c r="D63" i="100" s="1"/>
  <c r="E26" i="99" s="1"/>
  <c r="K62" i="100" a="1"/>
  <c r="K62" i="100" s="1"/>
  <c r="J62" i="100" a="1"/>
  <c r="J62" i="100" s="1"/>
  <c r="I62" i="100" a="1"/>
  <c r="I62" i="100" s="1"/>
  <c r="H62" i="100" a="1"/>
  <c r="H62" i="100" s="1"/>
  <c r="G62" i="100" a="1"/>
  <c r="G62" i="100" s="1"/>
  <c r="F62" i="100" a="1"/>
  <c r="F62" i="100" s="1"/>
  <c r="E62" i="100" a="1"/>
  <c r="E62" i="100" s="1"/>
  <c r="D62" i="100" a="1"/>
  <c r="D62" i="100" s="1"/>
  <c r="K61" i="100" a="1"/>
  <c r="K61" i="100" s="1"/>
  <c r="J61" i="100" a="1"/>
  <c r="J61" i="100" s="1"/>
  <c r="I61" i="100" a="1"/>
  <c r="I61" i="100" s="1"/>
  <c r="H61" i="100" a="1"/>
  <c r="H61" i="100" s="1"/>
  <c r="G61" i="100" a="1"/>
  <c r="G61" i="100" s="1"/>
  <c r="F61" i="100" a="1"/>
  <c r="F61" i="100" s="1"/>
  <c r="E61" i="100" a="1"/>
  <c r="E61" i="100" s="1"/>
  <c r="D61" i="100" a="1"/>
  <c r="D61" i="100" s="1"/>
  <c r="K60" i="100" a="1"/>
  <c r="K60" i="100" s="1"/>
  <c r="J60" i="100" a="1"/>
  <c r="J60" i="100" s="1"/>
  <c r="I60" i="100" a="1"/>
  <c r="I60" i="100" s="1"/>
  <c r="H60" i="100" a="1"/>
  <c r="H60" i="100" s="1"/>
  <c r="G60" i="100" a="1"/>
  <c r="G60" i="100" s="1"/>
  <c r="F60" i="100" a="1"/>
  <c r="F60" i="100" s="1"/>
  <c r="E60" i="100" a="1"/>
  <c r="E60" i="100" s="1"/>
  <c r="D60" i="100" a="1"/>
  <c r="D60" i="100" s="1"/>
  <c r="K59" i="100" a="1"/>
  <c r="K59" i="100" s="1"/>
  <c r="J59" i="100" a="1"/>
  <c r="J59" i="100" s="1"/>
  <c r="I59" i="100" a="1"/>
  <c r="I59" i="100" s="1"/>
  <c r="H59" i="100" a="1"/>
  <c r="H59" i="100" s="1"/>
  <c r="G59" i="100" a="1"/>
  <c r="G59" i="100" s="1"/>
  <c r="F59" i="100" a="1"/>
  <c r="F59" i="100" s="1"/>
  <c r="E59" i="100" a="1"/>
  <c r="E59" i="100" s="1"/>
  <c r="D59" i="100" a="1"/>
  <c r="D59" i="100" s="1"/>
  <c r="K58" i="100" a="1"/>
  <c r="K58" i="100" s="1"/>
  <c r="J58" i="100" a="1"/>
  <c r="J58" i="100" s="1"/>
  <c r="I58" i="100" a="1"/>
  <c r="I58" i="100" s="1"/>
  <c r="H58" i="100" a="1"/>
  <c r="H58" i="100" s="1"/>
  <c r="G58" i="100" a="1"/>
  <c r="G58" i="100" s="1"/>
  <c r="F58" i="100" a="1"/>
  <c r="F58" i="100" s="1"/>
  <c r="E58" i="100" a="1"/>
  <c r="E58" i="100" s="1"/>
  <c r="D58" i="100" a="1"/>
  <c r="D58" i="100" s="1"/>
  <c r="E25" i="99" s="1"/>
  <c r="K25" i="99" s="1"/>
  <c r="K57" i="100" a="1"/>
  <c r="K57" i="100" s="1"/>
  <c r="J57" i="100" a="1"/>
  <c r="J57" i="100" s="1"/>
  <c r="I57" i="100" a="1"/>
  <c r="I57" i="100" s="1"/>
  <c r="H57" i="100" a="1"/>
  <c r="H57" i="100" s="1"/>
  <c r="G57" i="100" a="1"/>
  <c r="G57" i="100" s="1"/>
  <c r="F57" i="100" a="1"/>
  <c r="F57" i="100" s="1"/>
  <c r="E57" i="100" a="1"/>
  <c r="E57" i="100" s="1"/>
  <c r="D57" i="100" a="1"/>
  <c r="D57" i="100" s="1"/>
  <c r="K56" i="100" a="1"/>
  <c r="K56" i="100" s="1"/>
  <c r="J56" i="100" a="1"/>
  <c r="J56" i="100" s="1"/>
  <c r="I56" i="100" a="1"/>
  <c r="I56" i="100" s="1"/>
  <c r="H56" i="100" a="1"/>
  <c r="H56" i="100" s="1"/>
  <c r="G56" i="100" a="1"/>
  <c r="G56" i="100" s="1"/>
  <c r="F56" i="100" a="1"/>
  <c r="F56" i="100" s="1"/>
  <c r="E56" i="100" a="1"/>
  <c r="E56" i="100" s="1"/>
  <c r="D56" i="100" a="1"/>
  <c r="D56" i="100" s="1"/>
  <c r="K55" i="100" a="1"/>
  <c r="K55" i="100" s="1"/>
  <c r="J55" i="100" a="1"/>
  <c r="J55" i="100" s="1"/>
  <c r="I55" i="100" a="1"/>
  <c r="I55" i="100" s="1"/>
  <c r="H55" i="100" a="1"/>
  <c r="H55" i="100" s="1"/>
  <c r="G55" i="100" a="1"/>
  <c r="G55" i="100" s="1"/>
  <c r="F55" i="100" a="1"/>
  <c r="F55" i="100" s="1"/>
  <c r="E55" i="100" a="1"/>
  <c r="E55" i="100" s="1"/>
  <c r="D55" i="100" a="1"/>
  <c r="D55" i="100" s="1"/>
  <c r="K54" i="100" a="1"/>
  <c r="K54" i="100" s="1"/>
  <c r="J54" i="100" a="1"/>
  <c r="J54" i="100" s="1"/>
  <c r="I54" i="100" a="1"/>
  <c r="I54" i="100" s="1"/>
  <c r="H54" i="100" a="1"/>
  <c r="H54" i="100" s="1"/>
  <c r="G54" i="100" a="1"/>
  <c r="G54" i="100" s="1"/>
  <c r="F54" i="100" a="1"/>
  <c r="F54" i="100" s="1"/>
  <c r="E54" i="100" a="1"/>
  <c r="E54" i="100" s="1"/>
  <c r="D54" i="100" a="1"/>
  <c r="D54" i="100" s="1"/>
  <c r="D52" i="100" a="1"/>
  <c r="D52" i="100" s="1"/>
  <c r="D51" i="100" a="1"/>
  <c r="D51" i="100" s="1"/>
  <c r="D50" i="100" a="1"/>
  <c r="D50" i="100" s="1"/>
  <c r="D49" i="100" a="1"/>
  <c r="D49" i="100" s="1"/>
  <c r="J43" i="100" a="1"/>
  <c r="J43" i="100" s="1"/>
  <c r="I43" i="100" a="1"/>
  <c r="I43" i="100" s="1"/>
  <c r="H43" i="100" a="1"/>
  <c r="H43" i="100" s="1"/>
  <c r="G43" i="100" a="1"/>
  <c r="G43" i="100" s="1"/>
  <c r="F43" i="100" a="1"/>
  <c r="F43" i="100" s="1"/>
  <c r="E43" i="100" a="1"/>
  <c r="E43" i="100" s="1"/>
  <c r="D43" i="100" a="1"/>
  <c r="D43" i="100" s="1"/>
  <c r="J42" i="100" a="1"/>
  <c r="J42" i="100" s="1"/>
  <c r="I42" i="100" a="1"/>
  <c r="I42" i="100" s="1"/>
  <c r="H42" i="100" a="1"/>
  <c r="H42" i="100" s="1"/>
  <c r="G42" i="100" a="1"/>
  <c r="G42" i="100" s="1"/>
  <c r="F42" i="100" a="1"/>
  <c r="F42" i="100" s="1"/>
  <c r="E42" i="100" a="1"/>
  <c r="E42" i="100" s="1"/>
  <c r="D42" i="100" a="1"/>
  <c r="D42" i="100" s="1"/>
  <c r="J41" i="100" a="1"/>
  <c r="J41" i="100" s="1"/>
  <c r="I41" i="100" a="1"/>
  <c r="I41" i="100" s="1"/>
  <c r="H41" i="100" a="1"/>
  <c r="H41" i="100" s="1"/>
  <c r="G41" i="100" a="1"/>
  <c r="G41" i="100" s="1"/>
  <c r="F41" i="100" a="1"/>
  <c r="F41" i="100" s="1"/>
  <c r="E41" i="100" a="1"/>
  <c r="E41" i="100" s="1"/>
  <c r="D41" i="100" a="1"/>
  <c r="D41" i="100" s="1"/>
  <c r="J40" i="100" a="1"/>
  <c r="J40" i="100" s="1"/>
  <c r="I40" i="100" a="1"/>
  <c r="I40" i="100" s="1"/>
  <c r="H40" i="100" a="1"/>
  <c r="H40" i="100" s="1"/>
  <c r="G40" i="100" a="1"/>
  <c r="G40" i="100" s="1"/>
  <c r="F40" i="100" a="1"/>
  <c r="F40" i="100" s="1"/>
  <c r="E40" i="100" a="1"/>
  <c r="E40" i="100" s="1"/>
  <c r="D40" i="100" a="1"/>
  <c r="D40" i="100" s="1"/>
  <c r="D38" i="100" a="1"/>
  <c r="D38" i="100" s="1"/>
  <c r="D37" i="100" a="1"/>
  <c r="D37" i="100" s="1"/>
  <c r="L34" i="100" a="1"/>
  <c r="L34" i="100" s="1"/>
  <c r="K34" i="100" a="1"/>
  <c r="K34" i="100" s="1"/>
  <c r="J34" i="100" a="1"/>
  <c r="J34" i="100" s="1"/>
  <c r="I34" i="100" a="1"/>
  <c r="I34" i="100" s="1"/>
  <c r="H34" i="100" a="1"/>
  <c r="H34" i="100" s="1"/>
  <c r="G34" i="100" a="1"/>
  <c r="G34" i="100" s="1"/>
  <c r="F34" i="100" a="1"/>
  <c r="F34" i="100" s="1"/>
  <c r="E34" i="100" a="1"/>
  <c r="E34" i="100" s="1"/>
  <c r="D34" i="100" a="1"/>
  <c r="D34" i="100" s="1"/>
  <c r="L33" i="100" a="1"/>
  <c r="L33" i="100" s="1"/>
  <c r="K33" i="100" a="1"/>
  <c r="K33" i="100" s="1"/>
  <c r="J33" i="100" a="1"/>
  <c r="J33" i="100" s="1"/>
  <c r="I33" i="100" a="1"/>
  <c r="I33" i="100" s="1"/>
  <c r="H33" i="100" a="1"/>
  <c r="H33" i="100" s="1"/>
  <c r="G33" i="100" a="1"/>
  <c r="G33" i="100" s="1"/>
  <c r="F33" i="100" a="1"/>
  <c r="F33" i="100" s="1"/>
  <c r="E33" i="100" a="1"/>
  <c r="E33" i="100" s="1"/>
  <c r="E39" i="98" s="1"/>
  <c r="D33" i="100" a="1"/>
  <c r="D33" i="100" s="1"/>
  <c r="L32" i="100" a="1"/>
  <c r="L32" i="100" s="1"/>
  <c r="K32" i="100" a="1"/>
  <c r="K32" i="100" s="1"/>
  <c r="J32" i="100" a="1"/>
  <c r="J32" i="100" s="1"/>
  <c r="I32" i="100" a="1"/>
  <c r="I32" i="100" s="1"/>
  <c r="H32" i="100" a="1"/>
  <c r="H32" i="100" s="1"/>
  <c r="G32" i="100" a="1"/>
  <c r="G32" i="100" s="1"/>
  <c r="F32" i="100" a="1"/>
  <c r="F32" i="100" s="1"/>
  <c r="E32" i="100" a="1"/>
  <c r="E32" i="100" s="1"/>
  <c r="D32" i="100" a="1"/>
  <c r="D32" i="100" s="1"/>
  <c r="L31" i="100" a="1"/>
  <c r="L31" i="100" s="1"/>
  <c r="K31" i="100" a="1"/>
  <c r="K31" i="100" s="1"/>
  <c r="J31" i="100" a="1"/>
  <c r="J31" i="100" s="1"/>
  <c r="I31" i="100" a="1"/>
  <c r="I31" i="100" s="1"/>
  <c r="H31" i="100" a="1"/>
  <c r="H31" i="100" s="1"/>
  <c r="G31" i="100" a="1"/>
  <c r="G31" i="100" s="1"/>
  <c r="F31" i="100" a="1"/>
  <c r="F31" i="100" s="1"/>
  <c r="E31" i="100" a="1"/>
  <c r="E31" i="100" s="1"/>
  <c r="D31" i="100" a="1"/>
  <c r="D31" i="100" s="1"/>
  <c r="L30" i="100" a="1"/>
  <c r="L30" i="100" s="1"/>
  <c r="K30" i="100" a="1"/>
  <c r="K30" i="100" s="1"/>
  <c r="J30" i="100" a="1"/>
  <c r="J30" i="100" s="1"/>
  <c r="I30" i="100" a="1"/>
  <c r="I30" i="100" s="1"/>
  <c r="H30" i="100" a="1"/>
  <c r="H30" i="100" s="1"/>
  <c r="G30" i="100" a="1"/>
  <c r="G30" i="100" s="1"/>
  <c r="F30" i="100" a="1"/>
  <c r="F30" i="100" s="1"/>
  <c r="E30" i="100" a="1"/>
  <c r="E30" i="100" s="1"/>
  <c r="E36" i="98" s="1"/>
  <c r="D30" i="100" a="1"/>
  <c r="D30" i="100" s="1"/>
  <c r="L29" i="100" a="1"/>
  <c r="L29" i="100" s="1"/>
  <c r="K29" i="100" a="1"/>
  <c r="K29" i="100" s="1"/>
  <c r="J29" i="100" a="1"/>
  <c r="J29" i="100" s="1"/>
  <c r="I29" i="100" a="1"/>
  <c r="I29" i="100" s="1"/>
  <c r="H29" i="100" a="1"/>
  <c r="H29" i="100" s="1"/>
  <c r="G29" i="100" a="1"/>
  <c r="G29" i="100" s="1"/>
  <c r="F29" i="100" a="1"/>
  <c r="F29" i="100" s="1"/>
  <c r="E29" i="100" a="1"/>
  <c r="E29" i="100" s="1"/>
  <c r="E35" i="98" s="1"/>
  <c r="D29" i="100" a="1"/>
  <c r="D29" i="100" s="1"/>
  <c r="L28" i="100" a="1"/>
  <c r="L28" i="100" s="1"/>
  <c r="K28" i="100" a="1"/>
  <c r="K28" i="100" s="1"/>
  <c r="J28" i="100" a="1"/>
  <c r="J28" i="100" s="1"/>
  <c r="I28" i="100" a="1"/>
  <c r="I28" i="100" s="1"/>
  <c r="H28" i="100" a="1"/>
  <c r="H28" i="100" s="1"/>
  <c r="G28" i="100" a="1"/>
  <c r="G28" i="100" s="1"/>
  <c r="F28" i="100" a="1"/>
  <c r="F28" i="100" s="1"/>
  <c r="E28" i="100" a="1"/>
  <c r="E28" i="100" s="1"/>
  <c r="E34" i="98" s="1"/>
  <c r="D28" i="100" a="1"/>
  <c r="D28" i="100" s="1"/>
  <c r="L27" i="100" a="1"/>
  <c r="L27" i="100" s="1"/>
  <c r="K27" i="100" a="1"/>
  <c r="K27" i="100" s="1"/>
  <c r="J27" i="100" a="1"/>
  <c r="J27" i="100" s="1"/>
  <c r="I27" i="100" a="1"/>
  <c r="I27" i="100" s="1"/>
  <c r="H27" i="100" a="1"/>
  <c r="H27" i="100" s="1"/>
  <c r="G27" i="100" a="1"/>
  <c r="G27" i="100" s="1"/>
  <c r="F27" i="100" a="1"/>
  <c r="F27" i="100" s="1"/>
  <c r="E27" i="100" a="1"/>
  <c r="E27" i="100" s="1"/>
  <c r="D27" i="100" a="1"/>
  <c r="D27" i="100" s="1"/>
  <c r="L26" i="100" a="1"/>
  <c r="L26" i="100" s="1"/>
  <c r="K26" i="100" a="1"/>
  <c r="K26" i="100" s="1"/>
  <c r="J26" i="100" a="1"/>
  <c r="J26" i="100" s="1"/>
  <c r="I26" i="100" a="1"/>
  <c r="I26" i="100" s="1"/>
  <c r="H26" i="100" a="1"/>
  <c r="H26" i="100" s="1"/>
  <c r="G26" i="100" a="1"/>
  <c r="G26" i="100" s="1"/>
  <c r="F26" i="100" a="1"/>
  <c r="F26" i="100" s="1"/>
  <c r="E26" i="100" a="1"/>
  <c r="E26" i="100" s="1"/>
  <c r="D26" i="100" a="1"/>
  <c r="D26" i="100" s="1"/>
  <c r="L25" i="100" a="1"/>
  <c r="L25" i="100" s="1"/>
  <c r="K25" i="100" a="1"/>
  <c r="K25" i="100" s="1"/>
  <c r="J25" i="100" a="1"/>
  <c r="J25" i="100" s="1"/>
  <c r="I25" i="100" a="1"/>
  <c r="I25" i="100" s="1"/>
  <c r="H25" i="100" a="1"/>
  <c r="H25" i="100" s="1"/>
  <c r="G25" i="100" a="1"/>
  <c r="G25" i="100" s="1"/>
  <c r="F25" i="100" a="1"/>
  <c r="F25" i="100" s="1"/>
  <c r="E25" i="100" a="1"/>
  <c r="E25" i="100" s="1"/>
  <c r="D25" i="100" a="1"/>
  <c r="D25" i="100" s="1"/>
  <c r="L24" i="100" a="1"/>
  <c r="L24" i="100" s="1"/>
  <c r="K24" i="100" a="1"/>
  <c r="K24" i="100" s="1"/>
  <c r="J24" i="100" a="1"/>
  <c r="J24" i="100" s="1"/>
  <c r="I24" i="100" a="1"/>
  <c r="I24" i="100" s="1"/>
  <c r="H24" i="100" a="1"/>
  <c r="H24" i="100" s="1"/>
  <c r="G24" i="100" a="1"/>
  <c r="G24" i="100" s="1"/>
  <c r="F24" i="100" a="1"/>
  <c r="F24" i="100" s="1"/>
  <c r="E24" i="100" a="1"/>
  <c r="E24" i="100" s="1"/>
  <c r="D24" i="100" a="1"/>
  <c r="D24" i="100" s="1"/>
  <c r="L23" i="100" a="1"/>
  <c r="L23" i="100" s="1"/>
  <c r="K23" i="100" a="1"/>
  <c r="K23" i="100" s="1"/>
  <c r="J23" i="100" a="1"/>
  <c r="J23" i="100" s="1"/>
  <c r="I23" i="100" a="1"/>
  <c r="I23" i="100" s="1"/>
  <c r="H23" i="100" a="1"/>
  <c r="H23" i="100" s="1"/>
  <c r="G23" i="100" a="1"/>
  <c r="G23" i="100" s="1"/>
  <c r="F23" i="100" a="1"/>
  <c r="F23" i="100" s="1"/>
  <c r="E23" i="100" a="1"/>
  <c r="E23" i="100" s="1"/>
  <c r="D23" i="100" a="1"/>
  <c r="D23" i="100" s="1"/>
  <c r="L22" i="100" a="1"/>
  <c r="L22" i="100" s="1"/>
  <c r="K22" i="100" a="1"/>
  <c r="K22" i="100" s="1"/>
  <c r="J22" i="100" a="1"/>
  <c r="J22" i="100" s="1"/>
  <c r="I22" i="100" a="1"/>
  <c r="I22" i="100" s="1"/>
  <c r="H22" i="100" a="1"/>
  <c r="H22" i="100" s="1"/>
  <c r="G22" i="100" a="1"/>
  <c r="G22" i="100" s="1"/>
  <c r="F22" i="100" a="1"/>
  <c r="F22" i="100" s="1"/>
  <c r="E22" i="100" a="1"/>
  <c r="E22" i="100" s="1"/>
  <c r="D22" i="100" a="1"/>
  <c r="D22" i="100" s="1"/>
  <c r="L21" i="100" a="1"/>
  <c r="L21" i="100" s="1"/>
  <c r="K21" i="100" a="1"/>
  <c r="K21" i="100" s="1"/>
  <c r="J21" i="100" a="1"/>
  <c r="J21" i="100" s="1"/>
  <c r="I21" i="100" a="1"/>
  <c r="I21" i="100" s="1"/>
  <c r="H21" i="100" a="1"/>
  <c r="H21" i="100" s="1"/>
  <c r="G21" i="100" a="1"/>
  <c r="G21" i="100" s="1"/>
  <c r="F21" i="100" a="1"/>
  <c r="F21" i="100" s="1"/>
  <c r="E21" i="100" a="1"/>
  <c r="E21" i="100" s="1"/>
  <c r="D21" i="100" a="1"/>
  <c r="D21" i="100" s="1"/>
  <c r="L20" i="100" a="1"/>
  <c r="L20" i="100" s="1"/>
  <c r="K20" i="100" a="1"/>
  <c r="K20" i="100" s="1"/>
  <c r="J20" i="100" a="1"/>
  <c r="J20" i="100" s="1"/>
  <c r="I20" i="100" a="1"/>
  <c r="I20" i="100" s="1"/>
  <c r="H20" i="100" a="1"/>
  <c r="H20" i="100" s="1"/>
  <c r="G20" i="100" a="1"/>
  <c r="G20" i="100" s="1"/>
  <c r="F20" i="100" a="1"/>
  <c r="F20" i="100" s="1"/>
  <c r="E20" i="100" a="1"/>
  <c r="E20" i="100" s="1"/>
  <c r="D20" i="100" a="1"/>
  <c r="D20" i="100" s="1"/>
  <c r="L19" i="100" a="1"/>
  <c r="L19" i="100" s="1"/>
  <c r="K19" i="100" a="1"/>
  <c r="K19" i="100" s="1"/>
  <c r="J19" i="100" a="1"/>
  <c r="J19" i="100" s="1"/>
  <c r="I19" i="100" a="1"/>
  <c r="I19" i="100" s="1"/>
  <c r="H19" i="100" a="1"/>
  <c r="H19" i="100" s="1"/>
  <c r="G19" i="100" a="1"/>
  <c r="G19" i="100" s="1"/>
  <c r="F19" i="100" a="1"/>
  <c r="F19" i="100" s="1"/>
  <c r="E19" i="100" a="1"/>
  <c r="E19" i="100" s="1"/>
  <c r="D19" i="100" a="1"/>
  <c r="D19" i="100" s="1"/>
  <c r="L18" i="100" a="1"/>
  <c r="L18" i="100" s="1"/>
  <c r="K18" i="100" a="1"/>
  <c r="K18" i="100" s="1"/>
  <c r="J18" i="100" a="1"/>
  <c r="J18" i="100" s="1"/>
  <c r="I18" i="100" a="1"/>
  <c r="I18" i="100" s="1"/>
  <c r="H18" i="100" a="1"/>
  <c r="H18" i="100" s="1"/>
  <c r="G18" i="100" a="1"/>
  <c r="G18" i="100" s="1"/>
  <c r="F18" i="100" a="1"/>
  <c r="F18" i="100" s="1"/>
  <c r="E18" i="100" a="1"/>
  <c r="E18" i="100" s="1"/>
  <c r="D18" i="100" a="1"/>
  <c r="D18" i="100" s="1"/>
  <c r="L17" i="100" a="1"/>
  <c r="L17" i="100" s="1"/>
  <c r="K17" i="100" a="1"/>
  <c r="K17" i="100" s="1"/>
  <c r="J17" i="100" a="1"/>
  <c r="J17" i="100" s="1"/>
  <c r="I17" i="100" a="1"/>
  <c r="I17" i="100" s="1"/>
  <c r="H17" i="100" a="1"/>
  <c r="H17" i="100" s="1"/>
  <c r="G17" i="100" a="1"/>
  <c r="G17" i="100" s="1"/>
  <c r="F17" i="100" a="1"/>
  <c r="F17" i="100" s="1"/>
  <c r="E17" i="100" a="1"/>
  <c r="E17" i="100" s="1"/>
  <c r="E32" i="98" s="1"/>
  <c r="D17" i="100" a="1"/>
  <c r="D17" i="100" s="1"/>
  <c r="L16" i="100" a="1"/>
  <c r="L16" i="100" s="1"/>
  <c r="K16" i="100" a="1"/>
  <c r="K16" i="100" s="1"/>
  <c r="J16" i="100" a="1"/>
  <c r="J16" i="100" s="1"/>
  <c r="I16" i="100" a="1"/>
  <c r="I16" i="100" s="1"/>
  <c r="H16" i="100" a="1"/>
  <c r="H16" i="100" s="1"/>
  <c r="G16" i="100" a="1"/>
  <c r="G16" i="100" s="1"/>
  <c r="F16" i="100" a="1"/>
  <c r="F16" i="100" s="1"/>
  <c r="E16" i="100" a="1"/>
  <c r="E16" i="100" s="1"/>
  <c r="E31" i="98" s="1"/>
  <c r="D16" i="100" a="1"/>
  <c r="D16" i="100" s="1"/>
  <c r="L15" i="100" a="1"/>
  <c r="L15" i="100" s="1"/>
  <c r="K15" i="100" a="1"/>
  <c r="K15" i="100" s="1"/>
  <c r="J15" i="100" a="1"/>
  <c r="J15" i="100" s="1"/>
  <c r="I15" i="100" a="1"/>
  <c r="I15" i="100" s="1"/>
  <c r="H15" i="100" a="1"/>
  <c r="H15" i="100" s="1"/>
  <c r="G15" i="100" a="1"/>
  <c r="G15" i="100" s="1"/>
  <c r="F15" i="100" a="1"/>
  <c r="F15" i="100" s="1"/>
  <c r="E15" i="100" a="1"/>
  <c r="E15" i="100" s="1"/>
  <c r="E30" i="98" s="1"/>
  <c r="D15" i="100" a="1"/>
  <c r="D15" i="100" s="1"/>
  <c r="L14" i="100" a="1"/>
  <c r="L14" i="100" s="1"/>
  <c r="K14" i="100" a="1"/>
  <c r="K14" i="100" s="1"/>
  <c r="J14" i="100" a="1"/>
  <c r="J14" i="100" s="1"/>
  <c r="I14" i="100" a="1"/>
  <c r="I14" i="100" s="1"/>
  <c r="H14" i="100" a="1"/>
  <c r="H14" i="100" s="1"/>
  <c r="G14" i="100" a="1"/>
  <c r="G14" i="100" s="1"/>
  <c r="F14" i="100" a="1"/>
  <c r="F14" i="100" s="1"/>
  <c r="E14" i="100" a="1"/>
  <c r="E14" i="100" s="1"/>
  <c r="E29" i="98" s="1"/>
  <c r="D14" i="100" a="1"/>
  <c r="D14" i="100" s="1"/>
  <c r="L13" i="100" a="1"/>
  <c r="L13" i="100" s="1"/>
  <c r="K13" i="100" a="1"/>
  <c r="K13" i="100" s="1"/>
  <c r="J13" i="100" a="1"/>
  <c r="J13" i="100" s="1"/>
  <c r="I13" i="100" a="1"/>
  <c r="I13" i="100" s="1"/>
  <c r="H13" i="100" a="1"/>
  <c r="H13" i="100" s="1"/>
  <c r="G13" i="100" a="1"/>
  <c r="G13" i="100" s="1"/>
  <c r="F13" i="100" a="1"/>
  <c r="F13" i="100" s="1"/>
  <c r="E13" i="100" a="1"/>
  <c r="E13" i="100" s="1"/>
  <c r="E28" i="98" s="1"/>
  <c r="D13" i="100" a="1"/>
  <c r="D13" i="100" s="1"/>
  <c r="L12" i="100" a="1"/>
  <c r="L12" i="100" s="1"/>
  <c r="K12" i="100" a="1"/>
  <c r="K12" i="100" s="1"/>
  <c r="J12" i="100" a="1"/>
  <c r="J12" i="100" s="1"/>
  <c r="I12" i="100" a="1"/>
  <c r="I12" i="100" s="1"/>
  <c r="H12" i="100" a="1"/>
  <c r="H12" i="100" s="1"/>
  <c r="G12" i="100" a="1"/>
  <c r="G12" i="100" s="1"/>
  <c r="F12" i="100" a="1"/>
  <c r="F12" i="100" s="1"/>
  <c r="E12" i="100" a="1"/>
  <c r="E12" i="100" s="1"/>
  <c r="E27" i="98" s="1"/>
  <c r="D12" i="100" a="1"/>
  <c r="D12" i="100" s="1"/>
  <c r="L11" i="100" a="1"/>
  <c r="L11" i="100" s="1"/>
  <c r="K11" i="100" a="1"/>
  <c r="K11" i="100" s="1"/>
  <c r="J11" i="100" a="1"/>
  <c r="J11" i="100" s="1"/>
  <c r="I11" i="100" a="1"/>
  <c r="I11" i="100" s="1"/>
  <c r="H11" i="100" a="1"/>
  <c r="H11" i="100" s="1"/>
  <c r="G11" i="100" a="1"/>
  <c r="G11" i="100" s="1"/>
  <c r="F11" i="100" a="1"/>
  <c r="F11" i="100" s="1"/>
  <c r="E11" i="100" a="1"/>
  <c r="E11" i="100" s="1"/>
  <c r="E26" i="98" s="1"/>
  <c r="D11" i="100" a="1"/>
  <c r="D11" i="100" s="1"/>
  <c r="L10" i="100" a="1"/>
  <c r="L10" i="100" s="1"/>
  <c r="K10" i="100" a="1"/>
  <c r="K10" i="100" s="1"/>
  <c r="J10" i="100" a="1"/>
  <c r="J10" i="100" s="1"/>
  <c r="I10" i="100" a="1"/>
  <c r="I10" i="100" s="1"/>
  <c r="H10" i="100" a="1"/>
  <c r="H10" i="100" s="1"/>
  <c r="G10" i="100" a="1"/>
  <c r="G10" i="100" s="1"/>
  <c r="F10" i="100" a="1"/>
  <c r="F10" i="100" s="1"/>
  <c r="E10" i="100" a="1"/>
  <c r="E10" i="100" s="1"/>
  <c r="D10" i="100" a="1"/>
  <c r="D10" i="100" s="1"/>
  <c r="D8" i="100" a="1"/>
  <c r="D8" i="100" s="1"/>
  <c r="D7" i="100" a="1"/>
  <c r="D7" i="100" s="1"/>
  <c r="D6" i="100" a="1"/>
  <c r="D6" i="100" s="1"/>
  <c r="D5" i="100" a="1"/>
  <c r="D5" i="100" s="1"/>
  <c r="D34" i="99"/>
  <c r="D36" i="99"/>
  <c r="D27" i="99"/>
  <c r="D29" i="99"/>
  <c r="P18" i="99"/>
  <c r="P17" i="99"/>
  <c r="P16" i="99" a="1"/>
  <c r="P16" i="99" s="1"/>
  <c r="I16" i="99" a="1"/>
  <c r="I16" i="99" s="1"/>
  <c r="P15" i="99" a="1"/>
  <c r="P15" i="99" s="1"/>
  <c r="I15" i="99" a="1"/>
  <c r="I15" i="99" s="1"/>
  <c r="P14" i="99" a="1"/>
  <c r="P14" i="99" s="1"/>
  <c r="N14" i="99" a="1"/>
  <c r="N14" i="99" s="1"/>
  <c r="K14" i="99" a="1"/>
  <c r="K14" i="99" s="1"/>
  <c r="I14" i="99" a="1"/>
  <c r="I14" i="99" s="1"/>
  <c r="G14" i="99" a="1"/>
  <c r="G14" i="99" s="1"/>
  <c r="D14" i="99" a="1"/>
  <c r="D14" i="99" s="1"/>
  <c r="L12" i="99" a="1"/>
  <c r="L12" i="99" s="1"/>
  <c r="E12" i="99" a="1"/>
  <c r="E12" i="99" s="1"/>
  <c r="L11" i="99" a="1"/>
  <c r="L11" i="99" s="1"/>
  <c r="E11" i="99" a="1"/>
  <c r="E11" i="99" s="1"/>
  <c r="K7" i="99" a="1"/>
  <c r="K7" i="99" s="1"/>
  <c r="K6" i="99" a="1"/>
  <c r="K6" i="99" s="1"/>
  <c r="D6" i="99" a="1"/>
  <c r="D6" i="99" s="1"/>
  <c r="K5" i="99" a="1"/>
  <c r="K5" i="99" s="1"/>
  <c r="D5" i="99" a="1"/>
  <c r="D5" i="99" s="1"/>
  <c r="D48" i="98"/>
  <c r="D39" i="98"/>
  <c r="D38" i="98"/>
  <c r="D60" i="98"/>
  <c r="D35" i="98"/>
  <c r="D30" i="98"/>
  <c r="D42" i="98"/>
  <c r="P16" i="98" a="1"/>
  <c r="P16" i="98" s="1"/>
  <c r="I16" i="98" a="1"/>
  <c r="I16" i="98" s="1"/>
  <c r="P15" i="98" a="1"/>
  <c r="P15" i="98" s="1"/>
  <c r="I15" i="98" a="1"/>
  <c r="I15" i="98" s="1"/>
  <c r="P14" i="98" a="1"/>
  <c r="P14" i="98" s="1"/>
  <c r="N14" i="98" a="1"/>
  <c r="N14" i="98" s="1"/>
  <c r="K14" i="98" a="1"/>
  <c r="K14" i="98" s="1"/>
  <c r="I14" i="98" a="1"/>
  <c r="I14" i="98" s="1"/>
  <c r="G14" i="98" a="1"/>
  <c r="G14" i="98" s="1"/>
  <c r="D14" i="98" a="1"/>
  <c r="D14" i="98" s="1"/>
  <c r="L12" i="98" a="1"/>
  <c r="L12" i="98" s="1"/>
  <c r="E12" i="98" a="1"/>
  <c r="E12" i="98" s="1"/>
  <c r="L11" i="98" a="1"/>
  <c r="L11" i="98" s="1"/>
  <c r="E11" i="98" a="1"/>
  <c r="E11" i="98" s="1"/>
  <c r="K6" i="98" a="1"/>
  <c r="K6" i="98" s="1"/>
  <c r="D6" i="98" a="1"/>
  <c r="D6" i="98" s="1"/>
  <c r="K5" i="98" a="1"/>
  <c r="K5" i="98" s="1"/>
  <c r="D5" i="98" a="1"/>
  <c r="D5" i="98" s="1"/>
  <c r="H21" i="97"/>
  <c r="H20" i="97"/>
  <c r="H19" i="97"/>
  <c r="H18" i="97"/>
  <c r="H17" i="97"/>
  <c r="H25" i="96" a="1"/>
  <c r="H25" i="96" s="1"/>
  <c r="G25" i="96" a="1"/>
  <c r="G25" i="96" s="1"/>
  <c r="I552" i="112" s="1" a="1"/>
  <c r="I552" i="112" s="1"/>
  <c r="F25" i="96" a="1"/>
  <c r="F25" i="96" s="1"/>
  <c r="E25" i="96" a="1"/>
  <c r="E25" i="96" s="1"/>
  <c r="J36" i="95" s="1" a="1"/>
  <c r="J36" i="95" s="1"/>
  <c r="D25" i="96" a="1"/>
  <c r="D25" i="96" s="1"/>
  <c r="D22" i="96" a="1"/>
  <c r="D22" i="96" s="1"/>
  <c r="D21" i="96" a="1"/>
  <c r="D21" i="96" s="1"/>
  <c r="F19" i="96" a="1"/>
  <c r="F19" i="96" s="1"/>
  <c r="E19" i="96" a="1"/>
  <c r="E19" i="96" s="1"/>
  <c r="D19" i="96" a="1"/>
  <c r="D19" i="96" s="1"/>
  <c r="F18" i="96" a="1"/>
  <c r="F18" i="96" s="1"/>
  <c r="E18" i="96" a="1"/>
  <c r="E18" i="96" s="1"/>
  <c r="D18" i="96" a="1"/>
  <c r="D18" i="96" s="1"/>
  <c r="F17" i="96" a="1"/>
  <c r="F17" i="96" s="1"/>
  <c r="E17" i="96" a="1"/>
  <c r="E17" i="96" s="1"/>
  <c r="D17" i="96" a="1"/>
  <c r="D17" i="96" s="1"/>
  <c r="F16" i="96" a="1"/>
  <c r="F16" i="96" s="1"/>
  <c r="E16" i="96" a="1"/>
  <c r="E16" i="96" s="1"/>
  <c r="D16" i="96" a="1"/>
  <c r="D16" i="96" s="1"/>
  <c r="F15" i="96" a="1"/>
  <c r="F15" i="96" s="1"/>
  <c r="E15" i="96" a="1"/>
  <c r="E15" i="96" s="1"/>
  <c r="D15" i="96" a="1"/>
  <c r="D15" i="96" s="1"/>
  <c r="F14" i="96" a="1"/>
  <c r="F14" i="96" s="1"/>
  <c r="E14" i="96" a="1"/>
  <c r="E14" i="96" s="1"/>
  <c r="D14" i="96" a="1"/>
  <c r="D14" i="96" s="1"/>
  <c r="F13" i="96" a="1"/>
  <c r="F13" i="96" s="1"/>
  <c r="E13" i="96" a="1"/>
  <c r="E13" i="96" s="1"/>
  <c r="D13" i="96" a="1"/>
  <c r="D13" i="96" s="1"/>
  <c r="F12" i="96" a="1"/>
  <c r="F12" i="96" s="1"/>
  <c r="E12" i="96" a="1"/>
  <c r="E12" i="96" s="1"/>
  <c r="D12" i="96" a="1"/>
  <c r="D12" i="96" s="1"/>
  <c r="F11" i="96" a="1"/>
  <c r="F11" i="96" s="1"/>
  <c r="E11" i="96" a="1"/>
  <c r="E11" i="96" s="1"/>
  <c r="D11" i="96" a="1"/>
  <c r="D11" i="96" s="1"/>
  <c r="F10" i="96" a="1"/>
  <c r="F10" i="96" s="1"/>
  <c r="E10" i="96" a="1"/>
  <c r="E10" i="96" s="1"/>
  <c r="D10" i="96" a="1"/>
  <c r="D10" i="96" s="1"/>
  <c r="D7" i="96" a="1"/>
  <c r="D7" i="96" s="1"/>
  <c r="D6" i="96" a="1"/>
  <c r="D6" i="96" s="1"/>
  <c r="D5" i="96" a="1"/>
  <c r="D5" i="96" s="1"/>
  <c r="J37" i="95"/>
  <c r="J33" i="95" s="1"/>
  <c r="J32" i="95"/>
  <c r="J31" i="95"/>
  <c r="H31" i="95" a="1"/>
  <c r="H31" i="95" s="1"/>
  <c r="D31" i="95" a="1"/>
  <c r="D31" i="95" s="1"/>
  <c r="E29" i="95" a="1"/>
  <c r="E29" i="95" s="1"/>
  <c r="F39" i="95" s="1"/>
  <c r="E28" i="95" a="1"/>
  <c r="E28" i="95" s="1"/>
  <c r="D24" i="95" a="1"/>
  <c r="D24" i="95" s="1"/>
  <c r="D23" i="95" a="1"/>
  <c r="D23" i="95" s="1"/>
  <c r="D22" i="95" a="1"/>
  <c r="D22" i="95" s="1"/>
  <c r="I16" i="95"/>
  <c r="I14" i="95"/>
  <c r="G14" i="95" a="1"/>
  <c r="G14" i="95" s="1"/>
  <c r="D14" i="95" a="1"/>
  <c r="D14" i="95" s="1"/>
  <c r="E12" i="95" a="1"/>
  <c r="E12" i="95" s="1"/>
  <c r="F18" i="95" s="1"/>
  <c r="E11" i="95" a="1"/>
  <c r="E11" i="95" s="1"/>
  <c r="D7" i="95" a="1"/>
  <c r="D7" i="95" s="1"/>
  <c r="D6" i="95" a="1"/>
  <c r="D6" i="95" s="1"/>
  <c r="D5" i="95" a="1"/>
  <c r="D5" i="95" s="1"/>
  <c r="H48" i="94"/>
  <c r="E48" i="94"/>
  <c r="H47" i="94"/>
  <c r="E47" i="94"/>
  <c r="H46" i="94"/>
  <c r="E46" i="94"/>
  <c r="H39" i="94"/>
  <c r="H38" i="94"/>
  <c r="H37" i="94"/>
  <c r="E30" i="94"/>
  <c r="I37" i="94" s="1"/>
  <c r="E29" i="94"/>
  <c r="E16" i="94"/>
  <c r="E22" i="94" s="1"/>
  <c r="E6" i="94"/>
  <c r="AE153" i="93" a="1"/>
  <c r="AE153" i="93" s="1"/>
  <c r="AD153" i="93" a="1"/>
  <c r="AD153" i="93" s="1"/>
  <c r="AC153" i="93" a="1"/>
  <c r="AC153" i="93" s="1"/>
  <c r="AB153" i="93" a="1"/>
  <c r="AB153" i="93" s="1"/>
  <c r="AA153" i="93" a="1"/>
  <c r="AA153" i="93" s="1"/>
  <c r="Z153" i="93" a="1"/>
  <c r="Z153" i="93" s="1"/>
  <c r="Y153" i="93" a="1"/>
  <c r="Y153" i="93" s="1"/>
  <c r="X153" i="93" a="1"/>
  <c r="X153" i="93" s="1"/>
  <c r="W153" i="93" a="1"/>
  <c r="W153" i="93" s="1"/>
  <c r="V153" i="93" a="1"/>
  <c r="V153" i="93" s="1"/>
  <c r="U153" i="93" a="1"/>
  <c r="U153" i="93" s="1"/>
  <c r="T153" i="93" a="1"/>
  <c r="T153" i="93" s="1"/>
  <c r="S153" i="93" a="1"/>
  <c r="S153" i="93" s="1"/>
  <c r="R153" i="93" a="1"/>
  <c r="R153" i="93" s="1"/>
  <c r="Q153" i="93" a="1"/>
  <c r="Q153" i="93" s="1"/>
  <c r="P153" i="93" a="1"/>
  <c r="P153" i="93" s="1"/>
  <c r="O153" i="93" a="1"/>
  <c r="O153" i="93" s="1"/>
  <c r="N153" i="93" a="1"/>
  <c r="N153" i="93" s="1"/>
  <c r="M153" i="93" a="1"/>
  <c r="M153" i="93" s="1"/>
  <c r="L153" i="93" a="1"/>
  <c r="L153" i="93" s="1"/>
  <c r="K153" i="93" a="1"/>
  <c r="K153" i="93" s="1"/>
  <c r="J153" i="93" a="1"/>
  <c r="J153" i="93" s="1"/>
  <c r="I153" i="93" a="1"/>
  <c r="I153" i="93" s="1"/>
  <c r="H153" i="93" a="1"/>
  <c r="H153" i="93" s="1"/>
  <c r="G153" i="93" a="1"/>
  <c r="G153" i="93" s="1"/>
  <c r="F153" i="93" a="1"/>
  <c r="F153" i="93" s="1"/>
  <c r="E153" i="93" a="1"/>
  <c r="E153" i="93" s="1"/>
  <c r="D153" i="93" a="1"/>
  <c r="D153" i="93" s="1"/>
  <c r="AE152" i="93" a="1"/>
  <c r="AE152" i="93" s="1"/>
  <c r="AD152" i="93" a="1"/>
  <c r="AD152" i="93" s="1"/>
  <c r="AC152" i="93" a="1"/>
  <c r="AC152" i="93" s="1"/>
  <c r="AB152" i="93" a="1"/>
  <c r="AB152" i="93" s="1"/>
  <c r="AA152" i="93" a="1"/>
  <c r="AA152" i="93" s="1"/>
  <c r="Z152" i="93" a="1"/>
  <c r="Z152" i="93" s="1"/>
  <c r="Y152" i="93" a="1"/>
  <c r="Y152" i="93" s="1"/>
  <c r="X152" i="93" a="1"/>
  <c r="X152" i="93" s="1"/>
  <c r="W152" i="93" a="1"/>
  <c r="W152" i="93" s="1"/>
  <c r="V152" i="93" a="1"/>
  <c r="V152" i="93" s="1"/>
  <c r="U152" i="93" a="1"/>
  <c r="U152" i="93" s="1"/>
  <c r="T152" i="93" a="1"/>
  <c r="T152" i="93" s="1"/>
  <c r="S152" i="93" a="1"/>
  <c r="S152" i="93" s="1"/>
  <c r="R152" i="93" a="1"/>
  <c r="R152" i="93" s="1"/>
  <c r="Q152" i="93" a="1"/>
  <c r="Q152" i="93" s="1"/>
  <c r="P152" i="93" a="1"/>
  <c r="P152" i="93" s="1"/>
  <c r="O152" i="93" a="1"/>
  <c r="O152" i="93" s="1"/>
  <c r="N152" i="93" a="1"/>
  <c r="N152" i="93" s="1"/>
  <c r="M152" i="93" a="1"/>
  <c r="M152" i="93" s="1"/>
  <c r="L152" i="93" a="1"/>
  <c r="L152" i="93" s="1"/>
  <c r="K152" i="93" a="1"/>
  <c r="K152" i="93" s="1"/>
  <c r="J152" i="93" a="1"/>
  <c r="J152" i="93" s="1"/>
  <c r="I152" i="93" a="1"/>
  <c r="I152" i="93" s="1"/>
  <c r="H152" i="93" a="1"/>
  <c r="H152" i="93" s="1"/>
  <c r="G152" i="93" a="1"/>
  <c r="G152" i="93" s="1"/>
  <c r="F152" i="93" a="1"/>
  <c r="F152" i="93" s="1"/>
  <c r="E152" i="93" a="1"/>
  <c r="E152" i="93" s="1"/>
  <c r="D152" i="93" a="1"/>
  <c r="D152" i="93" s="1"/>
  <c r="AE151" i="93" a="1"/>
  <c r="AE151" i="93" s="1"/>
  <c r="AD151" i="93" a="1"/>
  <c r="AD151" i="93" s="1"/>
  <c r="AC151" i="93" a="1"/>
  <c r="AC151" i="93" s="1"/>
  <c r="AB151" i="93" a="1"/>
  <c r="AB151" i="93" s="1"/>
  <c r="AA151" i="93" a="1"/>
  <c r="AA151" i="93" s="1"/>
  <c r="Z151" i="93" a="1"/>
  <c r="Z151" i="93" s="1"/>
  <c r="Y151" i="93" a="1"/>
  <c r="Y151" i="93" s="1"/>
  <c r="X151" i="93" a="1"/>
  <c r="X151" i="93" s="1"/>
  <c r="W151" i="93" a="1"/>
  <c r="W151" i="93" s="1"/>
  <c r="V151" i="93" a="1"/>
  <c r="V151" i="93" s="1"/>
  <c r="U151" i="93" a="1"/>
  <c r="U151" i="93" s="1"/>
  <c r="T151" i="93" a="1"/>
  <c r="T151" i="93" s="1"/>
  <c r="S151" i="93" a="1"/>
  <c r="S151" i="93" s="1"/>
  <c r="R151" i="93" a="1"/>
  <c r="R151" i="93" s="1"/>
  <c r="Q151" i="93" a="1"/>
  <c r="Q151" i="93" s="1"/>
  <c r="P151" i="93" a="1"/>
  <c r="P151" i="93" s="1"/>
  <c r="O151" i="93" a="1"/>
  <c r="O151" i="93" s="1"/>
  <c r="N151" i="93" a="1"/>
  <c r="N151" i="93" s="1"/>
  <c r="M151" i="93" a="1"/>
  <c r="M151" i="93" s="1"/>
  <c r="L151" i="93" a="1"/>
  <c r="L151" i="93" s="1"/>
  <c r="K151" i="93" a="1"/>
  <c r="K151" i="93" s="1"/>
  <c r="J151" i="93" a="1"/>
  <c r="J151" i="93" s="1"/>
  <c r="I151" i="93" a="1"/>
  <c r="I151" i="93" s="1"/>
  <c r="H151" i="93" a="1"/>
  <c r="H151" i="93" s="1"/>
  <c r="G151" i="93" a="1"/>
  <c r="G151" i="93" s="1"/>
  <c r="F151" i="93" a="1"/>
  <c r="F151" i="93" s="1"/>
  <c r="E151" i="93" a="1"/>
  <c r="E151" i="93" s="1"/>
  <c r="D151" i="93" a="1"/>
  <c r="D151" i="93" s="1"/>
  <c r="AE150" i="93" a="1"/>
  <c r="AE150" i="93" s="1"/>
  <c r="AD150" i="93" a="1"/>
  <c r="AD150" i="93" s="1"/>
  <c r="AC150" i="93" a="1"/>
  <c r="AC150" i="93" s="1"/>
  <c r="AB150" i="93" a="1"/>
  <c r="AB150" i="93" s="1"/>
  <c r="AA150" i="93" a="1"/>
  <c r="AA150" i="93" s="1"/>
  <c r="Z150" i="93" a="1"/>
  <c r="Z150" i="93" s="1"/>
  <c r="Y150" i="93" a="1"/>
  <c r="Y150" i="93" s="1"/>
  <c r="X150" i="93" a="1"/>
  <c r="X150" i="93" s="1"/>
  <c r="W150" i="93" a="1"/>
  <c r="W150" i="93" s="1"/>
  <c r="V150" i="93" a="1"/>
  <c r="V150" i="93" s="1"/>
  <c r="U150" i="93" a="1"/>
  <c r="U150" i="93" s="1"/>
  <c r="T150" i="93" a="1"/>
  <c r="T150" i="93" s="1"/>
  <c r="S150" i="93" a="1"/>
  <c r="S150" i="93" s="1"/>
  <c r="R150" i="93" a="1"/>
  <c r="R150" i="93" s="1"/>
  <c r="Q150" i="93" a="1"/>
  <c r="Q150" i="93" s="1"/>
  <c r="P150" i="93" a="1"/>
  <c r="P150" i="93" s="1"/>
  <c r="O150" i="93" a="1"/>
  <c r="O150" i="93" s="1"/>
  <c r="N150" i="93" a="1"/>
  <c r="N150" i="93" s="1"/>
  <c r="M150" i="93" a="1"/>
  <c r="M150" i="93" s="1"/>
  <c r="L150" i="93" a="1"/>
  <c r="L150" i="93" s="1"/>
  <c r="K150" i="93" a="1"/>
  <c r="K150" i="93" s="1"/>
  <c r="J150" i="93" a="1"/>
  <c r="J150" i="93" s="1"/>
  <c r="I150" i="93" a="1"/>
  <c r="I150" i="93" s="1"/>
  <c r="H150" i="93" a="1"/>
  <c r="H150" i="93" s="1"/>
  <c r="G150" i="93" a="1"/>
  <c r="G150" i="93" s="1"/>
  <c r="F150" i="93" a="1"/>
  <c r="F150" i="93" s="1"/>
  <c r="E150" i="93" a="1"/>
  <c r="E150" i="93" s="1"/>
  <c r="D150" i="93" a="1"/>
  <c r="D150" i="93" s="1"/>
  <c r="AE149" i="93" a="1"/>
  <c r="AE149" i="93" s="1"/>
  <c r="AD149" i="93" a="1"/>
  <c r="AD149" i="93" s="1"/>
  <c r="AC149" i="93" a="1"/>
  <c r="AC149" i="93" s="1"/>
  <c r="AB149" i="93" a="1"/>
  <c r="AB149" i="93" s="1"/>
  <c r="AA149" i="93" a="1"/>
  <c r="AA149" i="93" s="1"/>
  <c r="Z149" i="93" a="1"/>
  <c r="Z149" i="93" s="1"/>
  <c r="Y149" i="93" a="1"/>
  <c r="Y149" i="93" s="1"/>
  <c r="X149" i="93" a="1"/>
  <c r="X149" i="93" s="1"/>
  <c r="W149" i="93" a="1"/>
  <c r="W149" i="93" s="1"/>
  <c r="V149" i="93" a="1"/>
  <c r="V149" i="93" s="1"/>
  <c r="U149" i="93" a="1"/>
  <c r="U149" i="93" s="1"/>
  <c r="T149" i="93" a="1"/>
  <c r="T149" i="93" s="1"/>
  <c r="S149" i="93" a="1"/>
  <c r="S149" i="93" s="1"/>
  <c r="R149" i="93" a="1"/>
  <c r="R149" i="93" s="1"/>
  <c r="Q149" i="93" a="1"/>
  <c r="Q149" i="93" s="1"/>
  <c r="P149" i="93" a="1"/>
  <c r="P149" i="93" s="1"/>
  <c r="O149" i="93" a="1"/>
  <c r="O149" i="93" s="1"/>
  <c r="N149" i="93" a="1"/>
  <c r="N149" i="93" s="1"/>
  <c r="M149" i="93" a="1"/>
  <c r="M149" i="93" s="1"/>
  <c r="L149" i="93" a="1"/>
  <c r="L149" i="93" s="1"/>
  <c r="K149" i="93" a="1"/>
  <c r="K149" i="93" s="1"/>
  <c r="J149" i="93" a="1"/>
  <c r="J149" i="93" s="1"/>
  <c r="I149" i="93" a="1"/>
  <c r="I149" i="93" s="1"/>
  <c r="H149" i="93" a="1"/>
  <c r="H149" i="93" s="1"/>
  <c r="G149" i="93" a="1"/>
  <c r="G149" i="93" s="1"/>
  <c r="F149" i="93" a="1"/>
  <c r="F149" i="93" s="1"/>
  <c r="E149" i="93" a="1"/>
  <c r="E149" i="93" s="1"/>
  <c r="D149" i="93" a="1"/>
  <c r="D149" i="93" s="1"/>
  <c r="AE148" i="93" a="1"/>
  <c r="AE148" i="93" s="1"/>
  <c r="AD148" i="93" a="1"/>
  <c r="AD148" i="93" s="1"/>
  <c r="AC148" i="93" a="1"/>
  <c r="AC148" i="93" s="1"/>
  <c r="AB148" i="93" a="1"/>
  <c r="AB148" i="93" s="1"/>
  <c r="AA148" i="93" a="1"/>
  <c r="AA148" i="93" s="1"/>
  <c r="Z148" i="93" a="1"/>
  <c r="Z148" i="93" s="1"/>
  <c r="Y148" i="93" a="1"/>
  <c r="Y148" i="93" s="1"/>
  <c r="X148" i="93" a="1"/>
  <c r="X148" i="93" s="1"/>
  <c r="W148" i="93" a="1"/>
  <c r="W148" i="93" s="1"/>
  <c r="V148" i="93" a="1"/>
  <c r="V148" i="93" s="1"/>
  <c r="U148" i="93" a="1"/>
  <c r="U148" i="93" s="1"/>
  <c r="T148" i="93" a="1"/>
  <c r="T148" i="93" s="1"/>
  <c r="S148" i="93" a="1"/>
  <c r="S148" i="93" s="1"/>
  <c r="R148" i="93" a="1"/>
  <c r="R148" i="93" s="1"/>
  <c r="Q148" i="93" a="1"/>
  <c r="Q148" i="93" s="1"/>
  <c r="P148" i="93" a="1"/>
  <c r="P148" i="93" s="1"/>
  <c r="O148" i="93" a="1"/>
  <c r="O148" i="93" s="1"/>
  <c r="N148" i="93" a="1"/>
  <c r="N148" i="93" s="1"/>
  <c r="M148" i="93" a="1"/>
  <c r="M148" i="93" s="1"/>
  <c r="L148" i="93" a="1"/>
  <c r="L148" i="93" s="1"/>
  <c r="K148" i="93" a="1"/>
  <c r="K148" i="93" s="1"/>
  <c r="J148" i="93" a="1"/>
  <c r="J148" i="93" s="1"/>
  <c r="I148" i="93" a="1"/>
  <c r="I148" i="93" s="1"/>
  <c r="H148" i="93" a="1"/>
  <c r="H148" i="93" s="1"/>
  <c r="G148" i="93" a="1"/>
  <c r="G148" i="93" s="1"/>
  <c r="F148" i="93" a="1"/>
  <c r="F148" i="93" s="1"/>
  <c r="E148" i="93" a="1"/>
  <c r="E148" i="93" s="1"/>
  <c r="D148" i="93" a="1"/>
  <c r="D148" i="93" s="1"/>
  <c r="AE147" i="93" a="1"/>
  <c r="AE147" i="93" s="1"/>
  <c r="AD147" i="93" a="1"/>
  <c r="AD147" i="93" s="1"/>
  <c r="AC147" i="93" a="1"/>
  <c r="AC147" i="93" s="1"/>
  <c r="AB147" i="93" a="1"/>
  <c r="AB147" i="93" s="1"/>
  <c r="AA147" i="93" a="1"/>
  <c r="AA147" i="93" s="1"/>
  <c r="Z147" i="93" a="1"/>
  <c r="Z147" i="93" s="1"/>
  <c r="Y147" i="93" a="1"/>
  <c r="Y147" i="93" s="1"/>
  <c r="X147" i="93" a="1"/>
  <c r="X147" i="93" s="1"/>
  <c r="W147" i="93" a="1"/>
  <c r="W147" i="93" s="1"/>
  <c r="V147" i="93" a="1"/>
  <c r="V147" i="93" s="1"/>
  <c r="U147" i="93" a="1"/>
  <c r="U147" i="93" s="1"/>
  <c r="T147" i="93" a="1"/>
  <c r="T147" i="93" s="1"/>
  <c r="S147" i="93" a="1"/>
  <c r="S147" i="93" s="1"/>
  <c r="R147" i="93" a="1"/>
  <c r="R147" i="93" s="1"/>
  <c r="Q147" i="93" a="1"/>
  <c r="Q147" i="93" s="1"/>
  <c r="P147" i="93" a="1"/>
  <c r="P147" i="93" s="1"/>
  <c r="O147" i="93" a="1"/>
  <c r="O147" i="93" s="1"/>
  <c r="N147" i="93" a="1"/>
  <c r="N147" i="93" s="1"/>
  <c r="M147" i="93" a="1"/>
  <c r="M147" i="93" s="1"/>
  <c r="L147" i="93" a="1"/>
  <c r="L147" i="93" s="1"/>
  <c r="K147" i="93" a="1"/>
  <c r="K147" i="93" s="1"/>
  <c r="J147" i="93" a="1"/>
  <c r="J147" i="93" s="1"/>
  <c r="I147" i="93" a="1"/>
  <c r="I147" i="93" s="1"/>
  <c r="H147" i="93" a="1"/>
  <c r="H147" i="93" s="1"/>
  <c r="G147" i="93" a="1"/>
  <c r="G147" i="93" s="1"/>
  <c r="F147" i="93" a="1"/>
  <c r="F147" i="93" s="1"/>
  <c r="E147" i="93" a="1"/>
  <c r="E147" i="93" s="1"/>
  <c r="D147" i="93" a="1"/>
  <c r="D147" i="93" s="1"/>
  <c r="AE146" i="93" a="1"/>
  <c r="AE146" i="93" s="1"/>
  <c r="AD146" i="93" a="1"/>
  <c r="AD146" i="93" s="1"/>
  <c r="AC146" i="93" a="1"/>
  <c r="AC146" i="93" s="1"/>
  <c r="AB146" i="93" a="1"/>
  <c r="AB146" i="93" s="1"/>
  <c r="AA146" i="93" a="1"/>
  <c r="AA146" i="93" s="1"/>
  <c r="Z146" i="93" a="1"/>
  <c r="Z146" i="93" s="1"/>
  <c r="Y146" i="93" a="1"/>
  <c r="Y146" i="93" s="1"/>
  <c r="X146" i="93" a="1"/>
  <c r="X146" i="93" s="1"/>
  <c r="W146" i="93" a="1"/>
  <c r="W146" i="93" s="1"/>
  <c r="V146" i="93" a="1"/>
  <c r="V146" i="93" s="1"/>
  <c r="U146" i="93" a="1"/>
  <c r="U146" i="93" s="1"/>
  <c r="T146" i="93" a="1"/>
  <c r="T146" i="93" s="1"/>
  <c r="S146" i="93" a="1"/>
  <c r="S146" i="93" s="1"/>
  <c r="R146" i="93" a="1"/>
  <c r="R146" i="93" s="1"/>
  <c r="Q146" i="93" a="1"/>
  <c r="Q146" i="93" s="1"/>
  <c r="P146" i="93" a="1"/>
  <c r="P146" i="93" s="1"/>
  <c r="O146" i="93" a="1"/>
  <c r="O146" i="93" s="1"/>
  <c r="N146" i="93" a="1"/>
  <c r="N146" i="93" s="1"/>
  <c r="M146" i="93" a="1"/>
  <c r="M146" i="93" s="1"/>
  <c r="L146" i="93" a="1"/>
  <c r="L146" i="93" s="1"/>
  <c r="K146" i="93" a="1"/>
  <c r="K146" i="93" s="1"/>
  <c r="J146" i="93" a="1"/>
  <c r="J146" i="93" s="1"/>
  <c r="I146" i="93" a="1"/>
  <c r="I146" i="93" s="1"/>
  <c r="H146" i="93" a="1"/>
  <c r="H146" i="93" s="1"/>
  <c r="G146" i="93" a="1"/>
  <c r="G146" i="93" s="1"/>
  <c r="F146" i="93" a="1"/>
  <c r="F146" i="93" s="1"/>
  <c r="E146" i="93" a="1"/>
  <c r="E146" i="93" s="1"/>
  <c r="D146" i="93" a="1"/>
  <c r="D146" i="93" s="1"/>
  <c r="AE145" i="93" a="1"/>
  <c r="AE145" i="93" s="1"/>
  <c r="AD145" i="93" a="1"/>
  <c r="AD145" i="93" s="1"/>
  <c r="AC145" i="93" a="1"/>
  <c r="AC145" i="93" s="1"/>
  <c r="AB145" i="93" a="1"/>
  <c r="AB145" i="93" s="1"/>
  <c r="AA145" i="93" a="1"/>
  <c r="AA145" i="93" s="1"/>
  <c r="Z145" i="93" a="1"/>
  <c r="Z145" i="93" s="1"/>
  <c r="Y145" i="93" a="1"/>
  <c r="Y145" i="93" s="1"/>
  <c r="X145" i="93" a="1"/>
  <c r="X145" i="93" s="1"/>
  <c r="W145" i="93" a="1"/>
  <c r="W145" i="93" s="1"/>
  <c r="V145" i="93" a="1"/>
  <c r="V145" i="93" s="1"/>
  <c r="U145" i="93" a="1"/>
  <c r="U145" i="93" s="1"/>
  <c r="T145" i="93" a="1"/>
  <c r="T145" i="93" s="1"/>
  <c r="S145" i="93" a="1"/>
  <c r="S145" i="93" s="1"/>
  <c r="R145" i="93" a="1"/>
  <c r="R145" i="93" s="1"/>
  <c r="Q145" i="93" a="1"/>
  <c r="Q145" i="93" s="1"/>
  <c r="P145" i="93" a="1"/>
  <c r="P145" i="93" s="1"/>
  <c r="O145" i="93" a="1"/>
  <c r="O145" i="93" s="1"/>
  <c r="N145" i="93" a="1"/>
  <c r="N145" i="93" s="1"/>
  <c r="M145" i="93" a="1"/>
  <c r="M145" i="93" s="1"/>
  <c r="L145" i="93" a="1"/>
  <c r="L145" i="93" s="1"/>
  <c r="K145" i="93" a="1"/>
  <c r="K145" i="93" s="1"/>
  <c r="J145" i="93" a="1"/>
  <c r="J145" i="93" s="1"/>
  <c r="I145" i="93" a="1"/>
  <c r="I145" i="93" s="1"/>
  <c r="H145" i="93" a="1"/>
  <c r="H145" i="93" s="1"/>
  <c r="G145" i="93" a="1"/>
  <c r="G145" i="93" s="1"/>
  <c r="F145" i="93" a="1"/>
  <c r="F145" i="93" s="1"/>
  <c r="E145" i="93" a="1"/>
  <c r="E145" i="93" s="1"/>
  <c r="D145" i="93" a="1"/>
  <c r="D145" i="93" s="1"/>
  <c r="AE144" i="93" a="1"/>
  <c r="AE144" i="93" s="1"/>
  <c r="AD144" i="93" a="1"/>
  <c r="AD144" i="93" s="1"/>
  <c r="AC144" i="93" a="1"/>
  <c r="AC144" i="93" s="1"/>
  <c r="AB144" i="93" a="1"/>
  <c r="AB144" i="93" s="1"/>
  <c r="AA144" i="93" a="1"/>
  <c r="AA144" i="93" s="1"/>
  <c r="Z144" i="93" a="1"/>
  <c r="Z144" i="93" s="1"/>
  <c r="Y144" i="93" a="1"/>
  <c r="Y144" i="93" s="1"/>
  <c r="X144" i="93" a="1"/>
  <c r="X144" i="93" s="1"/>
  <c r="W144" i="93" a="1"/>
  <c r="W144" i="93" s="1"/>
  <c r="V144" i="93" a="1"/>
  <c r="V144" i="93" s="1"/>
  <c r="U144" i="93" a="1"/>
  <c r="U144" i="93" s="1"/>
  <c r="T144" i="93" a="1"/>
  <c r="T144" i="93" s="1"/>
  <c r="S144" i="93" a="1"/>
  <c r="S144" i="93" s="1"/>
  <c r="R144" i="93" a="1"/>
  <c r="R144" i="93" s="1"/>
  <c r="Q144" i="93" a="1"/>
  <c r="Q144" i="93" s="1"/>
  <c r="P144" i="93" a="1"/>
  <c r="P144" i="93" s="1"/>
  <c r="O144" i="93" a="1"/>
  <c r="O144" i="93" s="1"/>
  <c r="N144" i="93" a="1"/>
  <c r="N144" i="93" s="1"/>
  <c r="M144" i="93" a="1"/>
  <c r="M144" i="93" s="1"/>
  <c r="L144" i="93" a="1"/>
  <c r="L144" i="93" s="1"/>
  <c r="K144" i="93" a="1"/>
  <c r="K144" i="93" s="1"/>
  <c r="J144" i="93" a="1"/>
  <c r="J144" i="93" s="1"/>
  <c r="I144" i="93" a="1"/>
  <c r="I144" i="93" s="1"/>
  <c r="H144" i="93" a="1"/>
  <c r="H144" i="93" s="1"/>
  <c r="G144" i="93" a="1"/>
  <c r="G144" i="93" s="1"/>
  <c r="F144" i="93" a="1"/>
  <c r="F144" i="93" s="1"/>
  <c r="E144" i="93" a="1"/>
  <c r="E144" i="93" s="1"/>
  <c r="D144" i="93" a="1"/>
  <c r="D144" i="93" s="1"/>
  <c r="AE143" i="93" a="1"/>
  <c r="AE143" i="93" s="1"/>
  <c r="AD143" i="93" a="1"/>
  <c r="AD143" i="93" s="1"/>
  <c r="AC143" i="93" a="1"/>
  <c r="AC143" i="93" s="1"/>
  <c r="AB143" i="93" a="1"/>
  <c r="AB143" i="93" s="1"/>
  <c r="AA143" i="93" a="1"/>
  <c r="AA143" i="93" s="1"/>
  <c r="Z143" i="93" a="1"/>
  <c r="Z143" i="93" s="1"/>
  <c r="Y143" i="93" a="1"/>
  <c r="Y143" i="93" s="1"/>
  <c r="X143" i="93" a="1"/>
  <c r="X143" i="93" s="1"/>
  <c r="W143" i="93" a="1"/>
  <c r="W143" i="93" s="1"/>
  <c r="V143" i="93" a="1"/>
  <c r="V143" i="93" s="1"/>
  <c r="U143" i="93" a="1"/>
  <c r="U143" i="93" s="1"/>
  <c r="T143" i="93" a="1"/>
  <c r="T143" i="93" s="1"/>
  <c r="S143" i="93" a="1"/>
  <c r="S143" i="93" s="1"/>
  <c r="R143" i="93" a="1"/>
  <c r="R143" i="93" s="1"/>
  <c r="Q143" i="93" a="1"/>
  <c r="Q143" i="93" s="1"/>
  <c r="P143" i="93" a="1"/>
  <c r="P143" i="93" s="1"/>
  <c r="O143" i="93" a="1"/>
  <c r="O143" i="93" s="1"/>
  <c r="N143" i="93" a="1"/>
  <c r="N143" i="93" s="1"/>
  <c r="M143" i="93" a="1"/>
  <c r="M143" i="93" s="1"/>
  <c r="L143" i="93" a="1"/>
  <c r="L143" i="93" s="1"/>
  <c r="K143" i="93" a="1"/>
  <c r="K143" i="93" s="1"/>
  <c r="J143" i="93" a="1"/>
  <c r="J143" i="93" s="1"/>
  <c r="I143" i="93" a="1"/>
  <c r="I143" i="93" s="1"/>
  <c r="H143" i="93" a="1"/>
  <c r="H143" i="93" s="1"/>
  <c r="G143" i="93" a="1"/>
  <c r="G143" i="93" s="1"/>
  <c r="F143" i="93" a="1"/>
  <c r="F143" i="93" s="1"/>
  <c r="E143" i="93" a="1"/>
  <c r="E143" i="93" s="1"/>
  <c r="D143" i="93" a="1"/>
  <c r="D143" i="93" s="1"/>
  <c r="AE142" i="93" a="1"/>
  <c r="AE142" i="93" s="1"/>
  <c r="AD142" i="93" a="1"/>
  <c r="AD142" i="93" s="1"/>
  <c r="AC142" i="93" a="1"/>
  <c r="AC142" i="93" s="1"/>
  <c r="AB142" i="93" a="1"/>
  <c r="AB142" i="93" s="1"/>
  <c r="AA142" i="93" a="1"/>
  <c r="AA142" i="93" s="1"/>
  <c r="Z142" i="93" a="1"/>
  <c r="Z142" i="93" s="1"/>
  <c r="Y142" i="93" a="1"/>
  <c r="Y142" i="93" s="1"/>
  <c r="X142" i="93" a="1"/>
  <c r="X142" i="93" s="1"/>
  <c r="W142" i="93" a="1"/>
  <c r="W142" i="93" s="1"/>
  <c r="V142" i="93" a="1"/>
  <c r="V142" i="93" s="1"/>
  <c r="U142" i="93" a="1"/>
  <c r="U142" i="93" s="1"/>
  <c r="T142" i="93" a="1"/>
  <c r="T142" i="93" s="1"/>
  <c r="S142" i="93" a="1"/>
  <c r="S142" i="93" s="1"/>
  <c r="R142" i="93" a="1"/>
  <c r="R142" i="93" s="1"/>
  <c r="Q142" i="93" a="1"/>
  <c r="Q142" i="93" s="1"/>
  <c r="P142" i="93" a="1"/>
  <c r="P142" i="93" s="1"/>
  <c r="O142" i="93" a="1"/>
  <c r="O142" i="93" s="1"/>
  <c r="N142" i="93" a="1"/>
  <c r="N142" i="93" s="1"/>
  <c r="M142" i="93" a="1"/>
  <c r="M142" i="93" s="1"/>
  <c r="L142" i="93" a="1"/>
  <c r="L142" i="93" s="1"/>
  <c r="K142" i="93" a="1"/>
  <c r="K142" i="93" s="1"/>
  <c r="J142" i="93" a="1"/>
  <c r="J142" i="93" s="1"/>
  <c r="I142" i="93" a="1"/>
  <c r="I142" i="93" s="1"/>
  <c r="H142" i="93" a="1"/>
  <c r="H142" i="93" s="1"/>
  <c r="G142" i="93" a="1"/>
  <c r="G142" i="93" s="1"/>
  <c r="F142" i="93" a="1"/>
  <c r="F142" i="93" s="1"/>
  <c r="E142" i="93" a="1"/>
  <c r="E142" i="93" s="1"/>
  <c r="D142" i="93" a="1"/>
  <c r="D142" i="93" s="1"/>
  <c r="AE141" i="93" a="1"/>
  <c r="AE141" i="93" s="1"/>
  <c r="AD141" i="93" a="1"/>
  <c r="AD141" i="93" s="1"/>
  <c r="AC141" i="93" a="1"/>
  <c r="AC141" i="93" s="1"/>
  <c r="AB141" i="93" a="1"/>
  <c r="AB141" i="93" s="1"/>
  <c r="AA141" i="93" a="1"/>
  <c r="AA141" i="93" s="1"/>
  <c r="Z141" i="93" a="1"/>
  <c r="Z141" i="93" s="1"/>
  <c r="Y141" i="93" a="1"/>
  <c r="Y141" i="93" s="1"/>
  <c r="X141" i="93" a="1"/>
  <c r="X141" i="93" s="1"/>
  <c r="W141" i="93" a="1"/>
  <c r="W141" i="93" s="1"/>
  <c r="V141" i="93" a="1"/>
  <c r="V141" i="93" s="1"/>
  <c r="U141" i="93" a="1"/>
  <c r="U141" i="93" s="1"/>
  <c r="T141" i="93" a="1"/>
  <c r="T141" i="93" s="1"/>
  <c r="S141" i="93" a="1"/>
  <c r="S141" i="93" s="1"/>
  <c r="R141" i="93" a="1"/>
  <c r="R141" i="93" s="1"/>
  <c r="Q141" i="93" a="1"/>
  <c r="Q141" i="93" s="1"/>
  <c r="P141" i="93" a="1"/>
  <c r="P141" i="93" s="1"/>
  <c r="O141" i="93" a="1"/>
  <c r="O141" i="93" s="1"/>
  <c r="N141" i="93" a="1"/>
  <c r="N141" i="93" s="1"/>
  <c r="M141" i="93" a="1"/>
  <c r="M141" i="93" s="1"/>
  <c r="L141" i="93" a="1"/>
  <c r="L141" i="93" s="1"/>
  <c r="K141" i="93" a="1"/>
  <c r="K141" i="93" s="1"/>
  <c r="J141" i="93" a="1"/>
  <c r="J141" i="93" s="1"/>
  <c r="I141" i="93" a="1"/>
  <c r="I141" i="93" s="1"/>
  <c r="H141" i="93" a="1"/>
  <c r="H141" i="93" s="1"/>
  <c r="G141" i="93" a="1"/>
  <c r="G141" i="93" s="1"/>
  <c r="F141" i="93" a="1"/>
  <c r="F141" i="93" s="1"/>
  <c r="E141" i="93" a="1"/>
  <c r="E141" i="93" s="1"/>
  <c r="D141" i="93" a="1"/>
  <c r="D141" i="93" s="1"/>
  <c r="AE140" i="93" a="1"/>
  <c r="AE140" i="93" s="1"/>
  <c r="AD140" i="93" a="1"/>
  <c r="AD140" i="93" s="1"/>
  <c r="AC140" i="93" a="1"/>
  <c r="AC140" i="93" s="1"/>
  <c r="AB140" i="93" a="1"/>
  <c r="AB140" i="93" s="1"/>
  <c r="AA140" i="93" a="1"/>
  <c r="AA140" i="93" s="1"/>
  <c r="Z140" i="93" a="1"/>
  <c r="Z140" i="93" s="1"/>
  <c r="Y140" i="93" a="1"/>
  <c r="Y140" i="93" s="1"/>
  <c r="X140" i="93" a="1"/>
  <c r="X140" i="93" s="1"/>
  <c r="W140" i="93" a="1"/>
  <c r="W140" i="93" s="1"/>
  <c r="V140" i="93" a="1"/>
  <c r="V140" i="93" s="1"/>
  <c r="U140" i="93" a="1"/>
  <c r="U140" i="93" s="1"/>
  <c r="T140" i="93" a="1"/>
  <c r="T140" i="93" s="1"/>
  <c r="S140" i="93" a="1"/>
  <c r="S140" i="93" s="1"/>
  <c r="R140" i="93" a="1"/>
  <c r="R140" i="93" s="1"/>
  <c r="Q140" i="93" a="1"/>
  <c r="Q140" i="93" s="1"/>
  <c r="P140" i="93" a="1"/>
  <c r="P140" i="93" s="1"/>
  <c r="O140" i="93" a="1"/>
  <c r="O140" i="93" s="1"/>
  <c r="N140" i="93" a="1"/>
  <c r="N140" i="93" s="1"/>
  <c r="M140" i="93" a="1"/>
  <c r="M140" i="93" s="1"/>
  <c r="L140" i="93" a="1"/>
  <c r="L140" i="93" s="1"/>
  <c r="K140" i="93" a="1"/>
  <c r="K140" i="93" s="1"/>
  <c r="J140" i="93" a="1"/>
  <c r="J140" i="93" s="1"/>
  <c r="I140" i="93" a="1"/>
  <c r="I140" i="93" s="1"/>
  <c r="H140" i="93" a="1"/>
  <c r="H140" i="93" s="1"/>
  <c r="G140" i="93" a="1"/>
  <c r="G140" i="93" s="1"/>
  <c r="F140" i="93" a="1"/>
  <c r="F140" i="93" s="1"/>
  <c r="E140" i="93" a="1"/>
  <c r="E140" i="93" s="1"/>
  <c r="D140" i="93" a="1"/>
  <c r="D140" i="93" s="1"/>
  <c r="AE139" i="93" a="1"/>
  <c r="AE139" i="93" s="1"/>
  <c r="AD139" i="93" a="1"/>
  <c r="AD139" i="93" s="1"/>
  <c r="AC139" i="93" a="1"/>
  <c r="AC139" i="93" s="1"/>
  <c r="AB139" i="93" a="1"/>
  <c r="AB139" i="93" s="1"/>
  <c r="AA139" i="93" a="1"/>
  <c r="AA139" i="93" s="1"/>
  <c r="Z139" i="93" a="1"/>
  <c r="Z139" i="93" s="1"/>
  <c r="Y139" i="93" a="1"/>
  <c r="Y139" i="93" s="1"/>
  <c r="X139" i="93" a="1"/>
  <c r="X139" i="93" s="1"/>
  <c r="W139" i="93" a="1"/>
  <c r="W139" i="93" s="1"/>
  <c r="V139" i="93" a="1"/>
  <c r="V139" i="93" s="1"/>
  <c r="U139" i="93" a="1"/>
  <c r="U139" i="93" s="1"/>
  <c r="T139" i="93" a="1"/>
  <c r="T139" i="93" s="1"/>
  <c r="S139" i="93" a="1"/>
  <c r="S139" i="93" s="1"/>
  <c r="R139" i="93" a="1"/>
  <c r="R139" i="93" s="1"/>
  <c r="Q139" i="93" a="1"/>
  <c r="Q139" i="93" s="1"/>
  <c r="P139" i="93" a="1"/>
  <c r="P139" i="93" s="1"/>
  <c r="O139" i="93" a="1"/>
  <c r="O139" i="93" s="1"/>
  <c r="N139" i="93" a="1"/>
  <c r="N139" i="93" s="1"/>
  <c r="M139" i="93" a="1"/>
  <c r="M139" i="93" s="1"/>
  <c r="L139" i="93" a="1"/>
  <c r="L139" i="93" s="1"/>
  <c r="K139" i="93" a="1"/>
  <c r="K139" i="93" s="1"/>
  <c r="J139" i="93" a="1"/>
  <c r="J139" i="93" s="1"/>
  <c r="I139" i="93" a="1"/>
  <c r="I139" i="93" s="1"/>
  <c r="H139" i="93" a="1"/>
  <c r="H139" i="93" s="1"/>
  <c r="G139" i="93" a="1"/>
  <c r="G139" i="93" s="1"/>
  <c r="F139" i="93" a="1"/>
  <c r="F139" i="93" s="1"/>
  <c r="E139" i="93" a="1"/>
  <c r="E139" i="93" s="1"/>
  <c r="D139" i="93" a="1"/>
  <c r="D139" i="93" s="1"/>
  <c r="AE138" i="93" a="1"/>
  <c r="AE138" i="93" s="1"/>
  <c r="AD138" i="93" a="1"/>
  <c r="AD138" i="93" s="1"/>
  <c r="AC138" i="93" a="1"/>
  <c r="AC138" i="93" s="1"/>
  <c r="AB138" i="93" a="1"/>
  <c r="AB138" i="93" s="1"/>
  <c r="AA138" i="93" a="1"/>
  <c r="AA138" i="93" s="1"/>
  <c r="Z138" i="93" a="1"/>
  <c r="Z138" i="93" s="1"/>
  <c r="Y138" i="93" a="1"/>
  <c r="Y138" i="93" s="1"/>
  <c r="X138" i="93" a="1"/>
  <c r="X138" i="93" s="1"/>
  <c r="W138" i="93" a="1"/>
  <c r="W138" i="93" s="1"/>
  <c r="V138" i="93" a="1"/>
  <c r="V138" i="93" s="1"/>
  <c r="U138" i="93" a="1"/>
  <c r="U138" i="93" s="1"/>
  <c r="T138" i="93" a="1"/>
  <c r="T138" i="93" s="1"/>
  <c r="S138" i="93" a="1"/>
  <c r="S138" i="93" s="1"/>
  <c r="R138" i="93" a="1"/>
  <c r="R138" i="93" s="1"/>
  <c r="Q138" i="93" a="1"/>
  <c r="Q138" i="93" s="1"/>
  <c r="P138" i="93" a="1"/>
  <c r="P138" i="93" s="1"/>
  <c r="O138" i="93" a="1"/>
  <c r="O138" i="93" s="1"/>
  <c r="N138" i="93" a="1"/>
  <c r="N138" i="93" s="1"/>
  <c r="M138" i="93" a="1"/>
  <c r="M138" i="93" s="1"/>
  <c r="L138" i="93" a="1"/>
  <c r="L138" i="93" s="1"/>
  <c r="K138" i="93" a="1"/>
  <c r="K138" i="93" s="1"/>
  <c r="J138" i="93" a="1"/>
  <c r="J138" i="93" s="1"/>
  <c r="I138" i="93" a="1"/>
  <c r="I138" i="93" s="1"/>
  <c r="H138" i="93" a="1"/>
  <c r="H138" i="93" s="1"/>
  <c r="G138" i="93" a="1"/>
  <c r="G138" i="93" s="1"/>
  <c r="F138" i="93" a="1"/>
  <c r="F138" i="93" s="1"/>
  <c r="E138" i="93" a="1"/>
  <c r="E138" i="93" s="1"/>
  <c r="D138" i="93" a="1"/>
  <c r="D138" i="93" s="1"/>
  <c r="AE137" i="93" a="1"/>
  <c r="AE137" i="93" s="1"/>
  <c r="AD137" i="93" a="1"/>
  <c r="AD137" i="93" s="1"/>
  <c r="AC137" i="93" a="1"/>
  <c r="AC137" i="93" s="1"/>
  <c r="AB137" i="93" a="1"/>
  <c r="AB137" i="93" s="1"/>
  <c r="AA137" i="93" a="1"/>
  <c r="AA137" i="93" s="1"/>
  <c r="Z137" i="93" a="1"/>
  <c r="Z137" i="93" s="1"/>
  <c r="Y137" i="93" a="1"/>
  <c r="Y137" i="93" s="1"/>
  <c r="X137" i="93" a="1"/>
  <c r="X137" i="93" s="1"/>
  <c r="W137" i="93" a="1"/>
  <c r="W137" i="93" s="1"/>
  <c r="V137" i="93" a="1"/>
  <c r="V137" i="93" s="1"/>
  <c r="U137" i="93" a="1"/>
  <c r="U137" i="93" s="1"/>
  <c r="T137" i="93" a="1"/>
  <c r="T137" i="93" s="1"/>
  <c r="S137" i="93" a="1"/>
  <c r="S137" i="93" s="1"/>
  <c r="R137" i="93" a="1"/>
  <c r="R137" i="93" s="1"/>
  <c r="Q137" i="93" a="1"/>
  <c r="Q137" i="93" s="1"/>
  <c r="P137" i="93" a="1"/>
  <c r="P137" i="93" s="1"/>
  <c r="O137" i="93" a="1"/>
  <c r="O137" i="93" s="1"/>
  <c r="N137" i="93" a="1"/>
  <c r="N137" i="93" s="1"/>
  <c r="M137" i="93" a="1"/>
  <c r="M137" i="93" s="1"/>
  <c r="L137" i="93" a="1"/>
  <c r="L137" i="93" s="1"/>
  <c r="K137" i="93" a="1"/>
  <c r="K137" i="93" s="1"/>
  <c r="J137" i="93" a="1"/>
  <c r="J137" i="93" s="1"/>
  <c r="I137" i="93" a="1"/>
  <c r="I137" i="93" s="1"/>
  <c r="H137" i="93" a="1"/>
  <c r="H137" i="93" s="1"/>
  <c r="G137" i="93" a="1"/>
  <c r="G137" i="93" s="1"/>
  <c r="F137" i="93" a="1"/>
  <c r="F137" i="93" s="1"/>
  <c r="E137" i="93" a="1"/>
  <c r="E137" i="93" s="1"/>
  <c r="D137" i="93" a="1"/>
  <c r="D137" i="93" s="1"/>
  <c r="AE136" i="93" a="1"/>
  <c r="AE136" i="93" s="1"/>
  <c r="AD136" i="93" a="1"/>
  <c r="AD136" i="93" s="1"/>
  <c r="AC136" i="93" a="1"/>
  <c r="AC136" i="93" s="1"/>
  <c r="AB136" i="93" a="1"/>
  <c r="AB136" i="93" s="1"/>
  <c r="AA136" i="93" a="1"/>
  <c r="AA136" i="93" s="1"/>
  <c r="Z136" i="93" a="1"/>
  <c r="Z136" i="93" s="1"/>
  <c r="Y136" i="93" a="1"/>
  <c r="Y136" i="93" s="1"/>
  <c r="X136" i="93" a="1"/>
  <c r="X136" i="93" s="1"/>
  <c r="W136" i="93" a="1"/>
  <c r="W136" i="93" s="1"/>
  <c r="V136" i="93" a="1"/>
  <c r="V136" i="93" s="1"/>
  <c r="U136" i="93" a="1"/>
  <c r="U136" i="93" s="1"/>
  <c r="T136" i="93" a="1"/>
  <c r="T136" i="93" s="1"/>
  <c r="S136" i="93" a="1"/>
  <c r="S136" i="93" s="1"/>
  <c r="R136" i="93" a="1"/>
  <c r="R136" i="93" s="1"/>
  <c r="Q136" i="93" a="1"/>
  <c r="Q136" i="93" s="1"/>
  <c r="P136" i="93" a="1"/>
  <c r="P136" i="93" s="1"/>
  <c r="O136" i="93" a="1"/>
  <c r="O136" i="93" s="1"/>
  <c r="N136" i="93" a="1"/>
  <c r="N136" i="93" s="1"/>
  <c r="M136" i="93" a="1"/>
  <c r="M136" i="93" s="1"/>
  <c r="L136" i="93" a="1"/>
  <c r="L136" i="93" s="1"/>
  <c r="K136" i="93" a="1"/>
  <c r="K136" i="93" s="1"/>
  <c r="J136" i="93" a="1"/>
  <c r="J136" i="93" s="1"/>
  <c r="I136" i="93" a="1"/>
  <c r="I136" i="93" s="1"/>
  <c r="H136" i="93" a="1"/>
  <c r="H136" i="93" s="1"/>
  <c r="G136" i="93" a="1"/>
  <c r="G136" i="93" s="1"/>
  <c r="F136" i="93" a="1"/>
  <c r="F136" i="93" s="1"/>
  <c r="E136" i="93" a="1"/>
  <c r="E136" i="93" s="1"/>
  <c r="D136" i="93" a="1"/>
  <c r="D136" i="93" s="1"/>
  <c r="AE135" i="93" a="1"/>
  <c r="AE135" i="93" s="1"/>
  <c r="AD135" i="93" a="1"/>
  <c r="AD135" i="93" s="1"/>
  <c r="AC135" i="93" a="1"/>
  <c r="AC135" i="93" s="1"/>
  <c r="AB135" i="93" a="1"/>
  <c r="AB135" i="93" s="1"/>
  <c r="AA135" i="93" a="1"/>
  <c r="AA135" i="93" s="1"/>
  <c r="Z135" i="93" a="1"/>
  <c r="Z135" i="93" s="1"/>
  <c r="Y135" i="93" a="1"/>
  <c r="Y135" i="93" s="1"/>
  <c r="X135" i="93" a="1"/>
  <c r="X135" i="93" s="1"/>
  <c r="W135" i="93" a="1"/>
  <c r="W135" i="93" s="1"/>
  <c r="V135" i="93" a="1"/>
  <c r="V135" i="93" s="1"/>
  <c r="U135" i="93" a="1"/>
  <c r="U135" i="93" s="1"/>
  <c r="T135" i="93" a="1"/>
  <c r="T135" i="93" s="1"/>
  <c r="S135" i="93" a="1"/>
  <c r="S135" i="93" s="1"/>
  <c r="R135" i="93" a="1"/>
  <c r="R135" i="93" s="1"/>
  <c r="Q135" i="93" a="1"/>
  <c r="Q135" i="93" s="1"/>
  <c r="P135" i="93" a="1"/>
  <c r="P135" i="93" s="1"/>
  <c r="O135" i="93" a="1"/>
  <c r="O135" i="93" s="1"/>
  <c r="N135" i="93" a="1"/>
  <c r="N135" i="93" s="1"/>
  <c r="M135" i="93" a="1"/>
  <c r="M135" i="93" s="1"/>
  <c r="L135" i="93" a="1"/>
  <c r="L135" i="93" s="1"/>
  <c r="K135" i="93" a="1"/>
  <c r="K135" i="93" s="1"/>
  <c r="J135" i="93" a="1"/>
  <c r="J135" i="93" s="1"/>
  <c r="I135" i="93" a="1"/>
  <c r="I135" i="93" s="1"/>
  <c r="H135" i="93" a="1"/>
  <c r="H135" i="93" s="1"/>
  <c r="G135" i="93" a="1"/>
  <c r="G135" i="93" s="1"/>
  <c r="F135" i="93" a="1"/>
  <c r="F135" i="93" s="1"/>
  <c r="E135" i="93" a="1"/>
  <c r="E135" i="93" s="1"/>
  <c r="D135" i="93" a="1"/>
  <c r="D135" i="93" s="1"/>
  <c r="AE134" i="93" a="1"/>
  <c r="AE134" i="93" s="1"/>
  <c r="AD134" i="93" a="1"/>
  <c r="AD134" i="93" s="1"/>
  <c r="AC134" i="93" a="1"/>
  <c r="AC134" i="93" s="1"/>
  <c r="AB134" i="93" a="1"/>
  <c r="AB134" i="93" s="1"/>
  <c r="AA134" i="93" a="1"/>
  <c r="AA134" i="93" s="1"/>
  <c r="Z134" i="93" a="1"/>
  <c r="Z134" i="93" s="1"/>
  <c r="Y134" i="93" a="1"/>
  <c r="Y134" i="93" s="1"/>
  <c r="X134" i="93" a="1"/>
  <c r="X134" i="93" s="1"/>
  <c r="W134" i="93" a="1"/>
  <c r="W134" i="93" s="1"/>
  <c r="V134" i="93" a="1"/>
  <c r="V134" i="93" s="1"/>
  <c r="U134" i="93" a="1"/>
  <c r="U134" i="93" s="1"/>
  <c r="T134" i="93" a="1"/>
  <c r="T134" i="93" s="1"/>
  <c r="S134" i="93" a="1"/>
  <c r="S134" i="93" s="1"/>
  <c r="R134" i="93" a="1"/>
  <c r="R134" i="93" s="1"/>
  <c r="Q134" i="93" a="1"/>
  <c r="Q134" i="93" s="1"/>
  <c r="P134" i="93" a="1"/>
  <c r="P134" i="93" s="1"/>
  <c r="O134" i="93" a="1"/>
  <c r="O134" i="93" s="1"/>
  <c r="N134" i="93" a="1"/>
  <c r="N134" i="93" s="1"/>
  <c r="M134" i="93" a="1"/>
  <c r="M134" i="93" s="1"/>
  <c r="L134" i="93" a="1"/>
  <c r="L134" i="93" s="1"/>
  <c r="K134" i="93" a="1"/>
  <c r="K134" i="93" s="1"/>
  <c r="J134" i="93" a="1"/>
  <c r="J134" i="93" s="1"/>
  <c r="I134" i="93" a="1"/>
  <c r="I134" i="93" s="1"/>
  <c r="H134" i="93" a="1"/>
  <c r="H134" i="93" s="1"/>
  <c r="G134" i="93" a="1"/>
  <c r="G134" i="93" s="1"/>
  <c r="F134" i="93" a="1"/>
  <c r="F134" i="93" s="1"/>
  <c r="E134" i="93" a="1"/>
  <c r="E134" i="93" s="1"/>
  <c r="D134" i="93" a="1"/>
  <c r="D134" i="93" s="1"/>
  <c r="AE133" i="93" a="1"/>
  <c r="AE133" i="93" s="1"/>
  <c r="AD133" i="93" a="1"/>
  <c r="AD133" i="93" s="1"/>
  <c r="AC133" i="93" a="1"/>
  <c r="AC133" i="93" s="1"/>
  <c r="AB133" i="93" a="1"/>
  <c r="AB133" i="93" s="1"/>
  <c r="AA133" i="93" a="1"/>
  <c r="AA133" i="93" s="1"/>
  <c r="Z133" i="93" a="1"/>
  <c r="Z133" i="93" s="1"/>
  <c r="Y133" i="93" a="1"/>
  <c r="Y133" i="93" s="1"/>
  <c r="X133" i="93" a="1"/>
  <c r="X133" i="93" s="1"/>
  <c r="W133" i="93" a="1"/>
  <c r="W133" i="93" s="1"/>
  <c r="V133" i="93" a="1"/>
  <c r="V133" i="93" s="1"/>
  <c r="U133" i="93" a="1"/>
  <c r="U133" i="93" s="1"/>
  <c r="T133" i="93" a="1"/>
  <c r="T133" i="93" s="1"/>
  <c r="S133" i="93" a="1"/>
  <c r="S133" i="93" s="1"/>
  <c r="R133" i="93" a="1"/>
  <c r="R133" i="93" s="1"/>
  <c r="Q133" i="93" a="1"/>
  <c r="Q133" i="93" s="1"/>
  <c r="P133" i="93" a="1"/>
  <c r="P133" i="93" s="1"/>
  <c r="O133" i="93" a="1"/>
  <c r="O133" i="93" s="1"/>
  <c r="N133" i="93" a="1"/>
  <c r="N133" i="93" s="1"/>
  <c r="M133" i="93" a="1"/>
  <c r="M133" i="93" s="1"/>
  <c r="L133" i="93" a="1"/>
  <c r="L133" i="93" s="1"/>
  <c r="K133" i="93" a="1"/>
  <c r="K133" i="93" s="1"/>
  <c r="J133" i="93" a="1"/>
  <c r="J133" i="93" s="1"/>
  <c r="I133" i="93" a="1"/>
  <c r="I133" i="93" s="1"/>
  <c r="H133" i="93" a="1"/>
  <c r="H133" i="93" s="1"/>
  <c r="G133" i="93" a="1"/>
  <c r="G133" i="93" s="1"/>
  <c r="F133" i="93" a="1"/>
  <c r="F133" i="93" s="1"/>
  <c r="E133" i="93" a="1"/>
  <c r="E133" i="93" s="1"/>
  <c r="D133" i="93" a="1"/>
  <c r="D133" i="93" s="1"/>
  <c r="AE132" i="93" a="1"/>
  <c r="AE132" i="93" s="1"/>
  <c r="AD132" i="93" a="1"/>
  <c r="AD132" i="93" s="1"/>
  <c r="AC132" i="93" a="1"/>
  <c r="AC132" i="93" s="1"/>
  <c r="AB132" i="93" a="1"/>
  <c r="AB132" i="93" s="1"/>
  <c r="AA132" i="93" a="1"/>
  <c r="AA132" i="93" s="1"/>
  <c r="Z132" i="93" a="1"/>
  <c r="Z132" i="93" s="1"/>
  <c r="Y132" i="93" a="1"/>
  <c r="Y132" i="93" s="1"/>
  <c r="X132" i="93" a="1"/>
  <c r="X132" i="93" s="1"/>
  <c r="W132" i="93" a="1"/>
  <c r="W132" i="93" s="1"/>
  <c r="V132" i="93" a="1"/>
  <c r="V132" i="93" s="1"/>
  <c r="U132" i="93" a="1"/>
  <c r="U132" i="93" s="1"/>
  <c r="T132" i="93" a="1"/>
  <c r="T132" i="93" s="1"/>
  <c r="S132" i="93" a="1"/>
  <c r="S132" i="93" s="1"/>
  <c r="R132" i="93" a="1"/>
  <c r="R132" i="93" s="1"/>
  <c r="Q132" i="93" a="1"/>
  <c r="Q132" i="93" s="1"/>
  <c r="P132" i="93" a="1"/>
  <c r="P132" i="93" s="1"/>
  <c r="O132" i="93" a="1"/>
  <c r="O132" i="93" s="1"/>
  <c r="N132" i="93" a="1"/>
  <c r="N132" i="93" s="1"/>
  <c r="M132" i="93" a="1"/>
  <c r="M132" i="93" s="1"/>
  <c r="L132" i="93" a="1"/>
  <c r="L132" i="93" s="1"/>
  <c r="K132" i="93" a="1"/>
  <c r="K132" i="93" s="1"/>
  <c r="J132" i="93" a="1"/>
  <c r="J132" i="93" s="1"/>
  <c r="I132" i="93" a="1"/>
  <c r="I132" i="93" s="1"/>
  <c r="H132" i="93" a="1"/>
  <c r="H132" i="93" s="1"/>
  <c r="G132" i="93" a="1"/>
  <c r="G132" i="93" s="1"/>
  <c r="F132" i="93" a="1"/>
  <c r="F132" i="93" s="1"/>
  <c r="E132" i="93" a="1"/>
  <c r="E132" i="93" s="1"/>
  <c r="D132" i="93" a="1"/>
  <c r="D132" i="93" s="1"/>
  <c r="AE131" i="93" a="1"/>
  <c r="AE131" i="93" s="1"/>
  <c r="AD131" i="93" a="1"/>
  <c r="AD131" i="93" s="1"/>
  <c r="AC131" i="93" a="1"/>
  <c r="AC131" i="93" s="1"/>
  <c r="AB131" i="93" a="1"/>
  <c r="AB131" i="93" s="1"/>
  <c r="AA131" i="93" a="1"/>
  <c r="AA131" i="93" s="1"/>
  <c r="Z131" i="93" a="1"/>
  <c r="Z131" i="93" s="1"/>
  <c r="Y131" i="93" a="1"/>
  <c r="Y131" i="93" s="1"/>
  <c r="X131" i="93" a="1"/>
  <c r="X131" i="93" s="1"/>
  <c r="W131" i="93" a="1"/>
  <c r="W131" i="93" s="1"/>
  <c r="V131" i="93" a="1"/>
  <c r="V131" i="93" s="1"/>
  <c r="U131" i="93" a="1"/>
  <c r="U131" i="93" s="1"/>
  <c r="T131" i="93" a="1"/>
  <c r="T131" i="93" s="1"/>
  <c r="S131" i="93" a="1"/>
  <c r="S131" i="93" s="1"/>
  <c r="R131" i="93" a="1"/>
  <c r="R131" i="93" s="1"/>
  <c r="Q131" i="93" a="1"/>
  <c r="Q131" i="93" s="1"/>
  <c r="P131" i="93" a="1"/>
  <c r="P131" i="93" s="1"/>
  <c r="O131" i="93" a="1"/>
  <c r="O131" i="93" s="1"/>
  <c r="N131" i="93" a="1"/>
  <c r="N131" i="93" s="1"/>
  <c r="M131" i="93" a="1"/>
  <c r="M131" i="93" s="1"/>
  <c r="L131" i="93" a="1"/>
  <c r="L131" i="93" s="1"/>
  <c r="K131" i="93" a="1"/>
  <c r="K131" i="93" s="1"/>
  <c r="J131" i="93" a="1"/>
  <c r="J131" i="93" s="1"/>
  <c r="I131" i="93" a="1"/>
  <c r="I131" i="93" s="1"/>
  <c r="H131" i="93" a="1"/>
  <c r="H131" i="93" s="1"/>
  <c r="G131" i="93" a="1"/>
  <c r="G131" i="93" s="1"/>
  <c r="F131" i="93" a="1"/>
  <c r="F131" i="93" s="1"/>
  <c r="E131" i="93" a="1"/>
  <c r="E131" i="93" s="1"/>
  <c r="D131" i="93" a="1"/>
  <c r="D131" i="93" s="1"/>
  <c r="AE130" i="93" a="1"/>
  <c r="AE130" i="93" s="1"/>
  <c r="AD130" i="93" a="1"/>
  <c r="AD130" i="93" s="1"/>
  <c r="AC130" i="93" a="1"/>
  <c r="AC130" i="93" s="1"/>
  <c r="AB130" i="93" a="1"/>
  <c r="AB130" i="93" s="1"/>
  <c r="AA130" i="93" a="1"/>
  <c r="AA130" i="93" s="1"/>
  <c r="Z130" i="93" a="1"/>
  <c r="Z130" i="93" s="1"/>
  <c r="Y130" i="93" a="1"/>
  <c r="Y130" i="93" s="1"/>
  <c r="X130" i="93" a="1"/>
  <c r="X130" i="93" s="1"/>
  <c r="W130" i="93" a="1"/>
  <c r="W130" i="93" s="1"/>
  <c r="V130" i="93" a="1"/>
  <c r="V130" i="93" s="1"/>
  <c r="U130" i="93" a="1"/>
  <c r="U130" i="93" s="1"/>
  <c r="T130" i="93" a="1"/>
  <c r="T130" i="93" s="1"/>
  <c r="S130" i="93" a="1"/>
  <c r="S130" i="93" s="1"/>
  <c r="R130" i="93" a="1"/>
  <c r="R130" i="93" s="1"/>
  <c r="Q130" i="93" a="1"/>
  <c r="Q130" i="93" s="1"/>
  <c r="P130" i="93" a="1"/>
  <c r="P130" i="93" s="1"/>
  <c r="O130" i="93" a="1"/>
  <c r="O130" i="93" s="1"/>
  <c r="N130" i="93" a="1"/>
  <c r="N130" i="93" s="1"/>
  <c r="M130" i="93" a="1"/>
  <c r="M130" i="93" s="1"/>
  <c r="L130" i="93" a="1"/>
  <c r="L130" i="93" s="1"/>
  <c r="K130" i="93" a="1"/>
  <c r="K130" i="93" s="1"/>
  <c r="J130" i="93" a="1"/>
  <c r="J130" i="93" s="1"/>
  <c r="I130" i="93" a="1"/>
  <c r="I130" i="93" s="1"/>
  <c r="H130" i="93" a="1"/>
  <c r="H130" i="93" s="1"/>
  <c r="G130" i="93" a="1"/>
  <c r="G130" i="93" s="1"/>
  <c r="F130" i="93" a="1"/>
  <c r="F130" i="93" s="1"/>
  <c r="E130" i="93" a="1"/>
  <c r="E130" i="93" s="1"/>
  <c r="D130" i="93" a="1"/>
  <c r="D130" i="93" s="1"/>
  <c r="AE129" i="93" a="1"/>
  <c r="AE129" i="93" s="1"/>
  <c r="AD129" i="93" a="1"/>
  <c r="AD129" i="93" s="1"/>
  <c r="AC129" i="93" a="1"/>
  <c r="AC129" i="93" s="1"/>
  <c r="AB129" i="93" a="1"/>
  <c r="AB129" i="93" s="1"/>
  <c r="AA129" i="93" a="1"/>
  <c r="AA129" i="93" s="1"/>
  <c r="Z129" i="93" a="1"/>
  <c r="Z129" i="93" s="1"/>
  <c r="Y129" i="93" a="1"/>
  <c r="Y129" i="93" s="1"/>
  <c r="X129" i="93" a="1"/>
  <c r="X129" i="93" s="1"/>
  <c r="W129" i="93" a="1"/>
  <c r="W129" i="93" s="1"/>
  <c r="V129" i="93" a="1"/>
  <c r="V129" i="93" s="1"/>
  <c r="U129" i="93" a="1"/>
  <c r="U129" i="93" s="1"/>
  <c r="T129" i="93" a="1"/>
  <c r="T129" i="93" s="1"/>
  <c r="S129" i="93" a="1"/>
  <c r="S129" i="93" s="1"/>
  <c r="R129" i="93" a="1"/>
  <c r="R129" i="93" s="1"/>
  <c r="Q129" i="93" a="1"/>
  <c r="Q129" i="93" s="1"/>
  <c r="P129" i="93" a="1"/>
  <c r="P129" i="93" s="1"/>
  <c r="O129" i="93" a="1"/>
  <c r="O129" i="93" s="1"/>
  <c r="N129" i="93" a="1"/>
  <c r="N129" i="93" s="1"/>
  <c r="M129" i="93" a="1"/>
  <c r="M129" i="93" s="1"/>
  <c r="L129" i="93" a="1"/>
  <c r="L129" i="93" s="1"/>
  <c r="K129" i="93" a="1"/>
  <c r="K129" i="93" s="1"/>
  <c r="J129" i="93" a="1"/>
  <c r="J129" i="93" s="1"/>
  <c r="I129" i="93" a="1"/>
  <c r="I129" i="93" s="1"/>
  <c r="H129" i="93" a="1"/>
  <c r="H129" i="93" s="1"/>
  <c r="G129" i="93" a="1"/>
  <c r="G129" i="93" s="1"/>
  <c r="F129" i="93" a="1"/>
  <c r="F129" i="93" s="1"/>
  <c r="E129" i="93" a="1"/>
  <c r="E129" i="93" s="1"/>
  <c r="D129" i="93" a="1"/>
  <c r="D129" i="93" s="1"/>
  <c r="AE128" i="93" a="1"/>
  <c r="AE128" i="93" s="1"/>
  <c r="AD128" i="93" a="1"/>
  <c r="AD128" i="93" s="1"/>
  <c r="AC128" i="93" a="1"/>
  <c r="AC128" i="93" s="1"/>
  <c r="AB128" i="93" a="1"/>
  <c r="AB128" i="93" s="1"/>
  <c r="AA128" i="93" a="1"/>
  <c r="AA128" i="93" s="1"/>
  <c r="Z128" i="93" a="1"/>
  <c r="Z128" i="93" s="1"/>
  <c r="Y128" i="93" a="1"/>
  <c r="Y128" i="93" s="1"/>
  <c r="X128" i="93" a="1"/>
  <c r="X128" i="93" s="1"/>
  <c r="W128" i="93" a="1"/>
  <c r="W128" i="93" s="1"/>
  <c r="V128" i="93" a="1"/>
  <c r="V128" i="93" s="1"/>
  <c r="U128" i="93" a="1"/>
  <c r="U128" i="93" s="1"/>
  <c r="T128" i="93" a="1"/>
  <c r="T128" i="93" s="1"/>
  <c r="S128" i="93" a="1"/>
  <c r="S128" i="93" s="1"/>
  <c r="R128" i="93" a="1"/>
  <c r="R128" i="93" s="1"/>
  <c r="Q128" i="93" a="1"/>
  <c r="Q128" i="93" s="1"/>
  <c r="P128" i="93" a="1"/>
  <c r="P128" i="93" s="1"/>
  <c r="O128" i="93" a="1"/>
  <c r="O128" i="93" s="1"/>
  <c r="N128" i="93" a="1"/>
  <c r="N128" i="93" s="1"/>
  <c r="M128" i="93" a="1"/>
  <c r="M128" i="93" s="1"/>
  <c r="L128" i="93" a="1"/>
  <c r="L128" i="93" s="1"/>
  <c r="K128" i="93" a="1"/>
  <c r="K128" i="93" s="1"/>
  <c r="J128" i="93" a="1"/>
  <c r="J128" i="93" s="1"/>
  <c r="I128" i="93" a="1"/>
  <c r="I128" i="93" s="1"/>
  <c r="H128" i="93" a="1"/>
  <c r="H128" i="93" s="1"/>
  <c r="G128" i="93" a="1"/>
  <c r="G128" i="93" s="1"/>
  <c r="F128" i="93" a="1"/>
  <c r="F128" i="93" s="1"/>
  <c r="E128" i="93" a="1"/>
  <c r="E128" i="93" s="1"/>
  <c r="D128" i="93" a="1"/>
  <c r="D128" i="93" s="1"/>
  <c r="AE127" i="93" a="1"/>
  <c r="AE127" i="93" s="1"/>
  <c r="AD127" i="93" a="1"/>
  <c r="AD127" i="93" s="1"/>
  <c r="AC127" i="93" a="1"/>
  <c r="AC127" i="93" s="1"/>
  <c r="AB127" i="93" a="1"/>
  <c r="AB127" i="93" s="1"/>
  <c r="AA127" i="93" a="1"/>
  <c r="AA127" i="93" s="1"/>
  <c r="Z127" i="93" a="1"/>
  <c r="Z127" i="93" s="1"/>
  <c r="Y127" i="93" a="1"/>
  <c r="Y127" i="93" s="1"/>
  <c r="X127" i="93" a="1"/>
  <c r="X127" i="93" s="1"/>
  <c r="W127" i="93" a="1"/>
  <c r="W127" i="93" s="1"/>
  <c r="V127" i="93" a="1"/>
  <c r="V127" i="93" s="1"/>
  <c r="U127" i="93" a="1"/>
  <c r="U127" i="93" s="1"/>
  <c r="T127" i="93" a="1"/>
  <c r="T127" i="93" s="1"/>
  <c r="S127" i="93" a="1"/>
  <c r="S127" i="93" s="1"/>
  <c r="R127" i="93" a="1"/>
  <c r="R127" i="93" s="1"/>
  <c r="Q127" i="93" a="1"/>
  <c r="Q127" i="93" s="1"/>
  <c r="P127" i="93" a="1"/>
  <c r="P127" i="93" s="1"/>
  <c r="O127" i="93" a="1"/>
  <c r="O127" i="93" s="1"/>
  <c r="N127" i="93" a="1"/>
  <c r="N127" i="93" s="1"/>
  <c r="M127" i="93" a="1"/>
  <c r="M127" i="93" s="1"/>
  <c r="L127" i="93" a="1"/>
  <c r="L127" i="93" s="1"/>
  <c r="K127" i="93" a="1"/>
  <c r="K127" i="93" s="1"/>
  <c r="J127" i="93" a="1"/>
  <c r="J127" i="93" s="1"/>
  <c r="I127" i="93" a="1"/>
  <c r="I127" i="93" s="1"/>
  <c r="H127" i="93" a="1"/>
  <c r="H127" i="93" s="1"/>
  <c r="G127" i="93" a="1"/>
  <c r="G127" i="93" s="1"/>
  <c r="F127" i="93" a="1"/>
  <c r="F127" i="93" s="1"/>
  <c r="E127" i="93" a="1"/>
  <c r="E127" i="93" s="1"/>
  <c r="D127" i="93" a="1"/>
  <c r="D127" i="93" s="1"/>
  <c r="AE126" i="93" a="1"/>
  <c r="AE126" i="93" s="1"/>
  <c r="AD126" i="93" a="1"/>
  <c r="AD126" i="93" s="1"/>
  <c r="AC126" i="93" a="1"/>
  <c r="AC126" i="93" s="1"/>
  <c r="AB126" i="93" a="1"/>
  <c r="AB126" i="93" s="1"/>
  <c r="AA126" i="93" a="1"/>
  <c r="AA126" i="93" s="1"/>
  <c r="Z126" i="93" a="1"/>
  <c r="Z126" i="93" s="1"/>
  <c r="Y126" i="93" a="1"/>
  <c r="Y126" i="93" s="1"/>
  <c r="X126" i="93" a="1"/>
  <c r="X126" i="93" s="1"/>
  <c r="W126" i="93" a="1"/>
  <c r="W126" i="93" s="1"/>
  <c r="V126" i="93" a="1"/>
  <c r="V126" i="93" s="1"/>
  <c r="U126" i="93" a="1"/>
  <c r="U126" i="93" s="1"/>
  <c r="T126" i="93" a="1"/>
  <c r="T126" i="93" s="1"/>
  <c r="S126" i="93" a="1"/>
  <c r="S126" i="93" s="1"/>
  <c r="R126" i="93" a="1"/>
  <c r="R126" i="93" s="1"/>
  <c r="Q126" i="93" a="1"/>
  <c r="Q126" i="93" s="1"/>
  <c r="P126" i="93" a="1"/>
  <c r="P126" i="93" s="1"/>
  <c r="O126" i="93" a="1"/>
  <c r="O126" i="93" s="1"/>
  <c r="N126" i="93" a="1"/>
  <c r="N126" i="93" s="1"/>
  <c r="M126" i="93" a="1"/>
  <c r="M126" i="93" s="1"/>
  <c r="L126" i="93" a="1"/>
  <c r="L126" i="93" s="1"/>
  <c r="K126" i="93" a="1"/>
  <c r="K126" i="93" s="1"/>
  <c r="J126" i="93" a="1"/>
  <c r="J126" i="93" s="1"/>
  <c r="I126" i="93" a="1"/>
  <c r="I126" i="93" s="1"/>
  <c r="H126" i="93" a="1"/>
  <c r="H126" i="93" s="1"/>
  <c r="G126" i="93" a="1"/>
  <c r="G126" i="93" s="1"/>
  <c r="F126" i="93" a="1"/>
  <c r="F126" i="93" s="1"/>
  <c r="E126" i="93" a="1"/>
  <c r="E126" i="93" s="1"/>
  <c r="D126" i="93" a="1"/>
  <c r="D126" i="93" s="1"/>
  <c r="AE125" i="93" a="1"/>
  <c r="AE125" i="93" s="1"/>
  <c r="AD125" i="93" a="1"/>
  <c r="AD125" i="93" s="1"/>
  <c r="AC125" i="93" a="1"/>
  <c r="AC125" i="93" s="1"/>
  <c r="AB125" i="93" a="1"/>
  <c r="AB125" i="93" s="1"/>
  <c r="AA125" i="93" a="1"/>
  <c r="AA125" i="93" s="1"/>
  <c r="Z125" i="93" a="1"/>
  <c r="Z125" i="93" s="1"/>
  <c r="Y125" i="93" a="1"/>
  <c r="Y125" i="93" s="1"/>
  <c r="X125" i="93" a="1"/>
  <c r="X125" i="93" s="1"/>
  <c r="W125" i="93" a="1"/>
  <c r="W125" i="93" s="1"/>
  <c r="V125" i="93" a="1"/>
  <c r="V125" i="93" s="1"/>
  <c r="U125" i="93" a="1"/>
  <c r="U125" i="93" s="1"/>
  <c r="T125" i="93" a="1"/>
  <c r="T125" i="93" s="1"/>
  <c r="S125" i="93" a="1"/>
  <c r="S125" i="93" s="1"/>
  <c r="R125" i="93" a="1"/>
  <c r="R125" i="93" s="1"/>
  <c r="Q125" i="93" a="1"/>
  <c r="Q125" i="93" s="1"/>
  <c r="P125" i="93" a="1"/>
  <c r="P125" i="93" s="1"/>
  <c r="O125" i="93" a="1"/>
  <c r="O125" i="93" s="1"/>
  <c r="N125" i="93" a="1"/>
  <c r="N125" i="93" s="1"/>
  <c r="M125" i="93" a="1"/>
  <c r="M125" i="93" s="1"/>
  <c r="L125" i="93" a="1"/>
  <c r="L125" i="93" s="1"/>
  <c r="K125" i="93" a="1"/>
  <c r="K125" i="93" s="1"/>
  <c r="J125" i="93" a="1"/>
  <c r="J125" i="93" s="1"/>
  <c r="I125" i="93" a="1"/>
  <c r="I125" i="93" s="1"/>
  <c r="H125" i="93" a="1"/>
  <c r="H125" i="93" s="1"/>
  <c r="G125" i="93" a="1"/>
  <c r="G125" i="93" s="1"/>
  <c r="F125" i="93" a="1"/>
  <c r="F125" i="93" s="1"/>
  <c r="E125" i="93" a="1"/>
  <c r="E125" i="93" s="1"/>
  <c r="D125" i="93" a="1"/>
  <c r="D125" i="93" s="1"/>
  <c r="AE124" i="93" a="1"/>
  <c r="AE124" i="93" s="1"/>
  <c r="AD124" i="93" a="1"/>
  <c r="AD124" i="93" s="1"/>
  <c r="AC124" i="93" a="1"/>
  <c r="AC124" i="93" s="1"/>
  <c r="AB124" i="93" a="1"/>
  <c r="AB124" i="93" s="1"/>
  <c r="AA124" i="93" a="1"/>
  <c r="AA124" i="93" s="1"/>
  <c r="Z124" i="93" a="1"/>
  <c r="Z124" i="93" s="1"/>
  <c r="Y124" i="93" a="1"/>
  <c r="Y124" i="93" s="1"/>
  <c r="X124" i="93" a="1"/>
  <c r="X124" i="93" s="1"/>
  <c r="W124" i="93" a="1"/>
  <c r="W124" i="93" s="1"/>
  <c r="V124" i="93" a="1"/>
  <c r="V124" i="93" s="1"/>
  <c r="U124" i="93" a="1"/>
  <c r="U124" i="93" s="1"/>
  <c r="T124" i="93" a="1"/>
  <c r="T124" i="93" s="1"/>
  <c r="S124" i="93" a="1"/>
  <c r="S124" i="93" s="1"/>
  <c r="R124" i="93" a="1"/>
  <c r="R124" i="93" s="1"/>
  <c r="Q124" i="93" a="1"/>
  <c r="Q124" i="93" s="1"/>
  <c r="P124" i="93" a="1"/>
  <c r="P124" i="93" s="1"/>
  <c r="O124" i="93" a="1"/>
  <c r="O124" i="93" s="1"/>
  <c r="N124" i="93" a="1"/>
  <c r="N124" i="93" s="1"/>
  <c r="M124" i="93" a="1"/>
  <c r="M124" i="93" s="1"/>
  <c r="L124" i="93" a="1"/>
  <c r="L124" i="93" s="1"/>
  <c r="K124" i="93" a="1"/>
  <c r="K124" i="93" s="1"/>
  <c r="J124" i="93" a="1"/>
  <c r="J124" i="93" s="1"/>
  <c r="I124" i="93" a="1"/>
  <c r="I124" i="93" s="1"/>
  <c r="H124" i="93" a="1"/>
  <c r="H124" i="93" s="1"/>
  <c r="G124" i="93" a="1"/>
  <c r="G124" i="93" s="1"/>
  <c r="F124" i="93" a="1"/>
  <c r="F124" i="93" s="1"/>
  <c r="E124" i="93" a="1"/>
  <c r="E124" i="93" s="1"/>
  <c r="D124" i="93" a="1"/>
  <c r="D124" i="93" s="1"/>
  <c r="AE123" i="93" a="1"/>
  <c r="AE123" i="93" s="1"/>
  <c r="AD123" i="93" a="1"/>
  <c r="AD123" i="93" s="1"/>
  <c r="AC123" i="93" a="1"/>
  <c r="AC123" i="93" s="1"/>
  <c r="AB123" i="93" a="1"/>
  <c r="AB123" i="93" s="1"/>
  <c r="AA123" i="93" a="1"/>
  <c r="AA123" i="93" s="1"/>
  <c r="Z123" i="93" a="1"/>
  <c r="Z123" i="93" s="1"/>
  <c r="Y123" i="93" a="1"/>
  <c r="Y123" i="93" s="1"/>
  <c r="X123" i="93" a="1"/>
  <c r="X123" i="93" s="1"/>
  <c r="W123" i="93" a="1"/>
  <c r="W123" i="93" s="1"/>
  <c r="V123" i="93" a="1"/>
  <c r="V123" i="93" s="1"/>
  <c r="U123" i="93" a="1"/>
  <c r="U123" i="93" s="1"/>
  <c r="T123" i="93" a="1"/>
  <c r="T123" i="93" s="1"/>
  <c r="S123" i="93" a="1"/>
  <c r="S123" i="93" s="1"/>
  <c r="R123" i="93" a="1"/>
  <c r="R123" i="93" s="1"/>
  <c r="Q123" i="93" a="1"/>
  <c r="Q123" i="93" s="1"/>
  <c r="P123" i="93" a="1"/>
  <c r="P123" i="93" s="1"/>
  <c r="O123" i="93" a="1"/>
  <c r="O123" i="93" s="1"/>
  <c r="N123" i="93" a="1"/>
  <c r="N123" i="93" s="1"/>
  <c r="M123" i="93" a="1"/>
  <c r="M123" i="93" s="1"/>
  <c r="L123" i="93" a="1"/>
  <c r="L123" i="93" s="1"/>
  <c r="K123" i="93" a="1"/>
  <c r="K123" i="93" s="1"/>
  <c r="J123" i="93" a="1"/>
  <c r="J123" i="93" s="1"/>
  <c r="I123" i="93" a="1"/>
  <c r="I123" i="93" s="1"/>
  <c r="H123" i="93" a="1"/>
  <c r="H123" i="93" s="1"/>
  <c r="G123" i="93" a="1"/>
  <c r="G123" i="93" s="1"/>
  <c r="F123" i="93" a="1"/>
  <c r="F123" i="93" s="1"/>
  <c r="E123" i="93" a="1"/>
  <c r="E123" i="93" s="1"/>
  <c r="D123" i="93" a="1"/>
  <c r="D123" i="93" s="1"/>
  <c r="AE122" i="93" a="1"/>
  <c r="AE122" i="93" s="1"/>
  <c r="AD122" i="93" a="1"/>
  <c r="AD122" i="93" s="1"/>
  <c r="AC122" i="93" a="1"/>
  <c r="AC122" i="93" s="1"/>
  <c r="AB122" i="93" a="1"/>
  <c r="AB122" i="93" s="1"/>
  <c r="AA122" i="93" a="1"/>
  <c r="AA122" i="93" s="1"/>
  <c r="Z122" i="93" a="1"/>
  <c r="Z122" i="93" s="1"/>
  <c r="Y122" i="93" a="1"/>
  <c r="Y122" i="93" s="1"/>
  <c r="X122" i="93" a="1"/>
  <c r="X122" i="93" s="1"/>
  <c r="W122" i="93" a="1"/>
  <c r="W122" i="93" s="1"/>
  <c r="V122" i="93" a="1"/>
  <c r="V122" i="93" s="1"/>
  <c r="U122" i="93" a="1"/>
  <c r="U122" i="93" s="1"/>
  <c r="T122" i="93" a="1"/>
  <c r="T122" i="93" s="1"/>
  <c r="S122" i="93" a="1"/>
  <c r="S122" i="93" s="1"/>
  <c r="R122" i="93" a="1"/>
  <c r="R122" i="93" s="1"/>
  <c r="Q122" i="93" a="1"/>
  <c r="Q122" i="93" s="1"/>
  <c r="P122" i="93" a="1"/>
  <c r="P122" i="93" s="1"/>
  <c r="O122" i="93" a="1"/>
  <c r="O122" i="93" s="1"/>
  <c r="N122" i="93" a="1"/>
  <c r="N122" i="93" s="1"/>
  <c r="M122" i="93" a="1"/>
  <c r="M122" i="93" s="1"/>
  <c r="L122" i="93" a="1"/>
  <c r="L122" i="93" s="1"/>
  <c r="K122" i="93" a="1"/>
  <c r="K122" i="93" s="1"/>
  <c r="J122" i="93" a="1"/>
  <c r="J122" i="93" s="1"/>
  <c r="I122" i="93" a="1"/>
  <c r="I122" i="93" s="1"/>
  <c r="H122" i="93" a="1"/>
  <c r="H122" i="93" s="1"/>
  <c r="G122" i="93" a="1"/>
  <c r="G122" i="93" s="1"/>
  <c r="F122" i="93" a="1"/>
  <c r="F122" i="93" s="1"/>
  <c r="E122" i="93" a="1"/>
  <c r="E122" i="93" s="1"/>
  <c r="D122" i="93" a="1"/>
  <c r="D122" i="93" s="1"/>
  <c r="AE121" i="93" a="1"/>
  <c r="AE121" i="93" s="1"/>
  <c r="AD121" i="93" a="1"/>
  <c r="AD121" i="93" s="1"/>
  <c r="AC121" i="93" a="1"/>
  <c r="AC121" i="93" s="1"/>
  <c r="AB121" i="93" a="1"/>
  <c r="AB121" i="93" s="1"/>
  <c r="AA121" i="93" a="1"/>
  <c r="AA121" i="93" s="1"/>
  <c r="Z121" i="93" a="1"/>
  <c r="Z121" i="93" s="1"/>
  <c r="Y121" i="93" a="1"/>
  <c r="Y121" i="93" s="1"/>
  <c r="X121" i="93" a="1"/>
  <c r="X121" i="93" s="1"/>
  <c r="W121" i="93" a="1"/>
  <c r="W121" i="93" s="1"/>
  <c r="V121" i="93" a="1"/>
  <c r="V121" i="93" s="1"/>
  <c r="U121" i="93" a="1"/>
  <c r="U121" i="93" s="1"/>
  <c r="T121" i="93" a="1"/>
  <c r="T121" i="93" s="1"/>
  <c r="S121" i="93" a="1"/>
  <c r="S121" i="93" s="1"/>
  <c r="R121" i="93" a="1"/>
  <c r="R121" i="93" s="1"/>
  <c r="Q121" i="93" a="1"/>
  <c r="Q121" i="93" s="1"/>
  <c r="P121" i="93" a="1"/>
  <c r="P121" i="93" s="1"/>
  <c r="O121" i="93" a="1"/>
  <c r="O121" i="93" s="1"/>
  <c r="N121" i="93" a="1"/>
  <c r="N121" i="93" s="1"/>
  <c r="M121" i="93" a="1"/>
  <c r="M121" i="93" s="1"/>
  <c r="L121" i="93" a="1"/>
  <c r="L121" i="93" s="1"/>
  <c r="K121" i="93" a="1"/>
  <c r="K121" i="93" s="1"/>
  <c r="J121" i="93" a="1"/>
  <c r="J121" i="93" s="1"/>
  <c r="I121" i="93" a="1"/>
  <c r="I121" i="93" s="1"/>
  <c r="H121" i="93" a="1"/>
  <c r="H121" i="93" s="1"/>
  <c r="G121" i="93" a="1"/>
  <c r="G121" i="93" s="1"/>
  <c r="F121" i="93" a="1"/>
  <c r="F121" i="93" s="1"/>
  <c r="E121" i="93" a="1"/>
  <c r="E121" i="93" s="1"/>
  <c r="D121" i="93" a="1"/>
  <c r="D121" i="93" s="1"/>
  <c r="AE120" i="93" a="1"/>
  <c r="AE120" i="93" s="1"/>
  <c r="AD120" i="93" a="1"/>
  <c r="AD120" i="93" s="1"/>
  <c r="AC120" i="93" a="1"/>
  <c r="AC120" i="93" s="1"/>
  <c r="AB120" i="93" a="1"/>
  <c r="AB120" i="93" s="1"/>
  <c r="AA120" i="93" a="1"/>
  <c r="AA120" i="93" s="1"/>
  <c r="Z120" i="93" a="1"/>
  <c r="Z120" i="93" s="1"/>
  <c r="Y120" i="93" a="1"/>
  <c r="Y120" i="93" s="1"/>
  <c r="X120" i="93" a="1"/>
  <c r="X120" i="93" s="1"/>
  <c r="W120" i="93" a="1"/>
  <c r="W120" i="93" s="1"/>
  <c r="V120" i="93" a="1"/>
  <c r="V120" i="93" s="1"/>
  <c r="U120" i="93" a="1"/>
  <c r="U120" i="93" s="1"/>
  <c r="T120" i="93" a="1"/>
  <c r="T120" i="93" s="1"/>
  <c r="S120" i="93" a="1"/>
  <c r="S120" i="93" s="1"/>
  <c r="R120" i="93" a="1"/>
  <c r="R120" i="93" s="1"/>
  <c r="Q120" i="93" a="1"/>
  <c r="Q120" i="93" s="1"/>
  <c r="P120" i="93" a="1"/>
  <c r="P120" i="93" s="1"/>
  <c r="O120" i="93" a="1"/>
  <c r="O120" i="93" s="1"/>
  <c r="N120" i="93" a="1"/>
  <c r="N120" i="93" s="1"/>
  <c r="M120" i="93" a="1"/>
  <c r="M120" i="93" s="1"/>
  <c r="L120" i="93" a="1"/>
  <c r="L120" i="93" s="1"/>
  <c r="K120" i="93" a="1"/>
  <c r="K120" i="93" s="1"/>
  <c r="J120" i="93" a="1"/>
  <c r="J120" i="93" s="1"/>
  <c r="I120" i="93" a="1"/>
  <c r="I120" i="93" s="1"/>
  <c r="H120" i="93" a="1"/>
  <c r="H120" i="93" s="1"/>
  <c r="G120" i="93" a="1"/>
  <c r="G120" i="93" s="1"/>
  <c r="F120" i="93" a="1"/>
  <c r="F120" i="93" s="1"/>
  <c r="E120" i="93" a="1"/>
  <c r="E120" i="93" s="1"/>
  <c r="D120" i="93" a="1"/>
  <c r="D120" i="93" s="1"/>
  <c r="AE119" i="93" a="1"/>
  <c r="AE119" i="93" s="1"/>
  <c r="AD119" i="93" a="1"/>
  <c r="AD119" i="93" s="1"/>
  <c r="AC119" i="93" a="1"/>
  <c r="AC119" i="93" s="1"/>
  <c r="AB119" i="93" a="1"/>
  <c r="AB119" i="93" s="1"/>
  <c r="AA119" i="93" a="1"/>
  <c r="AA119" i="93" s="1"/>
  <c r="Z119" i="93" a="1"/>
  <c r="Z119" i="93" s="1"/>
  <c r="Y119" i="93" a="1"/>
  <c r="Y119" i="93" s="1"/>
  <c r="X119" i="93" a="1"/>
  <c r="X119" i="93" s="1"/>
  <c r="W119" i="93" a="1"/>
  <c r="W119" i="93" s="1"/>
  <c r="V119" i="93" a="1"/>
  <c r="V119" i="93" s="1"/>
  <c r="U119" i="93" a="1"/>
  <c r="U119" i="93" s="1"/>
  <c r="T119" i="93" a="1"/>
  <c r="T119" i="93" s="1"/>
  <c r="S119" i="93" a="1"/>
  <c r="S119" i="93" s="1"/>
  <c r="R119" i="93" a="1"/>
  <c r="R119" i="93" s="1"/>
  <c r="Q119" i="93" a="1"/>
  <c r="Q119" i="93" s="1"/>
  <c r="P119" i="93" a="1"/>
  <c r="P119" i="93" s="1"/>
  <c r="O119" i="93" a="1"/>
  <c r="O119" i="93" s="1"/>
  <c r="N119" i="93" a="1"/>
  <c r="N119" i="93" s="1"/>
  <c r="M119" i="93" a="1"/>
  <c r="M119" i="93" s="1"/>
  <c r="L119" i="93" a="1"/>
  <c r="L119" i="93" s="1"/>
  <c r="K119" i="93" a="1"/>
  <c r="K119" i="93" s="1"/>
  <c r="J119" i="93" a="1"/>
  <c r="J119" i="93" s="1"/>
  <c r="I119" i="93" a="1"/>
  <c r="I119" i="93" s="1"/>
  <c r="H119" i="93" a="1"/>
  <c r="H119" i="93" s="1"/>
  <c r="G119" i="93" a="1"/>
  <c r="G119" i="93" s="1"/>
  <c r="F119" i="93" a="1"/>
  <c r="F119" i="93" s="1"/>
  <c r="E119" i="93" a="1"/>
  <c r="E119" i="93" s="1"/>
  <c r="D119" i="93" a="1"/>
  <c r="D119" i="93" s="1"/>
  <c r="AE118" i="93" a="1"/>
  <c r="AE118" i="93" s="1"/>
  <c r="AD118" i="93" a="1"/>
  <c r="AD118" i="93" s="1"/>
  <c r="AC118" i="93" a="1"/>
  <c r="AC118" i="93" s="1"/>
  <c r="AB118" i="93" a="1"/>
  <c r="AB118" i="93" s="1"/>
  <c r="AA118" i="93" a="1"/>
  <c r="AA118" i="93" s="1"/>
  <c r="Z118" i="93" a="1"/>
  <c r="Z118" i="93" s="1"/>
  <c r="Y118" i="93" a="1"/>
  <c r="Y118" i="93" s="1"/>
  <c r="X118" i="93" a="1"/>
  <c r="X118" i="93" s="1"/>
  <c r="W118" i="93" a="1"/>
  <c r="W118" i="93" s="1"/>
  <c r="V118" i="93" a="1"/>
  <c r="V118" i="93" s="1"/>
  <c r="U118" i="93" a="1"/>
  <c r="U118" i="93" s="1"/>
  <c r="T118" i="93" a="1"/>
  <c r="T118" i="93" s="1"/>
  <c r="S118" i="93" a="1"/>
  <c r="S118" i="93" s="1"/>
  <c r="R118" i="93" a="1"/>
  <c r="R118" i="93" s="1"/>
  <c r="Q118" i="93" a="1"/>
  <c r="Q118" i="93" s="1"/>
  <c r="P118" i="93" a="1"/>
  <c r="P118" i="93" s="1"/>
  <c r="O118" i="93" a="1"/>
  <c r="O118" i="93" s="1"/>
  <c r="N118" i="93" a="1"/>
  <c r="N118" i="93" s="1"/>
  <c r="M118" i="93" a="1"/>
  <c r="M118" i="93" s="1"/>
  <c r="L118" i="93" a="1"/>
  <c r="L118" i="93" s="1"/>
  <c r="K118" i="93" a="1"/>
  <c r="K118" i="93" s="1"/>
  <c r="J118" i="93" a="1"/>
  <c r="J118" i="93" s="1"/>
  <c r="I118" i="93" a="1"/>
  <c r="I118" i="93" s="1"/>
  <c r="H118" i="93" a="1"/>
  <c r="H118" i="93" s="1"/>
  <c r="G118" i="93" a="1"/>
  <c r="G118" i="93" s="1"/>
  <c r="F118" i="93" a="1"/>
  <c r="F118" i="93" s="1"/>
  <c r="E118" i="93" a="1"/>
  <c r="E118" i="93" s="1"/>
  <c r="D118" i="93" a="1"/>
  <c r="D118" i="93" s="1"/>
  <c r="AE117" i="93" a="1"/>
  <c r="AE117" i="93" s="1"/>
  <c r="AD117" i="93" a="1"/>
  <c r="AD117" i="93" s="1"/>
  <c r="AC117" i="93" a="1"/>
  <c r="AC117" i="93" s="1"/>
  <c r="AB117" i="93" a="1"/>
  <c r="AB117" i="93" s="1"/>
  <c r="AA117" i="93" a="1"/>
  <c r="AA117" i="93" s="1"/>
  <c r="Z117" i="93" a="1"/>
  <c r="Z117" i="93" s="1"/>
  <c r="Y117" i="93" a="1"/>
  <c r="Y117" i="93" s="1"/>
  <c r="X117" i="93" a="1"/>
  <c r="X117" i="93" s="1"/>
  <c r="W117" i="93" a="1"/>
  <c r="W117" i="93" s="1"/>
  <c r="V117" i="93" a="1"/>
  <c r="V117" i="93" s="1"/>
  <c r="U117" i="93" a="1"/>
  <c r="U117" i="93" s="1"/>
  <c r="T117" i="93" a="1"/>
  <c r="T117" i="93" s="1"/>
  <c r="S117" i="93" a="1"/>
  <c r="S117" i="93" s="1"/>
  <c r="R117" i="93" a="1"/>
  <c r="R117" i="93" s="1"/>
  <c r="Q117" i="93" a="1"/>
  <c r="Q117" i="93" s="1"/>
  <c r="P117" i="93" a="1"/>
  <c r="P117" i="93" s="1"/>
  <c r="O117" i="93" a="1"/>
  <c r="O117" i="93" s="1"/>
  <c r="N117" i="93" a="1"/>
  <c r="N117" i="93" s="1"/>
  <c r="M117" i="93" a="1"/>
  <c r="M117" i="93" s="1"/>
  <c r="L117" i="93" a="1"/>
  <c r="L117" i="93" s="1"/>
  <c r="K117" i="93" a="1"/>
  <c r="K117" i="93" s="1"/>
  <c r="J117" i="93" a="1"/>
  <c r="J117" i="93" s="1"/>
  <c r="I117" i="93" a="1"/>
  <c r="I117" i="93" s="1"/>
  <c r="H117" i="93" a="1"/>
  <c r="H117" i="93" s="1"/>
  <c r="G117" i="93" a="1"/>
  <c r="G117" i="93" s="1"/>
  <c r="F117" i="93" a="1"/>
  <c r="F117" i="93" s="1"/>
  <c r="E117" i="93" a="1"/>
  <c r="E117" i="93" s="1"/>
  <c r="D117" i="93" a="1"/>
  <c r="D117" i="93" s="1"/>
  <c r="AE116" i="93" a="1"/>
  <c r="AE116" i="93" s="1"/>
  <c r="AD116" i="93" a="1"/>
  <c r="AD116" i="93" s="1"/>
  <c r="AC116" i="93" a="1"/>
  <c r="AC116" i="93" s="1"/>
  <c r="AB116" i="93" a="1"/>
  <c r="AB116" i="93" s="1"/>
  <c r="AA116" i="93" a="1"/>
  <c r="AA116" i="93" s="1"/>
  <c r="Z116" i="93" a="1"/>
  <c r="Z116" i="93" s="1"/>
  <c r="Y116" i="93" a="1"/>
  <c r="Y116" i="93" s="1"/>
  <c r="X116" i="93" a="1"/>
  <c r="X116" i="93" s="1"/>
  <c r="W116" i="93" a="1"/>
  <c r="W116" i="93" s="1"/>
  <c r="V116" i="93" a="1"/>
  <c r="V116" i="93" s="1"/>
  <c r="U116" i="93" a="1"/>
  <c r="U116" i="93" s="1"/>
  <c r="T116" i="93" a="1"/>
  <c r="T116" i="93" s="1"/>
  <c r="S116" i="93" a="1"/>
  <c r="S116" i="93" s="1"/>
  <c r="R116" i="93" a="1"/>
  <c r="R116" i="93" s="1"/>
  <c r="Q116" i="93" a="1"/>
  <c r="Q116" i="93" s="1"/>
  <c r="P116" i="93" a="1"/>
  <c r="P116" i="93" s="1"/>
  <c r="O116" i="93" a="1"/>
  <c r="O116" i="93" s="1"/>
  <c r="N116" i="93" a="1"/>
  <c r="N116" i="93" s="1"/>
  <c r="M116" i="93" a="1"/>
  <c r="M116" i="93" s="1"/>
  <c r="L116" i="93" a="1"/>
  <c r="L116" i="93" s="1"/>
  <c r="K116" i="93" a="1"/>
  <c r="K116" i="93" s="1"/>
  <c r="J116" i="93" a="1"/>
  <c r="J116" i="93" s="1"/>
  <c r="I116" i="93" a="1"/>
  <c r="I116" i="93" s="1"/>
  <c r="H116" i="93" a="1"/>
  <c r="H116" i="93" s="1"/>
  <c r="G116" i="93" a="1"/>
  <c r="G116" i="93" s="1"/>
  <c r="F116" i="93" a="1"/>
  <c r="F116" i="93" s="1"/>
  <c r="E116" i="93" a="1"/>
  <c r="E116" i="93" s="1"/>
  <c r="D116" i="93" a="1"/>
  <c r="D116" i="93" s="1"/>
  <c r="AE115" i="93" a="1"/>
  <c r="AE115" i="93" s="1"/>
  <c r="AD115" i="93" a="1"/>
  <c r="AD115" i="93" s="1"/>
  <c r="AC115" i="93" a="1"/>
  <c r="AC115" i="93" s="1"/>
  <c r="AB115" i="93" a="1"/>
  <c r="AB115" i="93" s="1"/>
  <c r="AA115" i="93" a="1"/>
  <c r="AA115" i="93" s="1"/>
  <c r="Z115" i="93" a="1"/>
  <c r="Z115" i="93" s="1"/>
  <c r="Y115" i="93" a="1"/>
  <c r="Y115" i="93" s="1"/>
  <c r="X115" i="93" a="1"/>
  <c r="X115" i="93" s="1"/>
  <c r="W115" i="93" a="1"/>
  <c r="W115" i="93" s="1"/>
  <c r="V115" i="93" a="1"/>
  <c r="V115" i="93" s="1"/>
  <c r="U115" i="93" a="1"/>
  <c r="U115" i="93" s="1"/>
  <c r="T115" i="93" a="1"/>
  <c r="T115" i="93" s="1"/>
  <c r="S115" i="93" a="1"/>
  <c r="S115" i="93" s="1"/>
  <c r="R115" i="93" a="1"/>
  <c r="R115" i="93" s="1"/>
  <c r="Q115" i="93" a="1"/>
  <c r="Q115" i="93" s="1"/>
  <c r="P115" i="93" a="1"/>
  <c r="P115" i="93" s="1"/>
  <c r="O115" i="93" a="1"/>
  <c r="O115" i="93" s="1"/>
  <c r="N115" i="93" a="1"/>
  <c r="N115" i="93" s="1"/>
  <c r="M115" i="93" a="1"/>
  <c r="M115" i="93" s="1"/>
  <c r="L115" i="93" a="1"/>
  <c r="L115" i="93" s="1"/>
  <c r="K115" i="93" a="1"/>
  <c r="K115" i="93" s="1"/>
  <c r="J115" i="93" a="1"/>
  <c r="J115" i="93" s="1"/>
  <c r="I115" i="93" a="1"/>
  <c r="I115" i="93" s="1"/>
  <c r="H115" i="93" a="1"/>
  <c r="H115" i="93" s="1"/>
  <c r="G115" i="93" a="1"/>
  <c r="G115" i="93" s="1"/>
  <c r="F115" i="93" a="1"/>
  <c r="F115" i="93" s="1"/>
  <c r="E115" i="93" a="1"/>
  <c r="E115" i="93" s="1"/>
  <c r="D115" i="93" a="1"/>
  <c r="D115" i="93" s="1"/>
  <c r="AE114" i="93" a="1"/>
  <c r="AE114" i="93" s="1"/>
  <c r="AD114" i="93" a="1"/>
  <c r="AD114" i="93" s="1"/>
  <c r="AC114" i="93" a="1"/>
  <c r="AC114" i="93" s="1"/>
  <c r="AB114" i="93" a="1"/>
  <c r="AB114" i="93" s="1"/>
  <c r="AA114" i="93" a="1"/>
  <c r="AA114" i="93" s="1"/>
  <c r="Z114" i="93" a="1"/>
  <c r="Z114" i="93" s="1"/>
  <c r="Y114" i="93" a="1"/>
  <c r="Y114" i="93" s="1"/>
  <c r="X114" i="93" a="1"/>
  <c r="X114" i="93" s="1"/>
  <c r="W114" i="93" a="1"/>
  <c r="W114" i="93" s="1"/>
  <c r="V114" i="93" a="1"/>
  <c r="V114" i="93" s="1"/>
  <c r="U114" i="93" a="1"/>
  <c r="U114" i="93" s="1"/>
  <c r="T114" i="93" a="1"/>
  <c r="T114" i="93" s="1"/>
  <c r="S114" i="93" a="1"/>
  <c r="S114" i="93" s="1"/>
  <c r="R114" i="93" a="1"/>
  <c r="R114" i="93" s="1"/>
  <c r="Q114" i="93" a="1"/>
  <c r="Q114" i="93" s="1"/>
  <c r="P114" i="93" a="1"/>
  <c r="P114" i="93" s="1"/>
  <c r="O114" i="93" a="1"/>
  <c r="O114" i="93" s="1"/>
  <c r="N114" i="93" a="1"/>
  <c r="N114" i="93" s="1"/>
  <c r="M114" i="93" a="1"/>
  <c r="M114" i="93" s="1"/>
  <c r="L114" i="93" a="1"/>
  <c r="L114" i="93" s="1"/>
  <c r="K114" i="93" a="1"/>
  <c r="K114" i="93" s="1"/>
  <c r="J114" i="93" a="1"/>
  <c r="J114" i="93" s="1"/>
  <c r="I114" i="93" a="1"/>
  <c r="I114" i="93" s="1"/>
  <c r="H114" i="93" a="1"/>
  <c r="H114" i="93" s="1"/>
  <c r="G114" i="93" a="1"/>
  <c r="G114" i="93" s="1"/>
  <c r="F114" i="93" a="1"/>
  <c r="F114" i="93" s="1"/>
  <c r="E114" i="93" a="1"/>
  <c r="E114" i="93" s="1"/>
  <c r="D114" i="93" a="1"/>
  <c r="D114" i="93" s="1"/>
  <c r="AE113" i="93" a="1"/>
  <c r="AE113" i="93" s="1"/>
  <c r="AD113" i="93" a="1"/>
  <c r="AD113" i="93" s="1"/>
  <c r="AC113" i="93" a="1"/>
  <c r="AC113" i="93" s="1"/>
  <c r="AB113" i="93" a="1"/>
  <c r="AB113" i="93" s="1"/>
  <c r="AA113" i="93" a="1"/>
  <c r="AA113" i="93" s="1"/>
  <c r="Z113" i="93" a="1"/>
  <c r="Z113" i="93" s="1"/>
  <c r="Y113" i="93" a="1"/>
  <c r="Y113" i="93" s="1"/>
  <c r="X113" i="93" a="1"/>
  <c r="X113" i="93" s="1"/>
  <c r="W113" i="93" a="1"/>
  <c r="W113" i="93" s="1"/>
  <c r="V113" i="93" a="1"/>
  <c r="V113" i="93" s="1"/>
  <c r="U113" i="93" a="1"/>
  <c r="U113" i="93" s="1"/>
  <c r="T113" i="93" a="1"/>
  <c r="T113" i="93" s="1"/>
  <c r="S113" i="93" a="1"/>
  <c r="S113" i="93" s="1"/>
  <c r="R113" i="93" a="1"/>
  <c r="R113" i="93" s="1"/>
  <c r="Q113" i="93" a="1"/>
  <c r="Q113" i="93" s="1"/>
  <c r="P113" i="93" a="1"/>
  <c r="P113" i="93" s="1"/>
  <c r="O113" i="93" a="1"/>
  <c r="O113" i="93" s="1"/>
  <c r="N113" i="93" a="1"/>
  <c r="N113" i="93" s="1"/>
  <c r="M113" i="93" a="1"/>
  <c r="M113" i="93" s="1"/>
  <c r="L113" i="93" a="1"/>
  <c r="L113" i="93" s="1"/>
  <c r="K113" i="93" a="1"/>
  <c r="K113" i="93" s="1"/>
  <c r="J113" i="93" a="1"/>
  <c r="J113" i="93" s="1"/>
  <c r="I113" i="93" a="1"/>
  <c r="I113" i="93" s="1"/>
  <c r="H113" i="93" a="1"/>
  <c r="H113" i="93" s="1"/>
  <c r="G113" i="93" a="1"/>
  <c r="G113" i="93" s="1"/>
  <c r="F113" i="93" a="1"/>
  <c r="F113" i="93" s="1"/>
  <c r="E113" i="93" a="1"/>
  <c r="E113" i="93" s="1"/>
  <c r="D113" i="93" a="1"/>
  <c r="D113" i="93" s="1"/>
  <c r="AE112" i="93" a="1"/>
  <c r="AE112" i="93" s="1"/>
  <c r="AD112" i="93" a="1"/>
  <c r="AD112" i="93" s="1"/>
  <c r="AC112" i="93" a="1"/>
  <c r="AC112" i="93" s="1"/>
  <c r="AB112" i="93" a="1"/>
  <c r="AB112" i="93" s="1"/>
  <c r="AA112" i="93" a="1"/>
  <c r="AA112" i="93" s="1"/>
  <c r="Z112" i="93" a="1"/>
  <c r="Z112" i="93" s="1"/>
  <c r="Y112" i="93" a="1"/>
  <c r="Y112" i="93" s="1"/>
  <c r="X112" i="93" a="1"/>
  <c r="X112" i="93" s="1"/>
  <c r="W112" i="93" a="1"/>
  <c r="W112" i="93" s="1"/>
  <c r="V112" i="93" a="1"/>
  <c r="V112" i="93" s="1"/>
  <c r="U112" i="93" a="1"/>
  <c r="U112" i="93" s="1"/>
  <c r="T112" i="93" a="1"/>
  <c r="T112" i="93" s="1"/>
  <c r="S112" i="93" a="1"/>
  <c r="S112" i="93" s="1"/>
  <c r="R112" i="93" a="1"/>
  <c r="R112" i="93" s="1"/>
  <c r="Q112" i="93" a="1"/>
  <c r="Q112" i="93" s="1"/>
  <c r="P112" i="93" a="1"/>
  <c r="P112" i="93" s="1"/>
  <c r="O112" i="93" a="1"/>
  <c r="O112" i="93" s="1"/>
  <c r="N112" i="93" a="1"/>
  <c r="N112" i="93" s="1"/>
  <c r="M112" i="93" a="1"/>
  <c r="M112" i="93" s="1"/>
  <c r="L112" i="93" a="1"/>
  <c r="L112" i="93" s="1"/>
  <c r="K112" i="93" a="1"/>
  <c r="K112" i="93" s="1"/>
  <c r="J112" i="93" a="1"/>
  <c r="J112" i="93" s="1"/>
  <c r="I112" i="93" a="1"/>
  <c r="I112" i="93" s="1"/>
  <c r="H112" i="93" a="1"/>
  <c r="H112" i="93" s="1"/>
  <c r="G112" i="93" a="1"/>
  <c r="G112" i="93" s="1"/>
  <c r="F112" i="93" a="1"/>
  <c r="F112" i="93" s="1"/>
  <c r="E112" i="93" a="1"/>
  <c r="E112" i="93" s="1"/>
  <c r="D112" i="93" a="1"/>
  <c r="D112" i="93" s="1"/>
  <c r="AE111" i="93" a="1"/>
  <c r="AE111" i="93" s="1"/>
  <c r="AD111" i="93" a="1"/>
  <c r="AD111" i="93" s="1"/>
  <c r="AC111" i="93" a="1"/>
  <c r="AC111" i="93" s="1"/>
  <c r="AB111" i="93" a="1"/>
  <c r="AB111" i="93" s="1"/>
  <c r="AA111" i="93" a="1"/>
  <c r="AA111" i="93" s="1"/>
  <c r="Z111" i="93" a="1"/>
  <c r="Z111" i="93" s="1"/>
  <c r="Y111" i="93" a="1"/>
  <c r="Y111" i="93" s="1"/>
  <c r="X111" i="93" a="1"/>
  <c r="X111" i="93" s="1"/>
  <c r="W111" i="93" a="1"/>
  <c r="W111" i="93" s="1"/>
  <c r="V111" i="93" a="1"/>
  <c r="V111" i="93" s="1"/>
  <c r="U111" i="93" a="1"/>
  <c r="U111" i="93" s="1"/>
  <c r="T111" i="93" a="1"/>
  <c r="T111" i="93" s="1"/>
  <c r="S111" i="93" a="1"/>
  <c r="S111" i="93" s="1"/>
  <c r="R111" i="93" a="1"/>
  <c r="R111" i="93" s="1"/>
  <c r="Q111" i="93" a="1"/>
  <c r="Q111" i="93" s="1"/>
  <c r="P111" i="93" a="1"/>
  <c r="P111" i="93" s="1"/>
  <c r="O111" i="93" a="1"/>
  <c r="O111" i="93" s="1"/>
  <c r="N111" i="93" a="1"/>
  <c r="N111" i="93" s="1"/>
  <c r="M111" i="93" a="1"/>
  <c r="M111" i="93" s="1"/>
  <c r="L111" i="93" a="1"/>
  <c r="L111" i="93" s="1"/>
  <c r="K111" i="93" a="1"/>
  <c r="K111" i="93" s="1"/>
  <c r="J111" i="93" a="1"/>
  <c r="J111" i="93" s="1"/>
  <c r="I111" i="93" a="1"/>
  <c r="I111" i="93" s="1"/>
  <c r="H111" i="93" a="1"/>
  <c r="H111" i="93" s="1"/>
  <c r="G111" i="93" a="1"/>
  <c r="G111" i="93" s="1"/>
  <c r="F111" i="93" a="1"/>
  <c r="F111" i="93" s="1"/>
  <c r="E111" i="93" a="1"/>
  <c r="E111" i="93" s="1"/>
  <c r="D111" i="93" a="1"/>
  <c r="D111" i="93" s="1"/>
  <c r="AE110" i="93" a="1"/>
  <c r="AE110" i="93" s="1"/>
  <c r="AD110" i="93" a="1"/>
  <c r="AD110" i="93" s="1"/>
  <c r="AC110" i="93" a="1"/>
  <c r="AC110" i="93" s="1"/>
  <c r="AB110" i="93" a="1"/>
  <c r="AB110" i="93" s="1"/>
  <c r="AA110" i="93" a="1"/>
  <c r="AA110" i="93" s="1"/>
  <c r="Z110" i="93" a="1"/>
  <c r="Z110" i="93" s="1"/>
  <c r="Y110" i="93" a="1"/>
  <c r="Y110" i="93" s="1"/>
  <c r="X110" i="93" a="1"/>
  <c r="X110" i="93" s="1"/>
  <c r="W110" i="93" a="1"/>
  <c r="W110" i="93" s="1"/>
  <c r="V110" i="93" a="1"/>
  <c r="V110" i="93" s="1"/>
  <c r="U110" i="93" a="1"/>
  <c r="U110" i="93" s="1"/>
  <c r="T110" i="93" a="1"/>
  <c r="T110" i="93" s="1"/>
  <c r="S110" i="93" a="1"/>
  <c r="S110" i="93" s="1"/>
  <c r="R110" i="93" a="1"/>
  <c r="R110" i="93" s="1"/>
  <c r="Q110" i="93" a="1"/>
  <c r="Q110" i="93" s="1"/>
  <c r="P110" i="93" a="1"/>
  <c r="P110" i="93" s="1"/>
  <c r="O110" i="93" a="1"/>
  <c r="O110" i="93" s="1"/>
  <c r="N110" i="93" a="1"/>
  <c r="N110" i="93" s="1"/>
  <c r="M110" i="93" a="1"/>
  <c r="M110" i="93" s="1"/>
  <c r="L110" i="93" a="1"/>
  <c r="L110" i="93" s="1"/>
  <c r="K110" i="93" a="1"/>
  <c r="K110" i="93" s="1"/>
  <c r="J110" i="93" a="1"/>
  <c r="J110" i="93" s="1"/>
  <c r="I110" i="93" a="1"/>
  <c r="I110" i="93" s="1"/>
  <c r="H110" i="93" a="1"/>
  <c r="H110" i="93" s="1"/>
  <c r="G110" i="93" a="1"/>
  <c r="G110" i="93" s="1"/>
  <c r="F110" i="93" a="1"/>
  <c r="F110" i="93" s="1"/>
  <c r="E110" i="93" a="1"/>
  <c r="E110" i="93" s="1"/>
  <c r="D110" i="93" a="1"/>
  <c r="D110" i="93" s="1"/>
  <c r="AE109" i="93" a="1"/>
  <c r="AE109" i="93" s="1"/>
  <c r="AD109" i="93" a="1"/>
  <c r="AD109" i="93" s="1"/>
  <c r="AC109" i="93" a="1"/>
  <c r="AC109" i="93" s="1"/>
  <c r="AB109" i="93" a="1"/>
  <c r="AB109" i="93" s="1"/>
  <c r="AA109" i="93" a="1"/>
  <c r="AA109" i="93" s="1"/>
  <c r="Z109" i="93" a="1"/>
  <c r="Z109" i="93" s="1"/>
  <c r="Y109" i="93" a="1"/>
  <c r="Y109" i="93" s="1"/>
  <c r="X109" i="93" a="1"/>
  <c r="X109" i="93" s="1"/>
  <c r="W109" i="93" a="1"/>
  <c r="W109" i="93" s="1"/>
  <c r="V109" i="93" a="1"/>
  <c r="V109" i="93" s="1"/>
  <c r="U109" i="93" a="1"/>
  <c r="U109" i="93" s="1"/>
  <c r="T109" i="93" a="1"/>
  <c r="T109" i="93" s="1"/>
  <c r="S109" i="93" a="1"/>
  <c r="S109" i="93" s="1"/>
  <c r="R109" i="93" a="1"/>
  <c r="R109" i="93" s="1"/>
  <c r="Q109" i="93" a="1"/>
  <c r="Q109" i="93" s="1"/>
  <c r="P109" i="93" a="1"/>
  <c r="P109" i="93" s="1"/>
  <c r="O109" i="93" a="1"/>
  <c r="O109" i="93" s="1"/>
  <c r="N109" i="93" a="1"/>
  <c r="N109" i="93" s="1"/>
  <c r="M109" i="93" a="1"/>
  <c r="M109" i="93" s="1"/>
  <c r="L109" i="93" a="1"/>
  <c r="L109" i="93" s="1"/>
  <c r="K109" i="93" a="1"/>
  <c r="K109" i="93" s="1"/>
  <c r="J109" i="93" a="1"/>
  <c r="J109" i="93" s="1"/>
  <c r="I109" i="93" a="1"/>
  <c r="I109" i="93" s="1"/>
  <c r="H109" i="93" a="1"/>
  <c r="H109" i="93" s="1"/>
  <c r="G109" i="93" a="1"/>
  <c r="G109" i="93" s="1"/>
  <c r="F109" i="93" a="1"/>
  <c r="F109" i="93" s="1"/>
  <c r="E109" i="93" a="1"/>
  <c r="E109" i="93" s="1"/>
  <c r="D109" i="93" a="1"/>
  <c r="D109" i="93" s="1"/>
  <c r="AE108" i="93" a="1"/>
  <c r="AE108" i="93" s="1"/>
  <c r="AD108" i="93" a="1"/>
  <c r="AD108" i="93" s="1"/>
  <c r="AC108" i="93" a="1"/>
  <c r="AC108" i="93" s="1"/>
  <c r="AB108" i="93" a="1"/>
  <c r="AB108" i="93" s="1"/>
  <c r="AA108" i="93" a="1"/>
  <c r="AA108" i="93" s="1"/>
  <c r="Z108" i="93" a="1"/>
  <c r="Z108" i="93" s="1"/>
  <c r="Y108" i="93" a="1"/>
  <c r="Y108" i="93" s="1"/>
  <c r="X108" i="93" a="1"/>
  <c r="X108" i="93" s="1"/>
  <c r="W108" i="93" a="1"/>
  <c r="W108" i="93" s="1"/>
  <c r="V108" i="93" a="1"/>
  <c r="V108" i="93" s="1"/>
  <c r="U108" i="93" a="1"/>
  <c r="U108" i="93" s="1"/>
  <c r="T108" i="93" a="1"/>
  <c r="T108" i="93" s="1"/>
  <c r="S108" i="93" a="1"/>
  <c r="S108" i="93" s="1"/>
  <c r="R108" i="93" a="1"/>
  <c r="R108" i="93" s="1"/>
  <c r="Q108" i="93" a="1"/>
  <c r="Q108" i="93" s="1"/>
  <c r="P108" i="93" a="1"/>
  <c r="P108" i="93" s="1"/>
  <c r="O108" i="93" a="1"/>
  <c r="O108" i="93" s="1"/>
  <c r="N108" i="93" a="1"/>
  <c r="N108" i="93" s="1"/>
  <c r="M108" i="93" a="1"/>
  <c r="M108" i="93" s="1"/>
  <c r="L108" i="93" a="1"/>
  <c r="L108" i="93" s="1"/>
  <c r="K108" i="93" a="1"/>
  <c r="K108" i="93" s="1"/>
  <c r="J108" i="93" a="1"/>
  <c r="J108" i="93" s="1"/>
  <c r="I108" i="93" a="1"/>
  <c r="I108" i="93" s="1"/>
  <c r="H108" i="93" a="1"/>
  <c r="H108" i="93" s="1"/>
  <c r="G108" i="93" a="1"/>
  <c r="G108" i="93" s="1"/>
  <c r="F108" i="93" a="1"/>
  <c r="F108" i="93" s="1"/>
  <c r="E108" i="93" a="1"/>
  <c r="E108" i="93" s="1"/>
  <c r="D108" i="93" a="1"/>
  <c r="D108" i="93" s="1"/>
  <c r="AE107" i="93" a="1"/>
  <c r="AE107" i="93" s="1"/>
  <c r="AD107" i="93" a="1"/>
  <c r="AD107" i="93" s="1"/>
  <c r="AC107" i="93" a="1"/>
  <c r="AC107" i="93" s="1"/>
  <c r="AB107" i="93" a="1"/>
  <c r="AB107" i="93" s="1"/>
  <c r="AA107" i="93" a="1"/>
  <c r="AA107" i="93" s="1"/>
  <c r="Z107" i="93" a="1"/>
  <c r="Z107" i="93" s="1"/>
  <c r="Y107" i="93" a="1"/>
  <c r="Y107" i="93" s="1"/>
  <c r="X107" i="93" a="1"/>
  <c r="X107" i="93" s="1"/>
  <c r="W107" i="93" a="1"/>
  <c r="W107" i="93" s="1"/>
  <c r="V107" i="93" a="1"/>
  <c r="V107" i="93" s="1"/>
  <c r="U107" i="93" a="1"/>
  <c r="U107" i="93" s="1"/>
  <c r="T107" i="93" a="1"/>
  <c r="T107" i="93" s="1"/>
  <c r="S107" i="93" a="1"/>
  <c r="S107" i="93" s="1"/>
  <c r="R107" i="93" a="1"/>
  <c r="R107" i="93" s="1"/>
  <c r="Q107" i="93" a="1"/>
  <c r="Q107" i="93" s="1"/>
  <c r="P107" i="93" a="1"/>
  <c r="P107" i="93" s="1"/>
  <c r="O107" i="93" a="1"/>
  <c r="O107" i="93" s="1"/>
  <c r="N107" i="93" a="1"/>
  <c r="N107" i="93" s="1"/>
  <c r="M107" i="93" a="1"/>
  <c r="M107" i="93" s="1"/>
  <c r="L107" i="93" a="1"/>
  <c r="L107" i="93" s="1"/>
  <c r="K107" i="93" a="1"/>
  <c r="K107" i="93" s="1"/>
  <c r="J107" i="93" a="1"/>
  <c r="J107" i="93" s="1"/>
  <c r="I107" i="93" a="1"/>
  <c r="I107" i="93" s="1"/>
  <c r="H107" i="93" a="1"/>
  <c r="H107" i="93" s="1"/>
  <c r="G107" i="93" a="1"/>
  <c r="G107" i="93" s="1"/>
  <c r="F107" i="93" a="1"/>
  <c r="F107" i="93" s="1"/>
  <c r="E107" i="93" a="1"/>
  <c r="E107" i="93" s="1"/>
  <c r="D107" i="93" a="1"/>
  <c r="D107" i="93" s="1"/>
  <c r="AE106" i="93" a="1"/>
  <c r="AE106" i="93" s="1"/>
  <c r="AD106" i="93" a="1"/>
  <c r="AD106" i="93" s="1"/>
  <c r="AC106" i="93" a="1"/>
  <c r="AC106" i="93" s="1"/>
  <c r="AB106" i="93" a="1"/>
  <c r="AB106" i="93" s="1"/>
  <c r="AA106" i="93" a="1"/>
  <c r="AA106" i="93" s="1"/>
  <c r="Z106" i="93" a="1"/>
  <c r="Z106" i="93" s="1"/>
  <c r="Y106" i="93" a="1"/>
  <c r="Y106" i="93" s="1"/>
  <c r="X106" i="93" a="1"/>
  <c r="X106" i="93" s="1"/>
  <c r="W106" i="93" a="1"/>
  <c r="W106" i="93" s="1"/>
  <c r="V106" i="93" a="1"/>
  <c r="V106" i="93" s="1"/>
  <c r="U106" i="93" a="1"/>
  <c r="U106" i="93" s="1"/>
  <c r="T106" i="93" a="1"/>
  <c r="T106" i="93" s="1"/>
  <c r="S106" i="93" a="1"/>
  <c r="S106" i="93" s="1"/>
  <c r="R106" i="93" a="1"/>
  <c r="R106" i="93" s="1"/>
  <c r="Q106" i="93" a="1"/>
  <c r="Q106" i="93" s="1"/>
  <c r="P106" i="93" a="1"/>
  <c r="P106" i="93" s="1"/>
  <c r="O106" i="93" a="1"/>
  <c r="O106" i="93" s="1"/>
  <c r="N106" i="93" a="1"/>
  <c r="N106" i="93" s="1"/>
  <c r="M106" i="93" a="1"/>
  <c r="M106" i="93" s="1"/>
  <c r="L106" i="93" a="1"/>
  <c r="L106" i="93" s="1"/>
  <c r="K106" i="93" a="1"/>
  <c r="K106" i="93" s="1"/>
  <c r="J106" i="93" a="1"/>
  <c r="J106" i="93" s="1"/>
  <c r="I106" i="93" a="1"/>
  <c r="I106" i="93" s="1"/>
  <c r="H106" i="93" a="1"/>
  <c r="H106" i="93" s="1"/>
  <c r="G106" i="93" a="1"/>
  <c r="G106" i="93" s="1"/>
  <c r="F106" i="93" a="1"/>
  <c r="F106" i="93" s="1"/>
  <c r="E106" i="93" a="1"/>
  <c r="E106" i="93" s="1"/>
  <c r="D106" i="93" a="1"/>
  <c r="D106" i="93" s="1"/>
  <c r="AE105" i="93" a="1"/>
  <c r="AE105" i="93" s="1"/>
  <c r="AD105" i="93" a="1"/>
  <c r="AD105" i="93" s="1"/>
  <c r="AC105" i="93" a="1"/>
  <c r="AC105" i="93" s="1"/>
  <c r="AB105" i="93" a="1"/>
  <c r="AB105" i="93" s="1"/>
  <c r="AA105" i="93" a="1"/>
  <c r="AA105" i="93" s="1"/>
  <c r="Z105" i="93" a="1"/>
  <c r="Z105" i="93" s="1"/>
  <c r="Y105" i="93" a="1"/>
  <c r="Y105" i="93" s="1"/>
  <c r="X105" i="93" a="1"/>
  <c r="X105" i="93" s="1"/>
  <c r="W105" i="93" a="1"/>
  <c r="W105" i="93" s="1"/>
  <c r="V105" i="93" a="1"/>
  <c r="V105" i="93" s="1"/>
  <c r="U105" i="93" a="1"/>
  <c r="U105" i="93" s="1"/>
  <c r="T105" i="93" a="1"/>
  <c r="T105" i="93" s="1"/>
  <c r="S105" i="93" a="1"/>
  <c r="S105" i="93" s="1"/>
  <c r="R105" i="93" a="1"/>
  <c r="R105" i="93" s="1"/>
  <c r="Q105" i="93" a="1"/>
  <c r="Q105" i="93" s="1"/>
  <c r="P105" i="93" a="1"/>
  <c r="P105" i="93" s="1"/>
  <c r="O105" i="93" a="1"/>
  <c r="O105" i="93" s="1"/>
  <c r="N105" i="93" a="1"/>
  <c r="N105" i="93" s="1"/>
  <c r="M105" i="93" a="1"/>
  <c r="M105" i="93" s="1"/>
  <c r="L105" i="93" a="1"/>
  <c r="L105" i="93" s="1"/>
  <c r="K105" i="93" a="1"/>
  <c r="K105" i="93" s="1"/>
  <c r="J105" i="93" a="1"/>
  <c r="J105" i="93" s="1"/>
  <c r="I105" i="93" a="1"/>
  <c r="I105" i="93" s="1"/>
  <c r="H105" i="93" a="1"/>
  <c r="H105" i="93" s="1"/>
  <c r="G105" i="93" a="1"/>
  <c r="G105" i="93" s="1"/>
  <c r="F105" i="93" a="1"/>
  <c r="F105" i="93" s="1"/>
  <c r="E105" i="93" a="1"/>
  <c r="E105" i="93" s="1"/>
  <c r="D105" i="93" a="1"/>
  <c r="D105" i="93" s="1"/>
  <c r="AE104" i="93" a="1"/>
  <c r="AE104" i="93" s="1"/>
  <c r="AD104" i="93" a="1"/>
  <c r="AD104" i="93" s="1"/>
  <c r="AC104" i="93" a="1"/>
  <c r="AC104" i="93" s="1"/>
  <c r="AB104" i="93" a="1"/>
  <c r="AB104" i="93" s="1"/>
  <c r="AA104" i="93" a="1"/>
  <c r="AA104" i="93" s="1"/>
  <c r="Z104" i="93" a="1"/>
  <c r="Z104" i="93" s="1"/>
  <c r="Y104" i="93" a="1"/>
  <c r="Y104" i="93" s="1"/>
  <c r="X104" i="93" a="1"/>
  <c r="X104" i="93" s="1"/>
  <c r="W104" i="93" a="1"/>
  <c r="W104" i="93" s="1"/>
  <c r="V104" i="93" a="1"/>
  <c r="V104" i="93" s="1"/>
  <c r="U104" i="93" a="1"/>
  <c r="U104" i="93" s="1"/>
  <c r="T104" i="93" a="1"/>
  <c r="T104" i="93" s="1"/>
  <c r="S104" i="93" a="1"/>
  <c r="S104" i="93" s="1"/>
  <c r="R104" i="93" a="1"/>
  <c r="R104" i="93" s="1"/>
  <c r="Q104" i="93" a="1"/>
  <c r="Q104" i="93" s="1"/>
  <c r="P104" i="93" a="1"/>
  <c r="P104" i="93" s="1"/>
  <c r="O104" i="93" a="1"/>
  <c r="O104" i="93" s="1"/>
  <c r="N104" i="93" a="1"/>
  <c r="N104" i="93" s="1"/>
  <c r="M104" i="93" a="1"/>
  <c r="M104" i="93" s="1"/>
  <c r="L104" i="93" a="1"/>
  <c r="L104" i="93" s="1"/>
  <c r="K104" i="93" a="1"/>
  <c r="K104" i="93" s="1"/>
  <c r="J104" i="93" a="1"/>
  <c r="J104" i="93" s="1"/>
  <c r="I104" i="93" a="1"/>
  <c r="I104" i="93" s="1"/>
  <c r="H104" i="93" a="1"/>
  <c r="H104" i="93" s="1"/>
  <c r="G104" i="93" a="1"/>
  <c r="G104" i="93" s="1"/>
  <c r="F104" i="93" a="1"/>
  <c r="F104" i="93" s="1"/>
  <c r="E104" i="93" a="1"/>
  <c r="E104" i="93" s="1"/>
  <c r="D104" i="93" a="1"/>
  <c r="D104" i="93" s="1"/>
  <c r="AE103" i="93" a="1"/>
  <c r="AE103" i="93" s="1"/>
  <c r="AD103" i="93" a="1"/>
  <c r="AD103" i="93" s="1"/>
  <c r="AC103" i="93" a="1"/>
  <c r="AC103" i="93" s="1"/>
  <c r="AB103" i="93" a="1"/>
  <c r="AB103" i="93" s="1"/>
  <c r="AA103" i="93" a="1"/>
  <c r="AA103" i="93" s="1"/>
  <c r="Z103" i="93" a="1"/>
  <c r="Z103" i="93" s="1"/>
  <c r="Y103" i="93" a="1"/>
  <c r="Y103" i="93" s="1"/>
  <c r="X103" i="93" a="1"/>
  <c r="X103" i="93" s="1"/>
  <c r="W103" i="93" a="1"/>
  <c r="W103" i="93" s="1"/>
  <c r="V103" i="93" a="1"/>
  <c r="V103" i="93" s="1"/>
  <c r="U103" i="93" a="1"/>
  <c r="U103" i="93" s="1"/>
  <c r="T103" i="93" a="1"/>
  <c r="T103" i="93" s="1"/>
  <c r="S103" i="93" a="1"/>
  <c r="S103" i="93" s="1"/>
  <c r="R103" i="93" a="1"/>
  <c r="R103" i="93" s="1"/>
  <c r="Q103" i="93" a="1"/>
  <c r="Q103" i="93" s="1"/>
  <c r="P103" i="93" a="1"/>
  <c r="P103" i="93" s="1"/>
  <c r="O103" i="93" a="1"/>
  <c r="O103" i="93" s="1"/>
  <c r="N103" i="93" a="1"/>
  <c r="N103" i="93" s="1"/>
  <c r="M103" i="93" a="1"/>
  <c r="M103" i="93" s="1"/>
  <c r="L103" i="93" a="1"/>
  <c r="L103" i="93" s="1"/>
  <c r="K103" i="93" a="1"/>
  <c r="K103" i="93" s="1"/>
  <c r="J103" i="93" a="1"/>
  <c r="J103" i="93" s="1"/>
  <c r="I103" i="93" a="1"/>
  <c r="I103" i="93" s="1"/>
  <c r="H103" i="93" a="1"/>
  <c r="H103" i="93" s="1"/>
  <c r="G103" i="93" a="1"/>
  <c r="G103" i="93" s="1"/>
  <c r="F103" i="93" a="1"/>
  <c r="F103" i="93" s="1"/>
  <c r="E103" i="93" a="1"/>
  <c r="E103" i="93" s="1"/>
  <c r="D103" i="93" a="1"/>
  <c r="D103" i="93" s="1"/>
  <c r="AE102" i="93" a="1"/>
  <c r="AE102" i="93" s="1"/>
  <c r="AD102" i="93" a="1"/>
  <c r="AD102" i="93" s="1"/>
  <c r="AC102" i="93" a="1"/>
  <c r="AC102" i="93" s="1"/>
  <c r="AB102" i="93" a="1"/>
  <c r="AB102" i="93" s="1"/>
  <c r="AA102" i="93" a="1"/>
  <c r="AA102" i="93" s="1"/>
  <c r="Z102" i="93" a="1"/>
  <c r="Z102" i="93" s="1"/>
  <c r="Y102" i="93" a="1"/>
  <c r="Y102" i="93" s="1"/>
  <c r="X102" i="93" a="1"/>
  <c r="X102" i="93" s="1"/>
  <c r="W102" i="93" a="1"/>
  <c r="W102" i="93" s="1"/>
  <c r="V102" i="93" a="1"/>
  <c r="V102" i="93" s="1"/>
  <c r="U102" i="93" a="1"/>
  <c r="U102" i="93" s="1"/>
  <c r="T102" i="93" a="1"/>
  <c r="T102" i="93" s="1"/>
  <c r="S102" i="93" a="1"/>
  <c r="S102" i="93" s="1"/>
  <c r="R102" i="93" a="1"/>
  <c r="R102" i="93" s="1"/>
  <c r="Q102" i="93" a="1"/>
  <c r="Q102" i="93" s="1"/>
  <c r="P102" i="93" a="1"/>
  <c r="P102" i="93" s="1"/>
  <c r="O102" i="93" a="1"/>
  <c r="O102" i="93" s="1"/>
  <c r="N102" i="93" a="1"/>
  <c r="N102" i="93" s="1"/>
  <c r="M102" i="93" a="1"/>
  <c r="M102" i="93" s="1"/>
  <c r="L102" i="93" a="1"/>
  <c r="L102" i="93" s="1"/>
  <c r="K102" i="93" a="1"/>
  <c r="K102" i="93" s="1"/>
  <c r="J102" i="93" a="1"/>
  <c r="J102" i="93" s="1"/>
  <c r="I102" i="93" a="1"/>
  <c r="I102" i="93" s="1"/>
  <c r="H102" i="93" a="1"/>
  <c r="H102" i="93" s="1"/>
  <c r="G102" i="93" a="1"/>
  <c r="G102" i="93" s="1"/>
  <c r="F102" i="93" a="1"/>
  <c r="F102" i="93" s="1"/>
  <c r="E102" i="93" a="1"/>
  <c r="E102" i="93" s="1"/>
  <c r="D102" i="93" a="1"/>
  <c r="D102" i="93" s="1"/>
  <c r="AE101" i="93" a="1"/>
  <c r="AE101" i="93" s="1"/>
  <c r="AD101" i="93" a="1"/>
  <c r="AD101" i="93" s="1"/>
  <c r="AC101" i="93" a="1"/>
  <c r="AC101" i="93" s="1"/>
  <c r="AB101" i="93" a="1"/>
  <c r="AB101" i="93" s="1"/>
  <c r="AA101" i="93" a="1"/>
  <c r="AA101" i="93" s="1"/>
  <c r="Z101" i="93" a="1"/>
  <c r="Z101" i="93" s="1"/>
  <c r="Y101" i="93" a="1"/>
  <c r="Y101" i="93" s="1"/>
  <c r="X101" i="93" a="1"/>
  <c r="X101" i="93" s="1"/>
  <c r="W101" i="93" a="1"/>
  <c r="W101" i="93" s="1"/>
  <c r="V101" i="93" a="1"/>
  <c r="V101" i="93" s="1"/>
  <c r="U101" i="93" a="1"/>
  <c r="U101" i="93" s="1"/>
  <c r="T101" i="93" a="1"/>
  <c r="T101" i="93" s="1"/>
  <c r="S101" i="93" a="1"/>
  <c r="S101" i="93" s="1"/>
  <c r="R101" i="93" a="1"/>
  <c r="R101" i="93" s="1"/>
  <c r="Q101" i="93" a="1"/>
  <c r="Q101" i="93" s="1"/>
  <c r="P101" i="93" a="1"/>
  <c r="P101" i="93" s="1"/>
  <c r="O101" i="93" a="1"/>
  <c r="O101" i="93" s="1"/>
  <c r="N101" i="93" a="1"/>
  <c r="N101" i="93" s="1"/>
  <c r="M101" i="93" a="1"/>
  <c r="M101" i="93" s="1"/>
  <c r="L101" i="93" a="1"/>
  <c r="L101" i="93" s="1"/>
  <c r="K101" i="93" a="1"/>
  <c r="K101" i="93" s="1"/>
  <c r="J101" i="93" a="1"/>
  <c r="J101" i="93" s="1"/>
  <c r="I101" i="93" a="1"/>
  <c r="I101" i="93" s="1"/>
  <c r="H101" i="93" a="1"/>
  <c r="H101" i="93" s="1"/>
  <c r="G101" i="93" a="1"/>
  <c r="G101" i="93" s="1"/>
  <c r="F101" i="93" a="1"/>
  <c r="F101" i="93" s="1"/>
  <c r="E101" i="93" a="1"/>
  <c r="E101" i="93" s="1"/>
  <c r="D101" i="93" a="1"/>
  <c r="D101" i="93" s="1"/>
  <c r="AE100" i="93" a="1"/>
  <c r="AE100" i="93" s="1"/>
  <c r="AD100" i="93" a="1"/>
  <c r="AD100" i="93" s="1"/>
  <c r="AC100" i="93" a="1"/>
  <c r="AC100" i="93" s="1"/>
  <c r="AB100" i="93" a="1"/>
  <c r="AB100" i="93" s="1"/>
  <c r="AA100" i="93" a="1"/>
  <c r="AA100" i="93" s="1"/>
  <c r="Z100" i="93" a="1"/>
  <c r="Z100" i="93" s="1"/>
  <c r="Y100" i="93" a="1"/>
  <c r="Y100" i="93" s="1"/>
  <c r="X100" i="93" a="1"/>
  <c r="X100" i="93" s="1"/>
  <c r="W100" i="93" a="1"/>
  <c r="W100" i="93" s="1"/>
  <c r="V100" i="93" a="1"/>
  <c r="V100" i="93" s="1"/>
  <c r="U100" i="93" a="1"/>
  <c r="U100" i="93" s="1"/>
  <c r="T100" i="93" a="1"/>
  <c r="T100" i="93" s="1"/>
  <c r="S100" i="93" a="1"/>
  <c r="S100" i="93" s="1"/>
  <c r="R100" i="93" a="1"/>
  <c r="R100" i="93" s="1"/>
  <c r="Q100" i="93" a="1"/>
  <c r="Q100" i="93" s="1"/>
  <c r="P100" i="93" a="1"/>
  <c r="P100" i="93" s="1"/>
  <c r="O100" i="93" a="1"/>
  <c r="O100" i="93" s="1"/>
  <c r="N100" i="93" a="1"/>
  <c r="N100" i="93" s="1"/>
  <c r="M100" i="93" a="1"/>
  <c r="M100" i="93" s="1"/>
  <c r="L100" i="93" a="1"/>
  <c r="L100" i="93" s="1"/>
  <c r="K100" i="93" a="1"/>
  <c r="K100" i="93" s="1"/>
  <c r="J100" i="93" a="1"/>
  <c r="J100" i="93" s="1"/>
  <c r="I100" i="93" a="1"/>
  <c r="I100" i="93" s="1"/>
  <c r="H100" i="93" a="1"/>
  <c r="H100" i="93" s="1"/>
  <c r="G100" i="93" a="1"/>
  <c r="G100" i="93" s="1"/>
  <c r="F100" i="93" a="1"/>
  <c r="F100" i="93" s="1"/>
  <c r="E100" i="93" a="1"/>
  <c r="E100" i="93" s="1"/>
  <c r="D100" i="93" a="1"/>
  <c r="D100" i="93" s="1"/>
  <c r="AE99" i="93" a="1"/>
  <c r="AE99" i="93" s="1"/>
  <c r="AD99" i="93" a="1"/>
  <c r="AD99" i="93" s="1"/>
  <c r="AC99" i="93" a="1"/>
  <c r="AC99" i="93" s="1"/>
  <c r="AB99" i="93" a="1"/>
  <c r="AB99" i="93" s="1"/>
  <c r="AA99" i="93" a="1"/>
  <c r="AA99" i="93" s="1"/>
  <c r="Z99" i="93" a="1"/>
  <c r="Z99" i="93" s="1"/>
  <c r="Y99" i="93" a="1"/>
  <c r="Y99" i="93" s="1"/>
  <c r="X99" i="93" a="1"/>
  <c r="X99" i="93" s="1"/>
  <c r="W99" i="93" a="1"/>
  <c r="W99" i="93" s="1"/>
  <c r="V99" i="93" a="1"/>
  <c r="V99" i="93" s="1"/>
  <c r="U99" i="93" a="1"/>
  <c r="U99" i="93" s="1"/>
  <c r="T99" i="93" a="1"/>
  <c r="T99" i="93" s="1"/>
  <c r="S99" i="93" a="1"/>
  <c r="S99" i="93" s="1"/>
  <c r="R99" i="93" a="1"/>
  <c r="R99" i="93" s="1"/>
  <c r="Q99" i="93" a="1"/>
  <c r="Q99" i="93" s="1"/>
  <c r="P99" i="93" a="1"/>
  <c r="P99" i="93" s="1"/>
  <c r="O99" i="93" a="1"/>
  <c r="O99" i="93" s="1"/>
  <c r="N99" i="93" a="1"/>
  <c r="N99" i="93" s="1"/>
  <c r="M99" i="93" a="1"/>
  <c r="M99" i="93" s="1"/>
  <c r="L99" i="93" a="1"/>
  <c r="L99" i="93" s="1"/>
  <c r="K99" i="93" a="1"/>
  <c r="K99" i="93" s="1"/>
  <c r="J99" i="93" a="1"/>
  <c r="J99" i="93" s="1"/>
  <c r="I99" i="93" a="1"/>
  <c r="I99" i="93" s="1"/>
  <c r="H99" i="93" a="1"/>
  <c r="H99" i="93" s="1"/>
  <c r="G99" i="93" a="1"/>
  <c r="G99" i="93" s="1"/>
  <c r="F99" i="93" a="1"/>
  <c r="F99" i="93" s="1"/>
  <c r="E99" i="93" a="1"/>
  <c r="E99" i="93" s="1"/>
  <c r="D99" i="93" a="1"/>
  <c r="D99" i="93" s="1"/>
  <c r="AE98" i="93" a="1"/>
  <c r="AE98" i="93" s="1"/>
  <c r="AD98" i="93" a="1"/>
  <c r="AD98" i="93" s="1"/>
  <c r="AC98" i="93" a="1"/>
  <c r="AC98" i="93" s="1"/>
  <c r="AB98" i="93" a="1"/>
  <c r="AB98" i="93" s="1"/>
  <c r="AA98" i="93" a="1"/>
  <c r="AA98" i="93" s="1"/>
  <c r="Z98" i="93" a="1"/>
  <c r="Z98" i="93" s="1"/>
  <c r="Y98" i="93" a="1"/>
  <c r="Y98" i="93" s="1"/>
  <c r="X98" i="93" a="1"/>
  <c r="X98" i="93" s="1"/>
  <c r="W98" i="93" a="1"/>
  <c r="W98" i="93" s="1"/>
  <c r="V98" i="93" a="1"/>
  <c r="V98" i="93" s="1"/>
  <c r="U98" i="93" a="1"/>
  <c r="U98" i="93" s="1"/>
  <c r="T98" i="93" a="1"/>
  <c r="T98" i="93" s="1"/>
  <c r="S98" i="93" a="1"/>
  <c r="S98" i="93" s="1"/>
  <c r="R98" i="93" a="1"/>
  <c r="R98" i="93" s="1"/>
  <c r="Q98" i="93" a="1"/>
  <c r="Q98" i="93" s="1"/>
  <c r="P98" i="93" a="1"/>
  <c r="P98" i="93" s="1"/>
  <c r="O98" i="93" a="1"/>
  <c r="O98" i="93" s="1"/>
  <c r="N98" i="93" a="1"/>
  <c r="N98" i="93" s="1"/>
  <c r="M98" i="93" a="1"/>
  <c r="M98" i="93" s="1"/>
  <c r="L98" i="93" a="1"/>
  <c r="L98" i="93" s="1"/>
  <c r="K98" i="93" a="1"/>
  <c r="K98" i="93" s="1"/>
  <c r="J98" i="93" a="1"/>
  <c r="J98" i="93" s="1"/>
  <c r="I98" i="93" a="1"/>
  <c r="I98" i="93" s="1"/>
  <c r="H98" i="93" a="1"/>
  <c r="H98" i="93" s="1"/>
  <c r="G98" i="93" a="1"/>
  <c r="G98" i="93" s="1"/>
  <c r="F98" i="93" a="1"/>
  <c r="F98" i="93" s="1"/>
  <c r="E98" i="93" a="1"/>
  <c r="E98" i="93" s="1"/>
  <c r="D98" i="93" a="1"/>
  <c r="D98" i="93" s="1"/>
  <c r="AE97" i="93" a="1"/>
  <c r="AE97" i="93" s="1"/>
  <c r="AD97" i="93" a="1"/>
  <c r="AD97" i="93" s="1"/>
  <c r="AC97" i="93" a="1"/>
  <c r="AC97" i="93" s="1"/>
  <c r="AB97" i="93" a="1"/>
  <c r="AB97" i="93" s="1"/>
  <c r="AA97" i="93" a="1"/>
  <c r="AA97" i="93" s="1"/>
  <c r="Z97" i="93" a="1"/>
  <c r="Z97" i="93" s="1"/>
  <c r="Y97" i="93" a="1"/>
  <c r="Y97" i="93" s="1"/>
  <c r="X97" i="93" a="1"/>
  <c r="X97" i="93" s="1"/>
  <c r="W97" i="93" a="1"/>
  <c r="W97" i="93" s="1"/>
  <c r="V97" i="93" a="1"/>
  <c r="V97" i="93" s="1"/>
  <c r="U97" i="93" a="1"/>
  <c r="U97" i="93" s="1"/>
  <c r="T97" i="93" a="1"/>
  <c r="T97" i="93" s="1"/>
  <c r="S97" i="93" a="1"/>
  <c r="S97" i="93" s="1"/>
  <c r="R97" i="93" a="1"/>
  <c r="R97" i="93" s="1"/>
  <c r="Q97" i="93" a="1"/>
  <c r="Q97" i="93" s="1"/>
  <c r="P97" i="93" a="1"/>
  <c r="P97" i="93" s="1"/>
  <c r="O97" i="93" a="1"/>
  <c r="O97" i="93" s="1"/>
  <c r="N97" i="93" a="1"/>
  <c r="N97" i="93" s="1"/>
  <c r="M97" i="93" a="1"/>
  <c r="M97" i="93" s="1"/>
  <c r="L97" i="93" a="1"/>
  <c r="L97" i="93" s="1"/>
  <c r="K97" i="93" a="1"/>
  <c r="K97" i="93" s="1"/>
  <c r="J97" i="93" a="1"/>
  <c r="J97" i="93" s="1"/>
  <c r="I97" i="93" a="1"/>
  <c r="I97" i="93" s="1"/>
  <c r="H97" i="93" a="1"/>
  <c r="H97" i="93" s="1"/>
  <c r="G97" i="93" a="1"/>
  <c r="G97" i="93" s="1"/>
  <c r="F97" i="93" a="1"/>
  <c r="F97" i="93" s="1"/>
  <c r="E97" i="93" a="1"/>
  <c r="E97" i="93" s="1"/>
  <c r="D97" i="93" a="1"/>
  <c r="D97" i="93" s="1"/>
  <c r="AE96" i="93" a="1"/>
  <c r="AE96" i="93" s="1"/>
  <c r="AD96" i="93" a="1"/>
  <c r="AD96" i="93" s="1"/>
  <c r="AC96" i="93" a="1"/>
  <c r="AC96" i="93" s="1"/>
  <c r="AB96" i="93" a="1"/>
  <c r="AB96" i="93" s="1"/>
  <c r="AA96" i="93" a="1"/>
  <c r="AA96" i="93" s="1"/>
  <c r="Z96" i="93" a="1"/>
  <c r="Z96" i="93" s="1"/>
  <c r="Y96" i="93" a="1"/>
  <c r="Y96" i="93" s="1"/>
  <c r="X96" i="93" a="1"/>
  <c r="X96" i="93" s="1"/>
  <c r="W96" i="93" a="1"/>
  <c r="W96" i="93" s="1"/>
  <c r="V96" i="93" a="1"/>
  <c r="V96" i="93" s="1"/>
  <c r="U96" i="93" a="1"/>
  <c r="U96" i="93" s="1"/>
  <c r="T96" i="93" a="1"/>
  <c r="T96" i="93" s="1"/>
  <c r="S96" i="93" a="1"/>
  <c r="S96" i="93" s="1"/>
  <c r="R96" i="93" a="1"/>
  <c r="R96" i="93" s="1"/>
  <c r="Q96" i="93" a="1"/>
  <c r="Q96" i="93" s="1"/>
  <c r="P96" i="93" a="1"/>
  <c r="P96" i="93" s="1"/>
  <c r="O96" i="93" a="1"/>
  <c r="O96" i="93" s="1"/>
  <c r="N96" i="93" a="1"/>
  <c r="N96" i="93" s="1"/>
  <c r="M96" i="93" a="1"/>
  <c r="M96" i="93" s="1"/>
  <c r="L96" i="93" a="1"/>
  <c r="L96" i="93" s="1"/>
  <c r="K96" i="93" a="1"/>
  <c r="K96" i="93" s="1"/>
  <c r="J96" i="93" a="1"/>
  <c r="J96" i="93" s="1"/>
  <c r="I96" i="93" a="1"/>
  <c r="I96" i="93" s="1"/>
  <c r="H96" i="93" a="1"/>
  <c r="H96" i="93" s="1"/>
  <c r="G96" i="93" a="1"/>
  <c r="G96" i="93" s="1"/>
  <c r="F96" i="93" a="1"/>
  <c r="F96" i="93" s="1"/>
  <c r="E96" i="93" a="1"/>
  <c r="E96" i="93" s="1"/>
  <c r="D96" i="93" a="1"/>
  <c r="D96" i="93" s="1"/>
  <c r="AE95" i="93" a="1"/>
  <c r="AE95" i="93" s="1"/>
  <c r="AD95" i="93" a="1"/>
  <c r="AD95" i="93" s="1"/>
  <c r="AC95" i="93" a="1"/>
  <c r="AC95" i="93" s="1"/>
  <c r="AB95" i="93" a="1"/>
  <c r="AB95" i="93" s="1"/>
  <c r="AA95" i="93" a="1"/>
  <c r="AA95" i="93" s="1"/>
  <c r="Z95" i="93" a="1"/>
  <c r="Z95" i="93" s="1"/>
  <c r="Y95" i="93" a="1"/>
  <c r="Y95" i="93" s="1"/>
  <c r="X95" i="93" a="1"/>
  <c r="X95" i="93" s="1"/>
  <c r="W95" i="93" a="1"/>
  <c r="W95" i="93" s="1"/>
  <c r="V95" i="93" a="1"/>
  <c r="V95" i="93" s="1"/>
  <c r="U95" i="93" a="1"/>
  <c r="U95" i="93" s="1"/>
  <c r="T95" i="93" a="1"/>
  <c r="T95" i="93" s="1"/>
  <c r="S95" i="93" a="1"/>
  <c r="S95" i="93" s="1"/>
  <c r="R95" i="93" a="1"/>
  <c r="R95" i="93" s="1"/>
  <c r="Q95" i="93" a="1"/>
  <c r="Q95" i="93" s="1"/>
  <c r="P95" i="93" a="1"/>
  <c r="P95" i="93" s="1"/>
  <c r="O95" i="93" a="1"/>
  <c r="O95" i="93" s="1"/>
  <c r="N95" i="93" a="1"/>
  <c r="N95" i="93" s="1"/>
  <c r="M95" i="93" a="1"/>
  <c r="M95" i="93" s="1"/>
  <c r="L95" i="93" a="1"/>
  <c r="L95" i="93" s="1"/>
  <c r="K95" i="93" a="1"/>
  <c r="K95" i="93" s="1"/>
  <c r="J95" i="93" a="1"/>
  <c r="J95" i="93" s="1"/>
  <c r="I95" i="93" a="1"/>
  <c r="I95" i="93" s="1"/>
  <c r="H95" i="93" a="1"/>
  <c r="H95" i="93" s="1"/>
  <c r="G95" i="93" a="1"/>
  <c r="G95" i="93" s="1"/>
  <c r="F95" i="93" a="1"/>
  <c r="F95" i="93" s="1"/>
  <c r="E95" i="93" a="1"/>
  <c r="E95" i="93" s="1"/>
  <c r="D95" i="93" a="1"/>
  <c r="D95" i="93" s="1"/>
  <c r="AE94" i="93" a="1"/>
  <c r="AE94" i="93" s="1"/>
  <c r="AD94" i="93" a="1"/>
  <c r="AD94" i="93" s="1"/>
  <c r="AC94" i="93" a="1"/>
  <c r="AC94" i="93" s="1"/>
  <c r="AB94" i="93" a="1"/>
  <c r="AB94" i="93" s="1"/>
  <c r="AA94" i="93" a="1"/>
  <c r="AA94" i="93" s="1"/>
  <c r="Z94" i="93" a="1"/>
  <c r="Z94" i="93" s="1"/>
  <c r="Y94" i="93" a="1"/>
  <c r="Y94" i="93" s="1"/>
  <c r="X94" i="93" a="1"/>
  <c r="X94" i="93" s="1"/>
  <c r="W94" i="93" a="1"/>
  <c r="W94" i="93" s="1"/>
  <c r="V94" i="93" a="1"/>
  <c r="V94" i="93" s="1"/>
  <c r="U94" i="93" a="1"/>
  <c r="U94" i="93" s="1"/>
  <c r="T94" i="93" a="1"/>
  <c r="T94" i="93" s="1"/>
  <c r="S94" i="93" a="1"/>
  <c r="S94" i="93" s="1"/>
  <c r="R94" i="93" a="1"/>
  <c r="R94" i="93" s="1"/>
  <c r="Q94" i="93" a="1"/>
  <c r="Q94" i="93" s="1"/>
  <c r="P94" i="93" a="1"/>
  <c r="P94" i="93" s="1"/>
  <c r="O94" i="93" a="1"/>
  <c r="O94" i="93" s="1"/>
  <c r="N94" i="93" a="1"/>
  <c r="N94" i="93" s="1"/>
  <c r="M94" i="93" a="1"/>
  <c r="M94" i="93" s="1"/>
  <c r="L94" i="93" a="1"/>
  <c r="L94" i="93" s="1"/>
  <c r="K94" i="93" a="1"/>
  <c r="K94" i="93" s="1"/>
  <c r="J94" i="93" a="1"/>
  <c r="J94" i="93" s="1"/>
  <c r="I94" i="93" a="1"/>
  <c r="I94" i="93" s="1"/>
  <c r="H94" i="93" a="1"/>
  <c r="H94" i="93" s="1"/>
  <c r="G94" i="93" a="1"/>
  <c r="G94" i="93" s="1"/>
  <c r="F94" i="93" a="1"/>
  <c r="F94" i="93" s="1"/>
  <c r="E94" i="93" a="1"/>
  <c r="E94" i="93" s="1"/>
  <c r="D94" i="93" a="1"/>
  <c r="D94" i="93" s="1"/>
  <c r="AE93" i="93" a="1"/>
  <c r="AE93" i="93" s="1"/>
  <c r="AD93" i="93" a="1"/>
  <c r="AD93" i="93" s="1"/>
  <c r="AC93" i="93" a="1"/>
  <c r="AC93" i="93" s="1"/>
  <c r="AB93" i="93" a="1"/>
  <c r="AB93" i="93" s="1"/>
  <c r="AA93" i="93" a="1"/>
  <c r="AA93" i="93" s="1"/>
  <c r="Z93" i="93" a="1"/>
  <c r="Z93" i="93" s="1"/>
  <c r="Y93" i="93" a="1"/>
  <c r="Y93" i="93" s="1"/>
  <c r="X93" i="93" a="1"/>
  <c r="X93" i="93" s="1"/>
  <c r="W93" i="93" a="1"/>
  <c r="W93" i="93" s="1"/>
  <c r="V93" i="93" a="1"/>
  <c r="V93" i="93" s="1"/>
  <c r="U93" i="93" a="1"/>
  <c r="U93" i="93" s="1"/>
  <c r="T93" i="93" a="1"/>
  <c r="T93" i="93" s="1"/>
  <c r="S93" i="93" a="1"/>
  <c r="S93" i="93" s="1"/>
  <c r="R93" i="93" a="1"/>
  <c r="R93" i="93" s="1"/>
  <c r="Q93" i="93" a="1"/>
  <c r="Q93" i="93" s="1"/>
  <c r="P93" i="93" a="1"/>
  <c r="P93" i="93" s="1"/>
  <c r="O93" i="93" a="1"/>
  <c r="O93" i="93" s="1"/>
  <c r="N93" i="93" a="1"/>
  <c r="N93" i="93" s="1"/>
  <c r="M93" i="93" a="1"/>
  <c r="M93" i="93" s="1"/>
  <c r="L93" i="93" a="1"/>
  <c r="L93" i="93" s="1"/>
  <c r="K93" i="93" a="1"/>
  <c r="K93" i="93" s="1"/>
  <c r="J93" i="93" a="1"/>
  <c r="J93" i="93" s="1"/>
  <c r="I93" i="93" a="1"/>
  <c r="I93" i="93" s="1"/>
  <c r="H93" i="93" a="1"/>
  <c r="H93" i="93" s="1"/>
  <c r="G93" i="93" a="1"/>
  <c r="G93" i="93" s="1"/>
  <c r="F93" i="93" a="1"/>
  <c r="F93" i="93" s="1"/>
  <c r="E93" i="93" a="1"/>
  <c r="E93" i="93" s="1"/>
  <c r="D93" i="93" a="1"/>
  <c r="D93" i="93" s="1"/>
  <c r="AE92" i="93" a="1"/>
  <c r="AE92" i="93" s="1"/>
  <c r="AD92" i="93" a="1"/>
  <c r="AD92" i="93" s="1"/>
  <c r="AC92" i="93" a="1"/>
  <c r="AC92" i="93" s="1"/>
  <c r="AB92" i="93" a="1"/>
  <c r="AB92" i="93" s="1"/>
  <c r="AA92" i="93" a="1"/>
  <c r="AA92" i="93" s="1"/>
  <c r="Z92" i="93" a="1"/>
  <c r="Z92" i="93" s="1"/>
  <c r="Y92" i="93" a="1"/>
  <c r="Y92" i="93" s="1"/>
  <c r="X92" i="93" a="1"/>
  <c r="X92" i="93" s="1"/>
  <c r="W92" i="93" a="1"/>
  <c r="W92" i="93" s="1"/>
  <c r="V92" i="93" a="1"/>
  <c r="V92" i="93" s="1"/>
  <c r="U92" i="93" a="1"/>
  <c r="U92" i="93" s="1"/>
  <c r="T92" i="93" a="1"/>
  <c r="T92" i="93" s="1"/>
  <c r="S92" i="93" a="1"/>
  <c r="S92" i="93" s="1"/>
  <c r="R92" i="93" a="1"/>
  <c r="R92" i="93" s="1"/>
  <c r="Q92" i="93" a="1"/>
  <c r="Q92" i="93" s="1"/>
  <c r="P92" i="93" a="1"/>
  <c r="P92" i="93" s="1"/>
  <c r="O92" i="93" a="1"/>
  <c r="O92" i="93" s="1"/>
  <c r="N92" i="93" a="1"/>
  <c r="N92" i="93" s="1"/>
  <c r="M92" i="93" a="1"/>
  <c r="M92" i="93" s="1"/>
  <c r="L92" i="93" a="1"/>
  <c r="L92" i="93" s="1"/>
  <c r="K92" i="93" a="1"/>
  <c r="K92" i="93" s="1"/>
  <c r="J92" i="93" a="1"/>
  <c r="J92" i="93" s="1"/>
  <c r="I92" i="93" a="1"/>
  <c r="I92" i="93" s="1"/>
  <c r="H92" i="93" a="1"/>
  <c r="H92" i="93" s="1"/>
  <c r="G92" i="93" a="1"/>
  <c r="G92" i="93" s="1"/>
  <c r="F92" i="93" a="1"/>
  <c r="F92" i="93" s="1"/>
  <c r="E92" i="93" a="1"/>
  <c r="E92" i="93" s="1"/>
  <c r="D92" i="93" a="1"/>
  <c r="D92" i="93" s="1"/>
  <c r="AE91" i="93" a="1"/>
  <c r="AE91" i="93" s="1"/>
  <c r="AD91" i="93" a="1"/>
  <c r="AD91" i="93" s="1"/>
  <c r="AC91" i="93" a="1"/>
  <c r="AC91" i="93" s="1"/>
  <c r="AB91" i="93" a="1"/>
  <c r="AB91" i="93" s="1"/>
  <c r="AA91" i="93" a="1"/>
  <c r="AA91" i="93" s="1"/>
  <c r="Z91" i="93" a="1"/>
  <c r="Z91" i="93" s="1"/>
  <c r="Y91" i="93" a="1"/>
  <c r="Y91" i="93" s="1"/>
  <c r="X91" i="93" a="1"/>
  <c r="X91" i="93" s="1"/>
  <c r="W91" i="93" a="1"/>
  <c r="W91" i="93" s="1"/>
  <c r="V91" i="93" a="1"/>
  <c r="V91" i="93" s="1"/>
  <c r="U91" i="93" a="1"/>
  <c r="U91" i="93" s="1"/>
  <c r="T91" i="93" a="1"/>
  <c r="T91" i="93" s="1"/>
  <c r="S91" i="93" a="1"/>
  <c r="S91" i="93" s="1"/>
  <c r="R91" i="93" a="1"/>
  <c r="R91" i="93" s="1"/>
  <c r="Q91" i="93" a="1"/>
  <c r="Q91" i="93" s="1"/>
  <c r="P91" i="93" a="1"/>
  <c r="P91" i="93" s="1"/>
  <c r="O91" i="93" a="1"/>
  <c r="O91" i="93" s="1"/>
  <c r="N91" i="93" a="1"/>
  <c r="N91" i="93" s="1"/>
  <c r="M91" i="93" a="1"/>
  <c r="M91" i="93" s="1"/>
  <c r="L91" i="93" a="1"/>
  <c r="L91" i="93" s="1"/>
  <c r="K91" i="93" a="1"/>
  <c r="K91" i="93" s="1"/>
  <c r="J91" i="93" a="1"/>
  <c r="J91" i="93" s="1"/>
  <c r="I91" i="93" a="1"/>
  <c r="I91" i="93" s="1"/>
  <c r="H91" i="93" a="1"/>
  <c r="H91" i="93" s="1"/>
  <c r="G91" i="93" a="1"/>
  <c r="G91" i="93" s="1"/>
  <c r="F91" i="93" a="1"/>
  <c r="F91" i="93" s="1"/>
  <c r="E91" i="93" a="1"/>
  <c r="E91" i="93" s="1"/>
  <c r="D91" i="93" a="1"/>
  <c r="D91" i="93" s="1"/>
  <c r="AE90" i="93" a="1"/>
  <c r="AE90" i="93" s="1"/>
  <c r="AD90" i="93" a="1"/>
  <c r="AD90" i="93" s="1"/>
  <c r="AC90" i="93" a="1"/>
  <c r="AC90" i="93" s="1"/>
  <c r="AB90" i="93" a="1"/>
  <c r="AB90" i="93" s="1"/>
  <c r="AA90" i="93" a="1"/>
  <c r="AA90" i="93" s="1"/>
  <c r="Z90" i="93" a="1"/>
  <c r="Z90" i="93" s="1"/>
  <c r="Y90" i="93" a="1"/>
  <c r="Y90" i="93" s="1"/>
  <c r="X90" i="93" a="1"/>
  <c r="X90" i="93" s="1"/>
  <c r="W90" i="93" a="1"/>
  <c r="W90" i="93" s="1"/>
  <c r="V90" i="93" a="1"/>
  <c r="V90" i="93" s="1"/>
  <c r="U90" i="93" a="1"/>
  <c r="U90" i="93" s="1"/>
  <c r="T90" i="93" a="1"/>
  <c r="T90" i="93" s="1"/>
  <c r="S90" i="93" a="1"/>
  <c r="S90" i="93" s="1"/>
  <c r="R90" i="93" a="1"/>
  <c r="R90" i="93" s="1"/>
  <c r="Q90" i="93" a="1"/>
  <c r="Q90" i="93" s="1"/>
  <c r="P90" i="93" a="1"/>
  <c r="P90" i="93" s="1"/>
  <c r="O90" i="93" a="1"/>
  <c r="O90" i="93" s="1"/>
  <c r="N90" i="93" a="1"/>
  <c r="N90" i="93" s="1"/>
  <c r="M90" i="93" a="1"/>
  <c r="M90" i="93" s="1"/>
  <c r="L90" i="93" a="1"/>
  <c r="L90" i="93" s="1"/>
  <c r="K90" i="93" a="1"/>
  <c r="K90" i="93" s="1"/>
  <c r="J90" i="93" a="1"/>
  <c r="J90" i="93" s="1"/>
  <c r="I90" i="93" a="1"/>
  <c r="I90" i="93" s="1"/>
  <c r="H90" i="93" a="1"/>
  <c r="H90" i="93" s="1"/>
  <c r="G90" i="93" a="1"/>
  <c r="G90" i="93" s="1"/>
  <c r="W15" i="86" s="1"/>
  <c r="F90" i="93" a="1"/>
  <c r="F90" i="93" s="1"/>
  <c r="E90" i="93" a="1"/>
  <c r="E90" i="93" s="1"/>
  <c r="D90" i="93" a="1"/>
  <c r="D90" i="93" s="1"/>
  <c r="F83" i="93" a="1"/>
  <c r="F83" i="93" s="1"/>
  <c r="E83" i="93" a="1"/>
  <c r="E83" i="93" s="1"/>
  <c r="J91" i="92" s="1"/>
  <c r="D83" i="93" a="1"/>
  <c r="D83" i="93" s="1"/>
  <c r="D82" i="93" a="1"/>
  <c r="D82" i="93" s="1"/>
  <c r="D81" i="93" a="1"/>
  <c r="D81" i="93" s="1"/>
  <c r="F78" i="93" a="1"/>
  <c r="F78" i="93" s="1"/>
  <c r="E78" i="93" a="1"/>
  <c r="E78" i="93" s="1"/>
  <c r="I57" i="92" s="1"/>
  <c r="D78" i="93" a="1"/>
  <c r="D78" i="93" s="1"/>
  <c r="D77" i="93" a="1"/>
  <c r="D77" i="93" s="1"/>
  <c r="D76" i="93" a="1"/>
  <c r="D76" i="93" s="1"/>
  <c r="F73" i="93" a="1"/>
  <c r="F73" i="93" s="1"/>
  <c r="E73" i="93" a="1"/>
  <c r="E73" i="93" s="1"/>
  <c r="I97" i="91" s="1"/>
  <c r="D73" i="93" a="1"/>
  <c r="D73" i="93" s="1"/>
  <c r="D72" i="93" a="1"/>
  <c r="D72" i="93" s="1"/>
  <c r="D71" i="93" a="1"/>
  <c r="D71" i="93" s="1"/>
  <c r="F68" i="93" a="1"/>
  <c r="F68" i="93" s="1"/>
  <c r="E68" i="93" a="1"/>
  <c r="E68" i="93" s="1"/>
  <c r="D68" i="93" a="1"/>
  <c r="D68" i="93" s="1"/>
  <c r="F67" i="93" a="1"/>
  <c r="F67" i="93" s="1"/>
  <c r="I19" i="90" s="1"/>
  <c r="E67" i="93" a="1"/>
  <c r="E67" i="93" s="1"/>
  <c r="I18" i="90" s="1"/>
  <c r="D67" i="93" a="1"/>
  <c r="D67" i="93" s="1"/>
  <c r="F66" i="93" a="1"/>
  <c r="F66" i="93" s="1"/>
  <c r="I16" i="90" s="1"/>
  <c r="E66" i="93" a="1"/>
  <c r="E66" i="93" s="1"/>
  <c r="I15" i="90" s="1"/>
  <c r="D66" i="93" a="1"/>
  <c r="D66" i="93" s="1"/>
  <c r="D64" i="93" a="1"/>
  <c r="D64" i="93" s="1"/>
  <c r="D63" i="93" a="1"/>
  <c r="D63" i="93" s="1"/>
  <c r="F60" i="93" a="1"/>
  <c r="F60" i="93" s="1"/>
  <c r="E60" i="93" a="1"/>
  <c r="E60" i="93" s="1"/>
  <c r="I50" i="88" s="1"/>
  <c r="D60" i="93" a="1"/>
  <c r="D60" i="93" s="1"/>
  <c r="D59" i="93" a="1"/>
  <c r="D59" i="93" s="1"/>
  <c r="D58" i="93" a="1"/>
  <c r="D58" i="93" s="1"/>
  <c r="E55" i="93" a="1"/>
  <c r="E55" i="93" s="1"/>
  <c r="D55" i="93" a="1"/>
  <c r="D55" i="93" s="1"/>
  <c r="E54" i="93" a="1"/>
  <c r="E54" i="93" s="1"/>
  <c r="D54" i="93" a="1"/>
  <c r="D54" i="93" s="1"/>
  <c r="E53" i="93" a="1"/>
  <c r="E53" i="93" s="1"/>
  <c r="D53" i="93" a="1"/>
  <c r="D53" i="93" s="1"/>
  <c r="E52" i="93" a="1"/>
  <c r="E52" i="93" s="1"/>
  <c r="D52" i="93" a="1"/>
  <c r="D52" i="93" s="1"/>
  <c r="E51" i="93" a="1"/>
  <c r="E51" i="93" s="1"/>
  <c r="D51" i="93" a="1"/>
  <c r="D51" i="93" s="1"/>
  <c r="D49" i="93" a="1"/>
  <c r="D49" i="93" s="1"/>
  <c r="D48" i="93" a="1"/>
  <c r="D48" i="93" s="1"/>
  <c r="I38" i="93" a="1"/>
  <c r="I38" i="93" s="1"/>
  <c r="H38" i="93" a="1"/>
  <c r="H38" i="93" s="1"/>
  <c r="G38" i="93" a="1"/>
  <c r="G38" i="93" s="1"/>
  <c r="F38" i="93" a="1"/>
  <c r="F38" i="93" s="1"/>
  <c r="E38" i="93" a="1"/>
  <c r="E38" i="93" s="1"/>
  <c r="D38" i="93" a="1"/>
  <c r="D38" i="93" s="1"/>
  <c r="G180" i="114" s="1"/>
  <c r="I37" i="93" a="1"/>
  <c r="I37" i="93" s="1"/>
  <c r="H37" i="93" a="1"/>
  <c r="H37" i="93" s="1"/>
  <c r="G37" i="93" a="1"/>
  <c r="G37" i="93" s="1"/>
  <c r="F37" i="93" a="1"/>
  <c r="F37" i="93" s="1"/>
  <c r="E37" i="93" a="1"/>
  <c r="E37" i="93" s="1"/>
  <c r="D37" i="93" a="1"/>
  <c r="D37" i="93" s="1"/>
  <c r="I36" i="93" a="1"/>
  <c r="I36" i="93" s="1"/>
  <c r="H36" i="93" a="1"/>
  <c r="H36" i="93" s="1"/>
  <c r="G36" i="93" a="1"/>
  <c r="G36" i="93" s="1"/>
  <c r="F36" i="93" a="1"/>
  <c r="F36" i="93" s="1"/>
  <c r="E36" i="93" a="1"/>
  <c r="E36" i="93" s="1"/>
  <c r="D36" i="93" a="1"/>
  <c r="D36" i="93" s="1"/>
  <c r="G190" i="114" s="1"/>
  <c r="I35" i="93" a="1"/>
  <c r="I35" i="93" s="1"/>
  <c r="H35" i="93" a="1"/>
  <c r="H35" i="93" s="1"/>
  <c r="G35" i="93" a="1"/>
  <c r="G35" i="93" s="1"/>
  <c r="F35" i="93" a="1"/>
  <c r="F35" i="93" s="1"/>
  <c r="E35" i="93" a="1"/>
  <c r="E35" i="93" s="1"/>
  <c r="D35" i="93" a="1"/>
  <c r="D35" i="93" s="1"/>
  <c r="G182" i="114" s="1"/>
  <c r="I34" i="93" a="1"/>
  <c r="I34" i="93" s="1"/>
  <c r="H34" i="93" a="1"/>
  <c r="H34" i="93" s="1"/>
  <c r="G34" i="93" a="1"/>
  <c r="G34" i="93" s="1"/>
  <c r="F34" i="93" a="1"/>
  <c r="F34" i="93" s="1"/>
  <c r="E34" i="93" a="1"/>
  <c r="E34" i="93" s="1"/>
  <c r="D34" i="93" a="1"/>
  <c r="D34" i="93" s="1"/>
  <c r="G184" i="114" s="1"/>
  <c r="I33" i="93" a="1"/>
  <c r="I33" i="93" s="1"/>
  <c r="H33" i="93" a="1"/>
  <c r="H33" i="93" s="1"/>
  <c r="G33" i="93" a="1"/>
  <c r="G33" i="93" s="1"/>
  <c r="F33" i="93" a="1"/>
  <c r="F33" i="93" s="1"/>
  <c r="E33" i="93" a="1"/>
  <c r="E33" i="93" s="1"/>
  <c r="D33" i="93" a="1"/>
  <c r="D33" i="93" s="1"/>
  <c r="G198" i="114" s="1"/>
  <c r="I32" i="93" a="1"/>
  <c r="I32" i="93" s="1"/>
  <c r="H32" i="93" a="1"/>
  <c r="H32" i="93" s="1"/>
  <c r="G32" i="93" a="1"/>
  <c r="G32" i="93" s="1"/>
  <c r="F32" i="93" a="1"/>
  <c r="F32" i="93" s="1"/>
  <c r="E32" i="93" a="1"/>
  <c r="E32" i="93" s="1"/>
  <c r="D32" i="93" a="1"/>
  <c r="D32" i="93" s="1"/>
  <c r="G191" i="114" s="1"/>
  <c r="I31" i="93" a="1"/>
  <c r="I31" i="93" s="1"/>
  <c r="H31" i="93" a="1"/>
  <c r="H31" i="93" s="1"/>
  <c r="G31" i="93" a="1"/>
  <c r="G31" i="93" s="1"/>
  <c r="F31" i="93" a="1"/>
  <c r="F31" i="93" s="1"/>
  <c r="E31" i="93" a="1"/>
  <c r="E31" i="93" s="1"/>
  <c r="D31" i="93" a="1"/>
  <c r="D31" i="93" s="1"/>
  <c r="G189" i="114" s="1"/>
  <c r="I30" i="93" a="1"/>
  <c r="I30" i="93" s="1"/>
  <c r="H30" i="93" a="1"/>
  <c r="H30" i="93" s="1"/>
  <c r="G30" i="93" a="1"/>
  <c r="G30" i="93" s="1"/>
  <c r="F30" i="93" a="1"/>
  <c r="F30" i="93" s="1"/>
  <c r="E30" i="93" a="1"/>
  <c r="E30" i="93" s="1"/>
  <c r="D30" i="93" a="1"/>
  <c r="D30" i="93" s="1"/>
  <c r="G188" i="114" s="1"/>
  <c r="I29" i="93" a="1"/>
  <c r="I29" i="93" s="1"/>
  <c r="H29" i="93" a="1"/>
  <c r="H29" i="93" s="1"/>
  <c r="G29" i="93" a="1"/>
  <c r="G29" i="93" s="1"/>
  <c r="F29" i="93" a="1"/>
  <c r="F29" i="93" s="1"/>
  <c r="E29" i="93" a="1"/>
  <c r="E29" i="93" s="1"/>
  <c r="D29" i="93" a="1"/>
  <c r="D29" i="93" s="1"/>
  <c r="G186" i="114" s="1"/>
  <c r="R28" i="93" a="1"/>
  <c r="R28" i="93" s="1"/>
  <c r="Q28" i="93" a="1"/>
  <c r="Q28" i="93" s="1"/>
  <c r="L28" i="93" a="1"/>
  <c r="L28" i="93" s="1"/>
  <c r="K28" i="93" a="1"/>
  <c r="K28" i="93" s="1"/>
  <c r="I28" i="93" a="1"/>
  <c r="I28" i="93" s="1"/>
  <c r="H28" i="93" a="1"/>
  <c r="H28" i="93" s="1"/>
  <c r="G28" i="93" a="1"/>
  <c r="G28" i="93" s="1"/>
  <c r="F28" i="93" a="1"/>
  <c r="F28" i="93" s="1"/>
  <c r="E28" i="93" a="1"/>
  <c r="E28" i="93" s="1"/>
  <c r="D28" i="93" a="1"/>
  <c r="D28" i="93" s="1"/>
  <c r="G187" i="114" s="1"/>
  <c r="R27" i="93" a="1"/>
  <c r="R27" i="93" s="1"/>
  <c r="Q27" i="93" a="1"/>
  <c r="Q27" i="93" s="1"/>
  <c r="L27" i="93" a="1"/>
  <c r="L27" i="93" s="1"/>
  <c r="K27" i="93" a="1"/>
  <c r="K27" i="93" s="1"/>
  <c r="I27" i="93" a="1"/>
  <c r="I27" i="93" s="1"/>
  <c r="H27" i="93" a="1"/>
  <c r="H27" i="93" s="1"/>
  <c r="G27" i="93" a="1"/>
  <c r="G27" i="93" s="1"/>
  <c r="F27" i="93" a="1"/>
  <c r="F27" i="93" s="1"/>
  <c r="E27" i="93" a="1"/>
  <c r="E27" i="93" s="1"/>
  <c r="D27" i="93" a="1"/>
  <c r="D27" i="93" s="1"/>
  <c r="G185" i="114" s="1"/>
  <c r="R26" i="93" a="1"/>
  <c r="R26" i="93" s="1"/>
  <c r="Q26" i="93" a="1"/>
  <c r="Q26" i="93" s="1"/>
  <c r="L26" i="93" a="1"/>
  <c r="L26" i="93" s="1"/>
  <c r="K26" i="93" a="1"/>
  <c r="K26" i="93" s="1"/>
  <c r="I26" i="93" a="1"/>
  <c r="I26" i="93" s="1"/>
  <c r="H26" i="93" a="1"/>
  <c r="H26" i="93" s="1"/>
  <c r="G26" i="93" a="1"/>
  <c r="G26" i="93" s="1"/>
  <c r="F26" i="93" a="1"/>
  <c r="F26" i="93" s="1"/>
  <c r="E26" i="93" a="1"/>
  <c r="E26" i="93" s="1"/>
  <c r="D26" i="93" a="1"/>
  <c r="D26" i="93" s="1"/>
  <c r="G179" i="114" s="1"/>
  <c r="R25" i="93" a="1"/>
  <c r="R25" i="93" s="1"/>
  <c r="Q25" i="93" a="1"/>
  <c r="Q25" i="93" s="1"/>
  <c r="L25" i="93" a="1"/>
  <c r="L25" i="93" s="1"/>
  <c r="K25" i="93" a="1"/>
  <c r="K25" i="93" s="1"/>
  <c r="I25" i="93" a="1"/>
  <c r="I25" i="93" s="1"/>
  <c r="H25" i="93" a="1"/>
  <c r="H25" i="93" s="1"/>
  <c r="G25" i="93" a="1"/>
  <c r="G25" i="93" s="1"/>
  <c r="F25" i="93" a="1"/>
  <c r="F25" i="93" s="1"/>
  <c r="E25" i="93" a="1"/>
  <c r="E25" i="93" s="1"/>
  <c r="D25" i="93" a="1"/>
  <c r="D25" i="93" s="1"/>
  <c r="G178" i="114" s="1"/>
  <c r="R24" i="93" a="1"/>
  <c r="R24" i="93" s="1"/>
  <c r="Q24" i="93" a="1"/>
  <c r="Q24" i="93" s="1"/>
  <c r="L24" i="93" a="1"/>
  <c r="L24" i="93" s="1"/>
  <c r="K24" i="93" a="1"/>
  <c r="K24" i="93" s="1"/>
  <c r="I24" i="93" a="1"/>
  <c r="I24" i="93" s="1"/>
  <c r="H24" i="93" a="1"/>
  <c r="H24" i="93" s="1"/>
  <c r="G24" i="93" a="1"/>
  <c r="G24" i="93" s="1"/>
  <c r="F24" i="93" a="1"/>
  <c r="F24" i="93" s="1"/>
  <c r="E24" i="93" a="1"/>
  <c r="E24" i="93" s="1"/>
  <c r="D24" i="93" a="1"/>
  <c r="D24" i="93" s="1"/>
  <c r="G193" i="114" s="1"/>
  <c r="V23" i="93" a="1"/>
  <c r="V23" i="93" s="1"/>
  <c r="H197" i="114" s="1"/>
  <c r="R23" i="93" a="1"/>
  <c r="R23" i="93" s="1"/>
  <c r="Q23" i="93" a="1"/>
  <c r="Q23" i="93" s="1"/>
  <c r="L23" i="93" a="1"/>
  <c r="L23" i="93" s="1"/>
  <c r="K23" i="93" a="1"/>
  <c r="K23" i="93" s="1"/>
  <c r="I23" i="93" a="1"/>
  <c r="I23" i="93" s="1"/>
  <c r="H23" i="93" a="1"/>
  <c r="H23" i="93" s="1"/>
  <c r="G23" i="93" a="1"/>
  <c r="G23" i="93" s="1"/>
  <c r="F23" i="93" a="1"/>
  <c r="F23" i="93" s="1"/>
  <c r="E23" i="93" a="1"/>
  <c r="E23" i="93" s="1"/>
  <c r="D23" i="93" a="1"/>
  <c r="D23" i="93" s="1"/>
  <c r="G192" i="114" s="1"/>
  <c r="V22" i="93" a="1"/>
  <c r="V22" i="93" s="1"/>
  <c r="R22" i="93" a="1"/>
  <c r="R22" i="93" s="1"/>
  <c r="Q22" i="93" a="1"/>
  <c r="Q22" i="93" s="1"/>
  <c r="L22" i="93" a="1"/>
  <c r="L22" i="93" s="1"/>
  <c r="K22" i="93" a="1"/>
  <c r="K22" i="93" s="1"/>
  <c r="I22" i="93" a="1"/>
  <c r="I22" i="93" s="1"/>
  <c r="H22" i="93" a="1"/>
  <c r="H22" i="93" s="1"/>
  <c r="G22" i="93" a="1"/>
  <c r="G22" i="93" s="1"/>
  <c r="F22" i="93" a="1"/>
  <c r="F22" i="93" s="1"/>
  <c r="E22" i="93" a="1"/>
  <c r="E22" i="93" s="1"/>
  <c r="D22" i="93" a="1"/>
  <c r="D22" i="93" s="1"/>
  <c r="G195" i="114" s="1"/>
  <c r="V21" i="93" a="1"/>
  <c r="V21" i="93" s="1"/>
  <c r="R21" i="93" a="1"/>
  <c r="R21" i="93" s="1"/>
  <c r="Q21" i="93" a="1"/>
  <c r="Q21" i="93" s="1"/>
  <c r="L21" i="93" a="1"/>
  <c r="L21" i="93" s="1"/>
  <c r="K21" i="93" a="1"/>
  <c r="K21" i="93" s="1"/>
  <c r="I21" i="93" a="1"/>
  <c r="I21" i="93" s="1"/>
  <c r="H21" i="93" a="1"/>
  <c r="H21" i="93" s="1"/>
  <c r="G21" i="93" a="1"/>
  <c r="G21" i="93" s="1"/>
  <c r="F21" i="93" a="1"/>
  <c r="F21" i="93" s="1"/>
  <c r="E21" i="93" a="1"/>
  <c r="E21" i="93" s="1"/>
  <c r="D21" i="93" a="1"/>
  <c r="D21" i="93" s="1"/>
  <c r="G181" i="114" s="1"/>
  <c r="V20" i="93" a="1"/>
  <c r="V20" i="93" s="1"/>
  <c r="R20" i="93" a="1"/>
  <c r="R20" i="93" s="1"/>
  <c r="Q20" i="93" a="1"/>
  <c r="Q20" i="93" s="1"/>
  <c r="L20" i="93" a="1"/>
  <c r="L20" i="93" s="1"/>
  <c r="K20" i="93" a="1"/>
  <c r="K20" i="93" s="1"/>
  <c r="I20" i="93" a="1"/>
  <c r="I20" i="93" s="1"/>
  <c r="H20" i="93" a="1"/>
  <c r="H20" i="93" s="1"/>
  <c r="G20" i="93" a="1"/>
  <c r="G20" i="93" s="1"/>
  <c r="F20" i="93" a="1"/>
  <c r="F20" i="93" s="1"/>
  <c r="E20" i="93" a="1"/>
  <c r="E20" i="93" s="1"/>
  <c r="D20" i="93" a="1"/>
  <c r="D20" i="93" s="1"/>
  <c r="V18" i="93" a="1"/>
  <c r="V18" i="93" s="1"/>
  <c r="Q18" i="93" a="1"/>
  <c r="Q18" i="93" s="1"/>
  <c r="K18" i="93" a="1"/>
  <c r="K18" i="93" s="1"/>
  <c r="V17" i="93" a="1"/>
  <c r="V17" i="93" s="1"/>
  <c r="Q17" i="93" a="1"/>
  <c r="Q17" i="93" s="1"/>
  <c r="K17" i="93" a="1"/>
  <c r="K17" i="93" s="1"/>
  <c r="D7" i="93" a="1"/>
  <c r="D7" i="93" s="1"/>
  <c r="D6" i="93" a="1"/>
  <c r="D6" i="93" s="1"/>
  <c r="D5" i="93" a="1"/>
  <c r="D5" i="93" s="1"/>
  <c r="F99" i="92" a="1"/>
  <c r="F99" i="92" s="1"/>
  <c r="D96" i="92" a="1"/>
  <c r="D96" i="92" s="1"/>
  <c r="H89" i="92" a="1"/>
  <c r="H89" i="92" s="1"/>
  <c r="D89" i="92" a="1"/>
  <c r="D89" i="92" s="1"/>
  <c r="E87" i="92" a="1"/>
  <c r="E87" i="92" s="1"/>
  <c r="F94" i="92" s="1"/>
  <c r="E86" i="92" a="1"/>
  <c r="E86" i="92" s="1"/>
  <c r="D82" i="92" a="1"/>
  <c r="D82" i="92" s="1"/>
  <c r="D81" i="92" a="1"/>
  <c r="D81" i="92" s="1"/>
  <c r="D67" i="92"/>
  <c r="D66" i="92"/>
  <c r="D65" i="92"/>
  <c r="I59" i="92"/>
  <c r="I58" i="92"/>
  <c r="I55" i="92" a="1"/>
  <c r="I55" i="92" s="1"/>
  <c r="G55" i="92" a="1"/>
  <c r="G55" i="92" s="1"/>
  <c r="D55" i="92" a="1"/>
  <c r="D55" i="92" s="1"/>
  <c r="E53" i="92" a="1"/>
  <c r="E53" i="92" s="1"/>
  <c r="F77" i="92" s="1"/>
  <c r="E52" i="92" a="1"/>
  <c r="E52" i="92" s="1"/>
  <c r="D48" i="92" a="1"/>
  <c r="D48" i="92" s="1"/>
  <c r="D47" i="92" a="1"/>
  <c r="D47" i="92" s="1"/>
  <c r="I17" i="92"/>
  <c r="I16" i="92"/>
  <c r="I13" i="92" a="1"/>
  <c r="I13" i="92" s="1"/>
  <c r="G13" i="92" a="1"/>
  <c r="G13" i="92" s="1"/>
  <c r="D13" i="92" a="1"/>
  <c r="D13" i="92" s="1"/>
  <c r="E11" i="92" a="1"/>
  <c r="E11" i="92" s="1"/>
  <c r="F43" i="92" s="1"/>
  <c r="E10" i="92" a="1"/>
  <c r="E10" i="92" s="1"/>
  <c r="D6" i="92" a="1"/>
  <c r="D6" i="92" s="1"/>
  <c r="D5" i="92" a="1"/>
  <c r="D5" i="92" s="1"/>
  <c r="F151" i="91" a="1"/>
  <c r="F151" i="91" s="1"/>
  <c r="D148" i="91" a="1"/>
  <c r="D148" i="91" s="1"/>
  <c r="I127" i="91"/>
  <c r="I124" i="91" a="1"/>
  <c r="I124" i="91" s="1"/>
  <c r="G124" i="91" a="1"/>
  <c r="G124" i="91" s="1"/>
  <c r="D124" i="91" a="1"/>
  <c r="D124" i="91" s="1"/>
  <c r="E122" i="91" a="1"/>
  <c r="E122" i="91" s="1"/>
  <c r="F146" i="91" s="1"/>
  <c r="E121" i="91" a="1"/>
  <c r="E121" i="91" s="1"/>
  <c r="D117" i="91" a="1"/>
  <c r="D117" i="91" s="1"/>
  <c r="D116" i="91" a="1"/>
  <c r="D116" i="91" s="1"/>
  <c r="I96" i="91" a="1"/>
  <c r="I96" i="91" s="1"/>
  <c r="G96" i="91" a="1"/>
  <c r="G96" i="91" s="1"/>
  <c r="D96" i="91" a="1"/>
  <c r="D96" i="91" s="1"/>
  <c r="E94" i="91" a="1"/>
  <c r="E94" i="91" s="1"/>
  <c r="G102" i="91" s="1"/>
  <c r="E93" i="91" a="1"/>
  <c r="E93" i="91" s="1"/>
  <c r="D89" i="91" a="1"/>
  <c r="D89" i="91" s="1"/>
  <c r="D88" i="91" a="1"/>
  <c r="D88" i="91" s="1"/>
  <c r="F84" i="91" a="1"/>
  <c r="F84" i="91" s="1"/>
  <c r="D81" i="91" a="1"/>
  <c r="D81" i="91" s="1"/>
  <c r="J52" i="91"/>
  <c r="J49" i="91" a="1"/>
  <c r="J49" i="91" s="1"/>
  <c r="H49" i="91" a="1"/>
  <c r="H49" i="91" s="1"/>
  <c r="D49" i="91" a="1"/>
  <c r="D49" i="91" s="1"/>
  <c r="E47" i="91" a="1"/>
  <c r="E47" i="91" s="1"/>
  <c r="F79" i="91" s="1"/>
  <c r="E46" i="91" a="1"/>
  <c r="E46" i="91" s="1"/>
  <c r="D42" i="91" a="1"/>
  <c r="D42" i="91" s="1"/>
  <c r="D41" i="91" a="1"/>
  <c r="D41" i="91" s="1"/>
  <c r="I14" i="91" a="1"/>
  <c r="I14" i="91" s="1"/>
  <c r="I13" i="91" a="1"/>
  <c r="I13" i="91" s="1"/>
  <c r="G13" i="91" a="1"/>
  <c r="G13" i="91" s="1"/>
  <c r="D13" i="91" a="1"/>
  <c r="D13" i="91" s="1"/>
  <c r="E11" i="91" a="1"/>
  <c r="E11" i="91" s="1"/>
  <c r="E10" i="91" a="1"/>
  <c r="E10" i="91" s="1"/>
  <c r="D6" i="91" a="1"/>
  <c r="D6" i="91" s="1"/>
  <c r="D5" i="91" a="1"/>
  <c r="D5" i="91" s="1"/>
  <c r="I17" i="90" a="1"/>
  <c r="I17" i="90" s="1"/>
  <c r="I14" i="90" a="1"/>
  <c r="I14" i="90" s="1"/>
  <c r="I13" i="90" a="1"/>
  <c r="I13" i="90" s="1"/>
  <c r="G13" i="90" a="1"/>
  <c r="G13" i="90" s="1"/>
  <c r="D13" i="90" a="1"/>
  <c r="D13" i="90" s="1"/>
  <c r="E11" i="90" a="1"/>
  <c r="E11" i="90" s="1"/>
  <c r="E10" i="90" a="1"/>
  <c r="E10" i="90" s="1"/>
  <c r="D6" i="90" a="1"/>
  <c r="D6" i="90" s="1"/>
  <c r="D5" i="90" a="1"/>
  <c r="D5" i="90" s="1"/>
  <c r="F55" i="89" a="1"/>
  <c r="F55" i="89" s="1"/>
  <c r="D52" i="89" a="1"/>
  <c r="D52" i="89" s="1"/>
  <c r="K47" i="89"/>
  <c r="I44" i="89" a="1"/>
  <c r="I44" i="89" s="1"/>
  <c r="D44" i="89" a="1"/>
  <c r="D44" i="89" s="1"/>
  <c r="E42" i="89" a="1"/>
  <c r="E42" i="89" s="1"/>
  <c r="F50" i="89" s="1"/>
  <c r="E41" i="89" a="1"/>
  <c r="E41" i="89" s="1"/>
  <c r="D37" i="89" a="1"/>
  <c r="D37" i="89" s="1"/>
  <c r="D36" i="89" a="1"/>
  <c r="D36" i="89" s="1"/>
  <c r="I30" i="89" a="1"/>
  <c r="I30" i="89" s="1"/>
  <c r="I29" i="89" a="1"/>
  <c r="I29" i="89" s="1"/>
  <c r="E74" i="92" s="1"/>
  <c r="I28" i="89" a="1"/>
  <c r="I28" i="89" s="1"/>
  <c r="I27" i="89" a="1"/>
  <c r="I27" i="89" s="1"/>
  <c r="I26" i="89" a="1"/>
  <c r="I26" i="89" s="1"/>
  <c r="E108" i="91" s="1"/>
  <c r="I25" i="89" a="1"/>
  <c r="I25" i="89" s="1"/>
  <c r="E107" i="91" s="1"/>
  <c r="I24" i="89" a="1"/>
  <c r="I24" i="89" s="1"/>
  <c r="E106" i="91" s="1"/>
  <c r="I23" i="89" a="1"/>
  <c r="I23" i="89" s="1"/>
  <c r="I15" i="89" a="1"/>
  <c r="I15" i="89" s="1"/>
  <c r="I14" i="89" a="1"/>
  <c r="I14" i="89" s="1"/>
  <c r="I13" i="89" a="1"/>
  <c r="I13" i="89" s="1"/>
  <c r="G13" i="89" a="1"/>
  <c r="G13" i="89" s="1"/>
  <c r="D13" i="89" a="1"/>
  <c r="D13" i="89" s="1"/>
  <c r="E11" i="89" a="1"/>
  <c r="E11" i="89" s="1"/>
  <c r="F32" i="89" s="1"/>
  <c r="E10" i="89" a="1"/>
  <c r="E10" i="89" s="1"/>
  <c r="D6" i="89" a="1"/>
  <c r="D6" i="89" s="1"/>
  <c r="D5" i="89" a="1"/>
  <c r="D5" i="89" s="1"/>
  <c r="I53" i="88" a="1"/>
  <c r="I53" i="88" s="1"/>
  <c r="I52" i="88"/>
  <c r="I49" i="88" a="1"/>
  <c r="I49" i="88" s="1"/>
  <c r="G49" i="88" a="1"/>
  <c r="G49" i="88" s="1"/>
  <c r="D49" i="88" a="1"/>
  <c r="D49" i="88" s="1"/>
  <c r="E47" i="88" a="1"/>
  <c r="E47" i="88" s="1"/>
  <c r="E46" i="88" a="1"/>
  <c r="E46" i="88" s="1"/>
  <c r="D42" i="88" a="1"/>
  <c r="D42" i="88" s="1"/>
  <c r="D41" i="88" a="1"/>
  <c r="D41" i="88" s="1"/>
  <c r="I14" i="88" a="1"/>
  <c r="I14" i="88" s="1"/>
  <c r="I13" i="88" a="1"/>
  <c r="I13" i="88" s="1"/>
  <c r="G13" i="88" a="1"/>
  <c r="G13" i="88" s="1"/>
  <c r="D13" i="88" a="1"/>
  <c r="D13" i="88" s="1"/>
  <c r="E11" i="88" a="1"/>
  <c r="E11" i="88" s="1"/>
  <c r="E10" i="88" a="1"/>
  <c r="E10" i="88" s="1"/>
  <c r="D6" i="88" a="1"/>
  <c r="D6" i="88" s="1"/>
  <c r="D5" i="88" a="1"/>
  <c r="D5" i="88" s="1"/>
  <c r="O93" i="87" a="1"/>
  <c r="O93" i="87" s="1"/>
  <c r="M90" i="87" a="1"/>
  <c r="M90" i="87" s="1"/>
  <c r="F85" i="87" a="1"/>
  <c r="F85" i="87" s="1"/>
  <c r="D82" i="87" a="1"/>
  <c r="D82" i="87" s="1"/>
  <c r="S71" i="87"/>
  <c r="S70" i="87"/>
  <c r="S67" i="87" a="1"/>
  <c r="S67" i="87" s="1"/>
  <c r="Q67" i="87" a="1"/>
  <c r="Q67" i="87" s="1"/>
  <c r="M67" i="87" a="1"/>
  <c r="M67" i="87" s="1"/>
  <c r="N65" i="87" a="1"/>
  <c r="N65" i="87" s="1"/>
  <c r="N64" i="87" a="1"/>
  <c r="N64" i="87" s="1"/>
  <c r="M59" i="87" a="1"/>
  <c r="M59" i="87" s="1"/>
  <c r="M58" i="87" a="1"/>
  <c r="M58" i="87" s="1"/>
  <c r="V54" i="87" a="1"/>
  <c r="V54" i="87" s="1"/>
  <c r="T54" i="87"/>
  <c r="U54" i="87" s="1"/>
  <c r="S54" i="87" a="1"/>
  <c r="S54" i="87" s="1"/>
  <c r="R54" i="87" a="1"/>
  <c r="R54" i="87" s="1"/>
  <c r="Q54" i="87"/>
  <c r="V53" i="87" a="1"/>
  <c r="V53" i="87" s="1"/>
  <c r="T53" i="87"/>
  <c r="U53" i="87" s="1"/>
  <c r="S53" i="87" a="1"/>
  <c r="S53" i="87" s="1"/>
  <c r="R53" i="87" a="1"/>
  <c r="R53" i="87" s="1"/>
  <c r="Q53" i="87"/>
  <c r="I53" i="87"/>
  <c r="I52" i="87"/>
  <c r="I49" i="87" a="1"/>
  <c r="I49" i="87" s="1"/>
  <c r="G49" i="87" a="1"/>
  <c r="G49" i="87" s="1"/>
  <c r="D49" i="87" a="1"/>
  <c r="D49" i="87" s="1"/>
  <c r="E47" i="87" a="1"/>
  <c r="E47" i="87" s="1"/>
  <c r="E46" i="87" a="1"/>
  <c r="E46" i="87" s="1"/>
  <c r="D41" i="87" a="1"/>
  <c r="D41" i="87" s="1"/>
  <c r="D40" i="87" a="1"/>
  <c r="D40" i="87" s="1"/>
  <c r="R35" i="87" a="1"/>
  <c r="R35" i="87" s="1"/>
  <c r="P35" i="87" a="1"/>
  <c r="P35" i="87" s="1"/>
  <c r="M35" i="87" a="1"/>
  <c r="M35" i="87" s="1"/>
  <c r="N33" i="87" a="1"/>
  <c r="N33" i="87" s="1"/>
  <c r="V43" i="87" s="1"/>
  <c r="N32" i="87" a="1"/>
  <c r="N32" i="87" s="1"/>
  <c r="V44" i="87" s="1"/>
  <c r="M28" i="87" a="1"/>
  <c r="M28" i="87" s="1"/>
  <c r="M27" i="87" a="1"/>
  <c r="M27" i="87" s="1"/>
  <c r="R23" i="87" a="1"/>
  <c r="R23" i="87" s="1"/>
  <c r="P23" i="87" a="1"/>
  <c r="P23" i="87" s="1"/>
  <c r="M23" i="87" a="1"/>
  <c r="M23" i="87" s="1"/>
  <c r="N21" i="87" a="1"/>
  <c r="N21" i="87" s="1"/>
  <c r="S43" i="87" s="1"/>
  <c r="N20" i="87" a="1"/>
  <c r="N20" i="87" s="1"/>
  <c r="S44" i="87" s="1"/>
  <c r="M17" i="87" a="1"/>
  <c r="M17" i="87" s="1"/>
  <c r="M16" i="87" a="1"/>
  <c r="M16" i="87" s="1"/>
  <c r="I14" i="87" a="1"/>
  <c r="I14" i="87" s="1"/>
  <c r="I13" i="87" a="1"/>
  <c r="I13" i="87" s="1"/>
  <c r="G13" i="87" a="1"/>
  <c r="G13" i="87" s="1"/>
  <c r="D13" i="87" a="1"/>
  <c r="D13" i="87" s="1"/>
  <c r="R12" i="87" a="1"/>
  <c r="R12" i="87" s="1"/>
  <c r="P12" i="87" a="1"/>
  <c r="P12" i="87" s="1"/>
  <c r="M12" i="87" a="1"/>
  <c r="M12" i="87" s="1"/>
  <c r="E11" i="87" a="1"/>
  <c r="E11" i="87" s="1"/>
  <c r="N10" i="87" a="1"/>
  <c r="N10" i="87" s="1"/>
  <c r="R43" i="87" s="1"/>
  <c r="E10" i="87" a="1"/>
  <c r="E10" i="87" s="1"/>
  <c r="N9" i="87" a="1"/>
  <c r="N9" i="87" s="1"/>
  <c r="R44" i="87" s="1"/>
  <c r="M6" i="87" a="1"/>
  <c r="M6" i="87" s="1"/>
  <c r="D6" i="87" a="1"/>
  <c r="D6" i="87" s="1"/>
  <c r="M5" i="87" a="1"/>
  <c r="M5" i="87" s="1"/>
  <c r="D5" i="87" a="1"/>
  <c r="D5" i="87" s="1"/>
  <c r="G44" i="86"/>
  <c r="G43" i="86"/>
  <c r="G42" i="86"/>
  <c r="K33" i="86"/>
  <c r="K32" i="86"/>
  <c r="K31" i="86"/>
  <c r="W166" i="85" a="1"/>
  <c r="W166" i="85" s="1"/>
  <c r="U163" i="85" a="1"/>
  <c r="U163" i="85" s="1"/>
  <c r="U144" i="85"/>
  <c r="U160" i="85" s="1"/>
  <c r="U143" i="85"/>
  <c r="U159" i="85" s="1"/>
  <c r="U142" i="85"/>
  <c r="U158" i="85" s="1"/>
  <c r="U141" i="85"/>
  <c r="U157" i="85" s="1"/>
  <c r="U140" i="85"/>
  <c r="U156" i="85" s="1"/>
  <c r="U139" i="85"/>
  <c r="U155" i="85" s="1"/>
  <c r="U138" i="85"/>
  <c r="U154" i="85" s="1"/>
  <c r="U137" i="85"/>
  <c r="U153" i="85" s="1"/>
  <c r="U136" i="85"/>
  <c r="U152" i="85" s="1"/>
  <c r="U135" i="85"/>
  <c r="U151" i="85" s="1"/>
  <c r="U134" i="85"/>
  <c r="U150" i="85" s="1"/>
  <c r="U133" i="85"/>
  <c r="U149" i="85" s="1"/>
  <c r="F133" i="85" a="1"/>
  <c r="F133" i="85" s="1"/>
  <c r="D130" i="85" a="1"/>
  <c r="D130" i="85" s="1"/>
  <c r="U128" i="85"/>
  <c r="U127" i="85"/>
  <c r="U126" i="85"/>
  <c r="U125" i="85"/>
  <c r="U124" i="85"/>
  <c r="U123" i="85"/>
  <c r="U122" i="85"/>
  <c r="U121" i="85"/>
  <c r="U120" i="85"/>
  <c r="U119" i="85"/>
  <c r="U118" i="85"/>
  <c r="V117" i="85" a="1"/>
  <c r="V117" i="85" s="1"/>
  <c r="U117" i="85"/>
  <c r="E115" i="85" a="1"/>
  <c r="U112" i="85" a="1"/>
  <c r="U112" i="85" s="1"/>
  <c r="U108" i="85"/>
  <c r="U107" i="85"/>
  <c r="E107" i="85" a="1"/>
  <c r="E107" i="85" s="1"/>
  <c r="U106" i="85"/>
  <c r="U105" i="85"/>
  <c r="U104" i="85"/>
  <c r="U103" i="85"/>
  <c r="U102" i="85"/>
  <c r="I102" i="85" a="1"/>
  <c r="I102" i="85" s="1"/>
  <c r="U101" i="85"/>
  <c r="I101" i="85" a="1"/>
  <c r="I101" i="85" s="1"/>
  <c r="U100" i="85"/>
  <c r="I100" i="85" a="1"/>
  <c r="I100" i="85" s="1"/>
  <c r="G100" i="85" a="1"/>
  <c r="AF117" i="85" s="1"/>
  <c r="D100" i="85" a="1"/>
  <c r="D100" i="85" s="1"/>
  <c r="U99" i="85"/>
  <c r="U98" i="85"/>
  <c r="E98" i="85" a="1"/>
  <c r="E98" i="85" s="1"/>
  <c r="U97" i="85"/>
  <c r="E97" i="85" a="1"/>
  <c r="E97" i="85" s="1"/>
  <c r="D93" i="85" a="1"/>
  <c r="D93" i="85" s="1"/>
  <c r="U92" i="85" a="1"/>
  <c r="U92" i="85" s="1"/>
  <c r="D92" i="85" a="1"/>
  <c r="D92" i="85" s="1"/>
  <c r="U87" i="85"/>
  <c r="U86" i="85"/>
  <c r="U85" i="85"/>
  <c r="U84" i="85"/>
  <c r="U83" i="85"/>
  <c r="U82" i="85"/>
  <c r="U81" i="85"/>
  <c r="U80" i="85"/>
  <c r="I80" i="85" a="1"/>
  <c r="I80" i="85" s="1"/>
  <c r="G80" i="85" a="1"/>
  <c r="G80" i="85" s="1"/>
  <c r="D80" i="85" a="1"/>
  <c r="D80" i="85" s="1"/>
  <c r="U79" i="85"/>
  <c r="U78" i="85"/>
  <c r="E78" i="85" a="1"/>
  <c r="E78" i="85" s="1"/>
  <c r="U77" i="85"/>
  <c r="E77" i="85" a="1"/>
  <c r="E77" i="85" s="1"/>
  <c r="U76" i="85"/>
  <c r="D72" i="85" a="1"/>
  <c r="D72" i="85" s="1"/>
  <c r="U71" i="85"/>
  <c r="D71" i="85" a="1"/>
  <c r="D71" i="85" s="1"/>
  <c r="U70" i="85"/>
  <c r="U69" i="85"/>
  <c r="U68" i="85"/>
  <c r="U67" i="85"/>
  <c r="U66" i="85"/>
  <c r="U65" i="85"/>
  <c r="U64" i="85"/>
  <c r="U63" i="85"/>
  <c r="U62" i="85"/>
  <c r="U61" i="85"/>
  <c r="U60" i="85"/>
  <c r="D59" i="85"/>
  <c r="D58" i="85"/>
  <c r="D57" i="85"/>
  <c r="D56" i="85"/>
  <c r="U55" i="85"/>
  <c r="U54" i="85"/>
  <c r="U53" i="85"/>
  <c r="U52" i="85"/>
  <c r="U51" i="85"/>
  <c r="D51" i="85"/>
  <c r="U50" i="85"/>
  <c r="D50" i="85"/>
  <c r="U49" i="85"/>
  <c r="D49" i="85"/>
  <c r="U48" i="85"/>
  <c r="D48" i="85"/>
  <c r="U47" i="85"/>
  <c r="U46" i="85"/>
  <c r="U45" i="85"/>
  <c r="U44" i="85"/>
  <c r="I43" i="85" a="1"/>
  <c r="I43" i="85" s="1"/>
  <c r="I42" i="85" a="1"/>
  <c r="I42" i="85" s="1"/>
  <c r="I41" i="85" a="1"/>
  <c r="I41" i="85" s="1"/>
  <c r="G41" i="85" a="1"/>
  <c r="G41" i="85" s="1"/>
  <c r="D41" i="85" a="1"/>
  <c r="D41" i="85" s="1"/>
  <c r="U39" i="85"/>
  <c r="V39" i="85" s="1" a="1"/>
  <c r="V39" i="85" s="1"/>
  <c r="W39" i="85" s="1" a="1"/>
  <c r="W39" i="85" s="1"/>
  <c r="E39" i="85" a="1"/>
  <c r="E39" i="85" s="1"/>
  <c r="U38" i="85"/>
  <c r="E38" i="85" a="1"/>
  <c r="E38" i="85" s="1"/>
  <c r="U37" i="85"/>
  <c r="G37" i="85" a="1"/>
  <c r="G37" i="85" s="1"/>
  <c r="U36" i="85"/>
  <c r="U35" i="85"/>
  <c r="V35" i="85" s="1" a="1"/>
  <c r="V35" i="85" s="1"/>
  <c r="W35" i="85" s="1" a="1"/>
  <c r="W35" i="85" s="1"/>
  <c r="U34" i="85"/>
  <c r="V34" i="85" s="1" a="1"/>
  <c r="V34" i="85" s="1"/>
  <c r="W34" i="85" s="1" a="1"/>
  <c r="W34" i="85" s="1"/>
  <c r="D34" i="85" a="1"/>
  <c r="D34" i="85" s="1"/>
  <c r="U33" i="85"/>
  <c r="V33" i="85" s="1" a="1"/>
  <c r="V33" i="85" s="1"/>
  <c r="W33" i="85" s="1" a="1"/>
  <c r="W33" i="85" s="1"/>
  <c r="D33" i="85" a="1"/>
  <c r="D33" i="85" s="1"/>
  <c r="U32" i="85"/>
  <c r="U31" i="85"/>
  <c r="U30" i="85"/>
  <c r="V30" i="85" s="1" a="1"/>
  <c r="V30" i="85" s="1"/>
  <c r="W30" i="85" s="1" a="1"/>
  <c r="W30" i="85" s="1"/>
  <c r="AC30" i="85" s="1" a="1"/>
  <c r="AC30" i="85" s="1"/>
  <c r="U29" i="85"/>
  <c r="E29" i="85" a="1"/>
  <c r="E29" i="85" s="1"/>
  <c r="F29" i="85" s="1" a="1"/>
  <c r="F29" i="85" s="1"/>
  <c r="U28" i="85"/>
  <c r="V28" i="85" s="1" a="1"/>
  <c r="V28" i="85" s="1"/>
  <c r="W28" i="85" s="1" a="1"/>
  <c r="W28" i="85" s="1"/>
  <c r="AB28" i="85" s="1" a="1"/>
  <c r="AB28" i="85" s="1"/>
  <c r="E27" i="85" a="1"/>
  <c r="E27" i="85" s="1"/>
  <c r="F27" i="85" s="1" a="1"/>
  <c r="F27" i="85" s="1"/>
  <c r="E26" i="85" a="1"/>
  <c r="E26" i="85" s="1"/>
  <c r="F26" i="85" s="1" a="1"/>
  <c r="F26" i="85" s="1"/>
  <c r="E28" i="85" a="1"/>
  <c r="E28" i="85" s="1"/>
  <c r="F28" i="85" s="1" a="1"/>
  <c r="F28" i="85" s="1"/>
  <c r="J16" i="85"/>
  <c r="J13" i="85" a="1"/>
  <c r="J13" i="85" s="1"/>
  <c r="H13" i="85" a="1"/>
  <c r="H13" i="85" s="1"/>
  <c r="D13" i="85" a="1"/>
  <c r="D13" i="85" s="1"/>
  <c r="E11" i="85" a="1"/>
  <c r="E11" i="85" s="1"/>
  <c r="E10" i="85" a="1"/>
  <c r="E10" i="85" s="1"/>
  <c r="D6" i="85" a="1"/>
  <c r="D6" i="85" s="1"/>
  <c r="D5" i="85" a="1"/>
  <c r="D5" i="85" s="1"/>
  <c r="G185" i="84"/>
  <c r="F185" i="84"/>
  <c r="E185" i="84"/>
  <c r="D182" i="84"/>
  <c r="K181" i="84"/>
  <c r="J181" i="84"/>
  <c r="K180" i="84"/>
  <c r="L180" i="84" s="1"/>
  <c r="J180" i="84"/>
  <c r="K179" i="84"/>
  <c r="M180" i="84" s="1"/>
  <c r="J179" i="84"/>
  <c r="K178" i="84"/>
  <c r="J178" i="84"/>
  <c r="E178" i="84"/>
  <c r="D184" i="84" s="1"/>
  <c r="E177" i="84"/>
  <c r="M171" i="84"/>
  <c r="L171" i="84"/>
  <c r="M170" i="84"/>
  <c r="L170" i="84"/>
  <c r="M169" i="84"/>
  <c r="L169" i="84"/>
  <c r="M168" i="84"/>
  <c r="L168" i="84"/>
  <c r="D168" i="84"/>
  <c r="D144" i="84"/>
  <c r="D143" i="84"/>
  <c r="D142" i="84"/>
  <c r="D141" i="84"/>
  <c r="D140" i="84"/>
  <c r="D139" i="84"/>
  <c r="D138" i="84"/>
  <c r="D137" i="84"/>
  <c r="D136" i="84"/>
  <c r="D135" i="84"/>
  <c r="D134" i="84"/>
  <c r="D133" i="84"/>
  <c r="D122" i="84"/>
  <c r="D121" i="84"/>
  <c r="D120" i="84"/>
  <c r="D119" i="84"/>
  <c r="D118" i="84"/>
  <c r="D117" i="84"/>
  <c r="D116" i="84"/>
  <c r="D115" i="84"/>
  <c r="D114" i="84"/>
  <c r="D113" i="84"/>
  <c r="D112" i="84"/>
  <c r="D111" i="84"/>
  <c r="D100" i="84"/>
  <c r="D99" i="84"/>
  <c r="D98" i="84"/>
  <c r="D97" i="84"/>
  <c r="D96" i="84"/>
  <c r="D95" i="84"/>
  <c r="D94" i="84"/>
  <c r="D93" i="84"/>
  <c r="D92" i="84"/>
  <c r="D91" i="84"/>
  <c r="D90" i="84"/>
  <c r="D89" i="84"/>
  <c r="D78" i="84"/>
  <c r="D77" i="84"/>
  <c r="D76" i="84"/>
  <c r="D75" i="84"/>
  <c r="D74" i="84"/>
  <c r="D73" i="84"/>
  <c r="D72" i="84"/>
  <c r="D71" i="84"/>
  <c r="D70" i="84"/>
  <c r="D69" i="84"/>
  <c r="D68" i="84"/>
  <c r="D67" i="84"/>
  <c r="D56" i="84"/>
  <c r="D55" i="84"/>
  <c r="D54" i="84"/>
  <c r="D53" i="84"/>
  <c r="D52" i="84"/>
  <c r="D51" i="84"/>
  <c r="D50" i="84"/>
  <c r="D49" i="84"/>
  <c r="D48" i="84"/>
  <c r="D47" i="84"/>
  <c r="D46" i="84"/>
  <c r="D45" i="84"/>
  <c r="D34" i="84"/>
  <c r="N34" i="84" s="1"/>
  <c r="D33" i="84"/>
  <c r="M33" i="84" s="1"/>
  <c r="D32" i="84"/>
  <c r="J32" i="84" s="1"/>
  <c r="D31" i="84"/>
  <c r="E31" i="84" s="1"/>
  <c r="D30" i="84"/>
  <c r="N30" i="84" s="1"/>
  <c r="D29" i="84"/>
  <c r="N29" i="84" s="1"/>
  <c r="D28" i="84"/>
  <c r="K28" i="84" s="1"/>
  <c r="D27" i="84"/>
  <c r="I27" i="84" s="1"/>
  <c r="D26" i="84"/>
  <c r="L26" i="84" s="1"/>
  <c r="D25" i="84"/>
  <c r="N25" i="84" s="1"/>
  <c r="D24" i="84"/>
  <c r="N24" i="84" s="1"/>
  <c r="D23" i="84"/>
  <c r="K23" i="84" s="1"/>
  <c r="E7" i="84"/>
  <c r="I483" i="83" a="1"/>
  <c r="I483" i="83" s="1"/>
  <c r="H483" i="83" a="1"/>
  <c r="H483" i="83" s="1"/>
  <c r="G483" i="83" a="1"/>
  <c r="G483" i="83" s="1"/>
  <c r="F483" i="83" a="1"/>
  <c r="F483" i="83" s="1"/>
  <c r="E483" i="83" a="1"/>
  <c r="E483" i="83" s="1"/>
  <c r="D483" i="83" a="1"/>
  <c r="D483" i="83" s="1"/>
  <c r="I482" i="83" a="1"/>
  <c r="I482" i="83" s="1"/>
  <c r="H482" i="83" a="1"/>
  <c r="H482" i="83" s="1"/>
  <c r="G482" i="83" a="1"/>
  <c r="G482" i="83" s="1"/>
  <c r="F482" i="83" a="1"/>
  <c r="F482" i="83" s="1"/>
  <c r="E482" i="83" a="1"/>
  <c r="E482" i="83" s="1"/>
  <c r="D482" i="83" a="1"/>
  <c r="D482" i="83" s="1"/>
  <c r="I481" i="83" a="1"/>
  <c r="I481" i="83" s="1"/>
  <c r="H481" i="83" a="1"/>
  <c r="H481" i="83" s="1"/>
  <c r="G481" i="83" a="1"/>
  <c r="G481" i="83" s="1"/>
  <c r="F481" i="83" a="1"/>
  <c r="F481" i="83" s="1"/>
  <c r="E481" i="83" a="1"/>
  <c r="E481" i="83" s="1"/>
  <c r="D481" i="83" a="1"/>
  <c r="D481" i="83" s="1"/>
  <c r="I480" i="83" a="1"/>
  <c r="I480" i="83" s="1"/>
  <c r="H480" i="83" a="1"/>
  <c r="H480" i="83" s="1"/>
  <c r="G480" i="83" a="1"/>
  <c r="G480" i="83" s="1"/>
  <c r="F480" i="83" a="1"/>
  <c r="F480" i="83" s="1"/>
  <c r="E480" i="83" a="1"/>
  <c r="E480" i="83" s="1"/>
  <c r="D480" i="83" a="1"/>
  <c r="D480" i="83" s="1"/>
  <c r="I479" i="83" a="1"/>
  <c r="I479" i="83" s="1"/>
  <c r="H479" i="83" a="1"/>
  <c r="H479" i="83" s="1"/>
  <c r="G479" i="83" a="1"/>
  <c r="G479" i="83" s="1"/>
  <c r="F479" i="83" a="1"/>
  <c r="F479" i="83" s="1"/>
  <c r="E479" i="83" a="1"/>
  <c r="E479" i="83" s="1"/>
  <c r="D479" i="83" a="1"/>
  <c r="D479" i="83" s="1"/>
  <c r="I478" i="83" a="1"/>
  <c r="I478" i="83" s="1"/>
  <c r="H478" i="83" a="1"/>
  <c r="H478" i="83" s="1"/>
  <c r="G478" i="83" a="1"/>
  <c r="G478" i="83" s="1"/>
  <c r="F478" i="83" a="1"/>
  <c r="F478" i="83" s="1"/>
  <c r="E478" i="83" a="1"/>
  <c r="E478" i="83" s="1"/>
  <c r="D478" i="83" a="1"/>
  <c r="D478" i="83" s="1"/>
  <c r="I477" i="83" a="1"/>
  <c r="I477" i="83" s="1"/>
  <c r="H477" i="83" a="1"/>
  <c r="H477" i="83" s="1"/>
  <c r="G477" i="83" a="1"/>
  <c r="G477" i="83" s="1"/>
  <c r="F477" i="83" a="1"/>
  <c r="F477" i="83" s="1"/>
  <c r="E477" i="83" a="1"/>
  <c r="E477" i="83" s="1"/>
  <c r="D477" i="83" a="1"/>
  <c r="D477" i="83" s="1"/>
  <c r="I476" i="83" a="1"/>
  <c r="I476" i="83" s="1"/>
  <c r="H476" i="83" a="1"/>
  <c r="H476" i="83" s="1"/>
  <c r="G476" i="83" a="1"/>
  <c r="G476" i="83" s="1"/>
  <c r="F476" i="83" a="1"/>
  <c r="F476" i="83" s="1"/>
  <c r="E476" i="83" a="1"/>
  <c r="E476" i="83" s="1"/>
  <c r="D476" i="83" a="1"/>
  <c r="D476" i="83" s="1"/>
  <c r="I475" i="83" a="1"/>
  <c r="I475" i="83" s="1"/>
  <c r="H475" i="83" a="1"/>
  <c r="H475" i="83" s="1"/>
  <c r="G475" i="83" a="1"/>
  <c r="G475" i="83" s="1"/>
  <c r="F475" i="83" a="1"/>
  <c r="F475" i="83" s="1"/>
  <c r="E475" i="83" a="1"/>
  <c r="E475" i="83" s="1"/>
  <c r="D475" i="83" a="1"/>
  <c r="D475" i="83" s="1"/>
  <c r="I474" i="83" a="1"/>
  <c r="I474" i="83" s="1"/>
  <c r="H474" i="83" a="1"/>
  <c r="H474" i="83" s="1"/>
  <c r="G474" i="83" a="1"/>
  <c r="G474" i="83" s="1"/>
  <c r="F474" i="83" a="1"/>
  <c r="F474" i="83" s="1"/>
  <c r="E474" i="83" a="1"/>
  <c r="E474" i="83" s="1"/>
  <c r="D474" i="83" a="1"/>
  <c r="D474" i="83" s="1"/>
  <c r="I473" i="83" a="1"/>
  <c r="I473" i="83" s="1"/>
  <c r="H473" i="83" a="1"/>
  <c r="H473" i="83" s="1"/>
  <c r="G473" i="83" a="1"/>
  <c r="G473" i="83" s="1"/>
  <c r="F473" i="83" a="1"/>
  <c r="F473" i="83" s="1"/>
  <c r="E473" i="83" a="1"/>
  <c r="E473" i="83" s="1"/>
  <c r="D473" i="83" a="1"/>
  <c r="D473" i="83" s="1"/>
  <c r="I472" i="83" a="1"/>
  <c r="I472" i="83" s="1"/>
  <c r="H472" i="83" a="1"/>
  <c r="H472" i="83" s="1"/>
  <c r="G472" i="83" a="1"/>
  <c r="G472" i="83" s="1"/>
  <c r="F472" i="83" a="1"/>
  <c r="F472" i="83" s="1"/>
  <c r="E472" i="83" a="1"/>
  <c r="E472" i="83" s="1"/>
  <c r="D472" i="83" a="1"/>
  <c r="D472" i="83" s="1"/>
  <c r="I471" i="83" a="1"/>
  <c r="I471" i="83" s="1"/>
  <c r="H471" i="83" a="1"/>
  <c r="H471" i="83" s="1"/>
  <c r="G471" i="83" a="1"/>
  <c r="G471" i="83" s="1"/>
  <c r="F471" i="83" a="1"/>
  <c r="F471" i="83" s="1"/>
  <c r="E471" i="83" a="1"/>
  <c r="E471" i="83" s="1"/>
  <c r="D471" i="83" a="1"/>
  <c r="D471" i="83" s="1"/>
  <c r="I470" i="83" a="1"/>
  <c r="I470" i="83" s="1"/>
  <c r="H470" i="83" a="1"/>
  <c r="H470" i="83" s="1"/>
  <c r="G470" i="83" a="1"/>
  <c r="G470" i="83" s="1"/>
  <c r="F470" i="83" a="1"/>
  <c r="F470" i="83" s="1"/>
  <c r="E470" i="83" a="1"/>
  <c r="E470" i="83" s="1"/>
  <c r="D470" i="83" a="1"/>
  <c r="D470" i="83" s="1"/>
  <c r="I469" i="83" a="1"/>
  <c r="I469" i="83" s="1"/>
  <c r="H469" i="83" a="1"/>
  <c r="H469" i="83" s="1"/>
  <c r="G469" i="83" a="1"/>
  <c r="G469" i="83" s="1"/>
  <c r="F469" i="83" a="1"/>
  <c r="F469" i="83" s="1"/>
  <c r="E469" i="83" a="1"/>
  <c r="E469" i="83" s="1"/>
  <c r="D469" i="83" a="1"/>
  <c r="D469" i="83" s="1"/>
  <c r="I468" i="83" a="1"/>
  <c r="I468" i="83" s="1"/>
  <c r="H468" i="83" a="1"/>
  <c r="H468" i="83" s="1"/>
  <c r="G468" i="83" a="1"/>
  <c r="G468" i="83" s="1"/>
  <c r="F468" i="83" a="1"/>
  <c r="F468" i="83" s="1"/>
  <c r="E468" i="83" a="1"/>
  <c r="E468" i="83" s="1"/>
  <c r="D468" i="83" a="1"/>
  <c r="D468" i="83" s="1"/>
  <c r="I467" i="83" a="1"/>
  <c r="I467" i="83" s="1"/>
  <c r="H467" i="83" a="1"/>
  <c r="H467" i="83" s="1"/>
  <c r="G467" i="83" a="1"/>
  <c r="G467" i="83" s="1"/>
  <c r="F467" i="83" a="1"/>
  <c r="F467" i="83" s="1"/>
  <c r="E467" i="83" a="1"/>
  <c r="E467" i="83" s="1"/>
  <c r="D467" i="83" a="1"/>
  <c r="D467" i="83" s="1"/>
  <c r="I466" i="83" a="1"/>
  <c r="I466" i="83" s="1"/>
  <c r="H466" i="83" a="1"/>
  <c r="H466" i="83" s="1"/>
  <c r="G466" i="83" a="1"/>
  <c r="G466" i="83" s="1"/>
  <c r="F466" i="83" a="1"/>
  <c r="F466" i="83" s="1"/>
  <c r="E466" i="83" a="1"/>
  <c r="E466" i="83" s="1"/>
  <c r="D466" i="83" a="1"/>
  <c r="D466" i="83" s="1"/>
  <c r="I465" i="83" a="1"/>
  <c r="I465" i="83" s="1"/>
  <c r="H465" i="83" a="1"/>
  <c r="H465" i="83" s="1"/>
  <c r="G465" i="83" a="1"/>
  <c r="G465" i="83" s="1"/>
  <c r="F465" i="83" a="1"/>
  <c r="F465" i="83" s="1"/>
  <c r="E465" i="83" a="1"/>
  <c r="E465" i="83" s="1"/>
  <c r="D465" i="83" a="1"/>
  <c r="D465" i="83" s="1"/>
  <c r="I464" i="83" a="1"/>
  <c r="I464" i="83" s="1"/>
  <c r="H464" i="83" a="1"/>
  <c r="H464" i="83" s="1"/>
  <c r="G464" i="83" a="1"/>
  <c r="G464" i="83" s="1"/>
  <c r="F464" i="83" a="1"/>
  <c r="F464" i="83" s="1"/>
  <c r="E464" i="83" a="1"/>
  <c r="E464" i="83" s="1"/>
  <c r="D464" i="83" a="1"/>
  <c r="D464" i="83" s="1"/>
  <c r="I463" i="83" a="1"/>
  <c r="I463" i="83" s="1"/>
  <c r="H463" i="83" a="1"/>
  <c r="H463" i="83" s="1"/>
  <c r="G463" i="83" a="1"/>
  <c r="G463" i="83" s="1"/>
  <c r="F463" i="83" a="1"/>
  <c r="F463" i="83" s="1"/>
  <c r="E463" i="83" a="1"/>
  <c r="E463" i="83" s="1"/>
  <c r="D463" i="83" a="1"/>
  <c r="D463" i="83" s="1"/>
  <c r="I462" i="83" a="1"/>
  <c r="I462" i="83" s="1"/>
  <c r="H462" i="83" a="1"/>
  <c r="H462" i="83" s="1"/>
  <c r="G462" i="83" a="1"/>
  <c r="G462" i="83" s="1"/>
  <c r="F462" i="83" a="1"/>
  <c r="F462" i="83" s="1"/>
  <c r="E462" i="83" a="1"/>
  <c r="E462" i="83" s="1"/>
  <c r="D462" i="83" a="1"/>
  <c r="D462" i="83" s="1"/>
  <c r="I461" i="83" a="1"/>
  <c r="I461" i="83" s="1"/>
  <c r="H461" i="83" a="1"/>
  <c r="H461" i="83" s="1"/>
  <c r="G461" i="83" a="1"/>
  <c r="G461" i="83" s="1"/>
  <c r="F461" i="83" a="1"/>
  <c r="F461" i="83" s="1"/>
  <c r="E461" i="83" a="1"/>
  <c r="E461" i="83" s="1"/>
  <c r="D461" i="83" a="1"/>
  <c r="D461" i="83" s="1"/>
  <c r="I460" i="83" a="1"/>
  <c r="I460" i="83" s="1"/>
  <c r="H460" i="83" a="1"/>
  <c r="H460" i="83" s="1"/>
  <c r="G460" i="83" a="1"/>
  <c r="G460" i="83" s="1"/>
  <c r="F460" i="83" a="1"/>
  <c r="F460" i="83" s="1"/>
  <c r="E460" i="83" a="1"/>
  <c r="E460" i="83" s="1"/>
  <c r="D460" i="83" a="1"/>
  <c r="D460" i="83" s="1"/>
  <c r="I459" i="83" a="1"/>
  <c r="I459" i="83" s="1"/>
  <c r="H459" i="83" a="1"/>
  <c r="H459" i="83" s="1"/>
  <c r="G459" i="83" a="1"/>
  <c r="G459" i="83" s="1"/>
  <c r="F459" i="83" a="1"/>
  <c r="F459" i="83" s="1"/>
  <c r="E459" i="83" a="1"/>
  <c r="E459" i="83" s="1"/>
  <c r="D459" i="83" a="1"/>
  <c r="D459" i="83" s="1"/>
  <c r="I458" i="83" a="1"/>
  <c r="I458" i="83" s="1"/>
  <c r="H458" i="83" a="1"/>
  <c r="H458" i="83" s="1"/>
  <c r="G458" i="83" a="1"/>
  <c r="G458" i="83" s="1"/>
  <c r="F458" i="83" a="1"/>
  <c r="F458" i="83" s="1"/>
  <c r="E458" i="83" a="1"/>
  <c r="E458" i="83" s="1"/>
  <c r="D458" i="83" a="1"/>
  <c r="D458" i="83" s="1"/>
  <c r="I457" i="83" a="1"/>
  <c r="I457" i="83" s="1"/>
  <c r="H457" i="83" a="1"/>
  <c r="H457" i="83" s="1"/>
  <c r="G457" i="83" a="1"/>
  <c r="G457" i="83" s="1"/>
  <c r="F457" i="83" a="1"/>
  <c r="F457" i="83" s="1"/>
  <c r="E457" i="83" a="1"/>
  <c r="E457" i="83" s="1"/>
  <c r="D457" i="83" a="1"/>
  <c r="D457" i="83" s="1"/>
  <c r="I456" i="83" a="1"/>
  <c r="I456" i="83" s="1"/>
  <c r="H456" i="83" a="1"/>
  <c r="H456" i="83" s="1"/>
  <c r="G456" i="83" a="1"/>
  <c r="G456" i="83" s="1"/>
  <c r="F456" i="83" a="1"/>
  <c r="F456" i="83" s="1"/>
  <c r="E456" i="83" a="1"/>
  <c r="E456" i="83" s="1"/>
  <c r="D456" i="83" a="1"/>
  <c r="D456" i="83" s="1"/>
  <c r="I455" i="83" a="1"/>
  <c r="I455" i="83" s="1"/>
  <c r="H455" i="83" a="1"/>
  <c r="H455" i="83" s="1"/>
  <c r="G455" i="83" a="1"/>
  <c r="G455" i="83" s="1"/>
  <c r="F455" i="83" a="1"/>
  <c r="F455" i="83" s="1"/>
  <c r="E455" i="83" a="1"/>
  <c r="E455" i="83" s="1"/>
  <c r="D455" i="83" a="1"/>
  <c r="D455" i="83" s="1"/>
  <c r="I454" i="83" a="1"/>
  <c r="I454" i="83" s="1"/>
  <c r="H454" i="83" a="1"/>
  <c r="H454" i="83" s="1"/>
  <c r="G454" i="83" a="1"/>
  <c r="G454" i="83" s="1"/>
  <c r="F454" i="83" a="1"/>
  <c r="F454" i="83" s="1"/>
  <c r="E454" i="83" a="1"/>
  <c r="E454" i="83" s="1"/>
  <c r="D454" i="83" a="1"/>
  <c r="D454" i="83" s="1"/>
  <c r="I453" i="83" a="1"/>
  <c r="I453" i="83" s="1"/>
  <c r="H453" i="83" a="1"/>
  <c r="H453" i="83" s="1"/>
  <c r="G453" i="83" a="1"/>
  <c r="G453" i="83" s="1"/>
  <c r="F453" i="83" a="1"/>
  <c r="F453" i="83" s="1"/>
  <c r="E453" i="83" a="1"/>
  <c r="E453" i="83" s="1"/>
  <c r="D453" i="83" a="1"/>
  <c r="D453" i="83" s="1"/>
  <c r="I452" i="83" a="1"/>
  <c r="I452" i="83" s="1"/>
  <c r="H452" i="83" a="1"/>
  <c r="H452" i="83" s="1"/>
  <c r="G452" i="83" a="1"/>
  <c r="G452" i="83" s="1"/>
  <c r="F452" i="83" a="1"/>
  <c r="F452" i="83" s="1"/>
  <c r="E452" i="83" a="1"/>
  <c r="E452" i="83" s="1"/>
  <c r="D452" i="83" a="1"/>
  <c r="D452" i="83" s="1"/>
  <c r="I451" i="83" a="1"/>
  <c r="I451" i="83" s="1"/>
  <c r="H451" i="83" a="1"/>
  <c r="H451" i="83" s="1"/>
  <c r="G451" i="83" a="1"/>
  <c r="G451" i="83" s="1"/>
  <c r="F451" i="83" a="1"/>
  <c r="F451" i="83" s="1"/>
  <c r="E451" i="83" a="1"/>
  <c r="E451" i="83" s="1"/>
  <c r="D451" i="83" a="1"/>
  <c r="D451" i="83" s="1"/>
  <c r="I450" i="83" a="1"/>
  <c r="I450" i="83" s="1"/>
  <c r="H450" i="83" a="1"/>
  <c r="H450" i="83" s="1"/>
  <c r="G450" i="83" a="1"/>
  <c r="G450" i="83" s="1"/>
  <c r="F450" i="83" a="1"/>
  <c r="F450" i="83" s="1"/>
  <c r="E450" i="83" a="1"/>
  <c r="E450" i="83" s="1"/>
  <c r="D450" i="83" a="1"/>
  <c r="D450" i="83" s="1"/>
  <c r="I449" i="83" a="1"/>
  <c r="I449" i="83" s="1"/>
  <c r="H449" i="83" a="1"/>
  <c r="H449" i="83" s="1"/>
  <c r="G449" i="83" a="1"/>
  <c r="G449" i="83" s="1"/>
  <c r="F449" i="83" a="1"/>
  <c r="F449" i="83" s="1"/>
  <c r="E449" i="83" a="1"/>
  <c r="E449" i="83" s="1"/>
  <c r="D449" i="83" a="1"/>
  <c r="D449" i="83" s="1"/>
  <c r="I448" i="83" a="1"/>
  <c r="I448" i="83" s="1"/>
  <c r="H448" i="83" a="1"/>
  <c r="H448" i="83" s="1"/>
  <c r="G448" i="83" a="1"/>
  <c r="G448" i="83" s="1"/>
  <c r="F448" i="83" a="1"/>
  <c r="F448" i="83" s="1"/>
  <c r="E448" i="83" a="1"/>
  <c r="E448" i="83" s="1"/>
  <c r="D448" i="83" a="1"/>
  <c r="D448" i="83" s="1"/>
  <c r="I447" i="83" a="1"/>
  <c r="I447" i="83" s="1"/>
  <c r="H447" i="83" a="1"/>
  <c r="H447" i="83" s="1"/>
  <c r="G447" i="83" a="1"/>
  <c r="G447" i="83" s="1"/>
  <c r="F447" i="83" a="1"/>
  <c r="F447" i="83" s="1"/>
  <c r="E447" i="83" a="1"/>
  <c r="E447" i="83" s="1"/>
  <c r="D447" i="83" a="1"/>
  <c r="D447" i="83" s="1"/>
  <c r="I446" i="83" a="1"/>
  <c r="I446" i="83" s="1"/>
  <c r="H446" i="83" a="1"/>
  <c r="H446" i="83" s="1"/>
  <c r="G446" i="83" a="1"/>
  <c r="G446" i="83" s="1"/>
  <c r="F446" i="83" a="1"/>
  <c r="F446" i="83" s="1"/>
  <c r="E446" i="83" a="1"/>
  <c r="E446" i="83" s="1"/>
  <c r="D446" i="83" a="1"/>
  <c r="D446" i="83" s="1"/>
  <c r="I445" i="83" a="1"/>
  <c r="I445" i="83" s="1"/>
  <c r="H445" i="83" a="1"/>
  <c r="H445" i="83" s="1"/>
  <c r="G445" i="83" a="1"/>
  <c r="G445" i="83" s="1"/>
  <c r="F445" i="83" a="1"/>
  <c r="F445" i="83" s="1"/>
  <c r="E445" i="83" a="1"/>
  <c r="E445" i="83" s="1"/>
  <c r="D445" i="83" a="1"/>
  <c r="D445" i="83" s="1"/>
  <c r="I444" i="83" a="1"/>
  <c r="I444" i="83" s="1"/>
  <c r="H444" i="83" a="1"/>
  <c r="H444" i="83" s="1"/>
  <c r="G444" i="83" a="1"/>
  <c r="G444" i="83" s="1"/>
  <c r="F444" i="83" a="1"/>
  <c r="F444" i="83" s="1"/>
  <c r="E444" i="83" a="1"/>
  <c r="E444" i="83" s="1"/>
  <c r="D444" i="83" a="1"/>
  <c r="D444" i="83" s="1"/>
  <c r="I443" i="83" a="1"/>
  <c r="I443" i="83" s="1"/>
  <c r="H443" i="83" a="1"/>
  <c r="H443" i="83" s="1"/>
  <c r="G443" i="83" a="1"/>
  <c r="G443" i="83" s="1"/>
  <c r="F443" i="83" a="1"/>
  <c r="F443" i="83" s="1"/>
  <c r="E443" i="83" a="1"/>
  <c r="E443" i="83" s="1"/>
  <c r="D443" i="83" a="1"/>
  <c r="D443" i="83" s="1"/>
  <c r="D440" i="83" a="1"/>
  <c r="D440" i="83" s="1"/>
  <c r="I15" i="82" s="1"/>
  <c r="D439" i="83" a="1"/>
  <c r="D439" i="83" s="1"/>
  <c r="D438" i="83" a="1"/>
  <c r="D438" i="83" s="1"/>
  <c r="D437" i="83" a="1"/>
  <c r="D437" i="83" s="1"/>
  <c r="D436" i="83" a="1"/>
  <c r="D436" i="83" s="1"/>
  <c r="D434" i="83" a="1"/>
  <c r="D434" i="83" s="1"/>
  <c r="J14" i="81" s="1"/>
  <c r="D433" i="83" a="1"/>
  <c r="D433" i="83" s="1"/>
  <c r="D432" i="83" a="1"/>
  <c r="D432" i="83" s="1"/>
  <c r="D431" i="83" a="1"/>
  <c r="D431" i="83" s="1"/>
  <c r="D430" i="83" a="1"/>
  <c r="D430" i="83" s="1"/>
  <c r="D428" i="83" a="1"/>
  <c r="D428" i="83" s="1"/>
  <c r="I155" i="79" s="1"/>
  <c r="D427" i="83" a="1"/>
  <c r="D427" i="83" s="1"/>
  <c r="D426" i="83" a="1"/>
  <c r="D426" i="83" s="1"/>
  <c r="D425" i="83" a="1"/>
  <c r="D425" i="83" s="1"/>
  <c r="D424" i="83" a="1"/>
  <c r="D424" i="83" s="1"/>
  <c r="D422" i="83" a="1"/>
  <c r="D422" i="83" s="1"/>
  <c r="I110" i="79" s="1"/>
  <c r="D421" i="83" a="1"/>
  <c r="D421" i="83" s="1"/>
  <c r="D420" i="83" a="1"/>
  <c r="D420" i="83" s="1"/>
  <c r="D419" i="83" a="1"/>
  <c r="D419" i="83" s="1"/>
  <c r="D418" i="83" a="1"/>
  <c r="D418" i="83" s="1"/>
  <c r="G415" i="83" a="1"/>
  <c r="G415" i="83" s="1"/>
  <c r="F415" i="83" a="1"/>
  <c r="F415" i="83" s="1"/>
  <c r="E415" i="83" a="1"/>
  <c r="E415" i="83" s="1"/>
  <c r="D415" i="83" a="1"/>
  <c r="D415" i="83" s="1"/>
  <c r="G414" i="83" a="1"/>
  <c r="G414" i="83" s="1"/>
  <c r="F414" i="83" a="1"/>
  <c r="F414" i="83" s="1"/>
  <c r="E414" i="83" a="1"/>
  <c r="E414" i="83" s="1"/>
  <c r="D414" i="83" a="1"/>
  <c r="D414" i="83" s="1"/>
  <c r="G413" i="83" a="1"/>
  <c r="G413" i="83" s="1"/>
  <c r="F413" i="83" a="1"/>
  <c r="F413" i="83" s="1"/>
  <c r="E413" i="83" a="1"/>
  <c r="E413" i="83" s="1"/>
  <c r="D413" i="83" a="1"/>
  <c r="D413" i="83" s="1"/>
  <c r="G412" i="83" a="1"/>
  <c r="G412" i="83" s="1"/>
  <c r="F412" i="83" a="1"/>
  <c r="F412" i="83" s="1"/>
  <c r="E412" i="83" a="1"/>
  <c r="E412" i="83" s="1"/>
  <c r="D412" i="83" a="1"/>
  <c r="D412" i="83" s="1"/>
  <c r="G411" i="83" a="1"/>
  <c r="G411" i="83" s="1"/>
  <c r="F411" i="83" a="1"/>
  <c r="F411" i="83" s="1"/>
  <c r="E411" i="83" a="1"/>
  <c r="E411" i="83" s="1"/>
  <c r="D411" i="83" a="1"/>
  <c r="D411" i="83" s="1"/>
  <c r="G410" i="83" a="1"/>
  <c r="G410" i="83" s="1"/>
  <c r="F410" i="83" a="1"/>
  <c r="F410" i="83" s="1"/>
  <c r="E410" i="83" a="1"/>
  <c r="E410" i="83" s="1"/>
  <c r="D410" i="83" a="1"/>
  <c r="D410" i="83" s="1"/>
  <c r="G409" i="83" a="1"/>
  <c r="G409" i="83" s="1"/>
  <c r="F409" i="83" a="1"/>
  <c r="F409" i="83" s="1"/>
  <c r="E409" i="83" a="1"/>
  <c r="E409" i="83" s="1"/>
  <c r="D409" i="83" a="1"/>
  <c r="D409" i="83" s="1"/>
  <c r="G408" i="83" a="1"/>
  <c r="G408" i="83" s="1"/>
  <c r="F408" i="83" a="1"/>
  <c r="F408" i="83" s="1"/>
  <c r="E408" i="83" a="1"/>
  <c r="E408" i="83" s="1"/>
  <c r="D408" i="83" a="1"/>
  <c r="D408" i="83" s="1"/>
  <c r="G407" i="83" a="1"/>
  <c r="G407" i="83" s="1"/>
  <c r="F407" i="83" a="1"/>
  <c r="F407" i="83" s="1"/>
  <c r="E407" i="83" a="1"/>
  <c r="E407" i="83" s="1"/>
  <c r="D407" i="83" a="1"/>
  <c r="D407" i="83" s="1"/>
  <c r="G406" i="83" a="1"/>
  <c r="G406" i="83" s="1"/>
  <c r="F406" i="83" a="1"/>
  <c r="F406" i="83" s="1"/>
  <c r="E406" i="83" a="1"/>
  <c r="E406" i="83" s="1"/>
  <c r="D406" i="83" a="1"/>
  <c r="D406" i="83" s="1"/>
  <c r="G405" i="83" a="1"/>
  <c r="G405" i="83" s="1"/>
  <c r="F405" i="83" a="1"/>
  <c r="F405" i="83" s="1"/>
  <c r="E405" i="83" a="1"/>
  <c r="E405" i="83" s="1"/>
  <c r="D405" i="83" a="1"/>
  <c r="D405" i="83" s="1"/>
  <c r="G404" i="83" a="1"/>
  <c r="G404" i="83" s="1"/>
  <c r="F404" i="83" a="1"/>
  <c r="F404" i="83" s="1"/>
  <c r="E404" i="83" a="1"/>
  <c r="E404" i="83" s="1"/>
  <c r="D404" i="83" a="1"/>
  <c r="D404" i="83" s="1"/>
  <c r="G403" i="83" a="1"/>
  <c r="G403" i="83" s="1"/>
  <c r="F403" i="83" a="1"/>
  <c r="F403" i="83" s="1"/>
  <c r="E403" i="83" a="1"/>
  <c r="E403" i="83" s="1"/>
  <c r="D403" i="83" a="1"/>
  <c r="D403" i="83" s="1"/>
  <c r="G402" i="83" a="1"/>
  <c r="G402" i="83" s="1"/>
  <c r="F402" i="83" a="1"/>
  <c r="F402" i="83" s="1"/>
  <c r="E402" i="83" a="1"/>
  <c r="E402" i="83" s="1"/>
  <c r="D402" i="83" a="1"/>
  <c r="D402" i="83" s="1"/>
  <c r="G401" i="83" a="1"/>
  <c r="G401" i="83" s="1"/>
  <c r="F401" i="83" a="1"/>
  <c r="F401" i="83" s="1"/>
  <c r="E401" i="83" a="1"/>
  <c r="E401" i="83" s="1"/>
  <c r="D401" i="83" a="1"/>
  <c r="D401" i="83" s="1"/>
  <c r="D399" i="83" a="1"/>
  <c r="D399" i="83" s="1"/>
  <c r="D398" i="83" a="1"/>
  <c r="D398" i="83" s="1"/>
  <c r="D397" i="83" a="1"/>
  <c r="D397" i="83" s="1"/>
  <c r="D396" i="83" a="1"/>
  <c r="D396" i="83" s="1"/>
  <c r="D395" i="83" a="1"/>
  <c r="D395" i="83" s="1"/>
  <c r="G392" i="83" a="1"/>
  <c r="G392" i="83" s="1"/>
  <c r="F392" i="83" a="1"/>
  <c r="F392" i="83" s="1"/>
  <c r="E392" i="83" a="1"/>
  <c r="E392" i="83" s="1"/>
  <c r="D392" i="83" a="1"/>
  <c r="D392" i="83" s="1"/>
  <c r="G391" i="83" a="1"/>
  <c r="G391" i="83" s="1"/>
  <c r="F391" i="83" a="1"/>
  <c r="F391" i="83" s="1"/>
  <c r="E391" i="83" a="1"/>
  <c r="E391" i="83" s="1"/>
  <c r="D391" i="83" a="1"/>
  <c r="D391" i="83" s="1"/>
  <c r="G390" i="83" a="1"/>
  <c r="G390" i="83" s="1"/>
  <c r="F390" i="83" a="1"/>
  <c r="F390" i="83" s="1"/>
  <c r="E390" i="83" a="1"/>
  <c r="E390" i="83" s="1"/>
  <c r="D390" i="83" a="1"/>
  <c r="D390" i="83" s="1"/>
  <c r="G389" i="83" a="1"/>
  <c r="G389" i="83" s="1"/>
  <c r="F389" i="83" a="1"/>
  <c r="F389" i="83" s="1"/>
  <c r="E389" i="83" a="1"/>
  <c r="E389" i="83" s="1"/>
  <c r="D389" i="83" a="1"/>
  <c r="D389" i="83" s="1"/>
  <c r="G388" i="83" a="1"/>
  <c r="G388" i="83" s="1"/>
  <c r="F388" i="83" a="1"/>
  <c r="F388" i="83" s="1"/>
  <c r="E388" i="83" a="1"/>
  <c r="E388" i="83" s="1"/>
  <c r="D388" i="83" a="1"/>
  <c r="D388" i="83" s="1"/>
  <c r="G387" i="83" a="1"/>
  <c r="G387" i="83" s="1"/>
  <c r="F387" i="83" a="1"/>
  <c r="F387" i="83" s="1"/>
  <c r="E387" i="83" a="1"/>
  <c r="E387" i="83" s="1"/>
  <c r="D387" i="83" a="1"/>
  <c r="D387" i="83" s="1"/>
  <c r="G386" i="83" a="1"/>
  <c r="G386" i="83" s="1"/>
  <c r="F386" i="83" a="1"/>
  <c r="F386" i="83" s="1"/>
  <c r="E386" i="83" a="1"/>
  <c r="E386" i="83" s="1"/>
  <c r="D386" i="83" a="1"/>
  <c r="D386" i="83" s="1"/>
  <c r="G385" i="83" a="1"/>
  <c r="G385" i="83" s="1"/>
  <c r="F385" i="83" a="1"/>
  <c r="F385" i="83" s="1"/>
  <c r="E385" i="83" a="1"/>
  <c r="E385" i="83" s="1"/>
  <c r="D385" i="83" a="1"/>
  <c r="D385" i="83" s="1"/>
  <c r="G384" i="83" a="1"/>
  <c r="G384" i="83" s="1"/>
  <c r="F384" i="83" a="1"/>
  <c r="F384" i="83" s="1"/>
  <c r="E384" i="83" a="1"/>
  <c r="E384" i="83" s="1"/>
  <c r="D384" i="83" a="1"/>
  <c r="D384" i="83" s="1"/>
  <c r="G383" i="83" a="1"/>
  <c r="G383" i="83" s="1"/>
  <c r="F383" i="83" a="1"/>
  <c r="F383" i="83" s="1"/>
  <c r="E383" i="83" a="1"/>
  <c r="E383" i="83" s="1"/>
  <c r="D383" i="83" a="1"/>
  <c r="D383" i="83" s="1"/>
  <c r="G382" i="83" a="1"/>
  <c r="G382" i="83" s="1"/>
  <c r="F382" i="83" a="1"/>
  <c r="F382" i="83" s="1"/>
  <c r="E382" i="83" a="1"/>
  <c r="E382" i="83" s="1"/>
  <c r="D382" i="83" a="1"/>
  <c r="D382" i="83" s="1"/>
  <c r="G381" i="83" a="1"/>
  <c r="G381" i="83" s="1"/>
  <c r="F381" i="83" a="1"/>
  <c r="F381" i="83" s="1"/>
  <c r="E381" i="83" a="1"/>
  <c r="E381" i="83" s="1"/>
  <c r="D381" i="83" a="1"/>
  <c r="D381" i="83" s="1"/>
  <c r="G380" i="83" a="1"/>
  <c r="G380" i="83" s="1"/>
  <c r="F380" i="83" a="1"/>
  <c r="F380" i="83" s="1"/>
  <c r="E380" i="83" a="1"/>
  <c r="E380" i="83" s="1"/>
  <c r="D380" i="83" a="1"/>
  <c r="D380" i="83" s="1"/>
  <c r="G379" i="83" a="1"/>
  <c r="G379" i="83" s="1"/>
  <c r="F379" i="83" a="1"/>
  <c r="F379" i="83" s="1"/>
  <c r="E379" i="83" a="1"/>
  <c r="E379" i="83" s="1"/>
  <c r="D379" i="83" a="1"/>
  <c r="D379" i="83" s="1"/>
  <c r="G378" i="83" a="1"/>
  <c r="G378" i="83" s="1"/>
  <c r="F378" i="83" a="1"/>
  <c r="F378" i="83" s="1"/>
  <c r="E378" i="83" a="1"/>
  <c r="E378" i="83" s="1"/>
  <c r="D378" i="83" a="1"/>
  <c r="D378" i="83" s="1"/>
  <c r="D376" i="83" a="1"/>
  <c r="D376" i="83" s="1"/>
  <c r="D375" i="83" a="1"/>
  <c r="D375" i="83" s="1"/>
  <c r="D374" i="83" a="1"/>
  <c r="D374" i="83" s="1"/>
  <c r="D373" i="83" a="1"/>
  <c r="D373" i="83" s="1"/>
  <c r="D372" i="83" a="1"/>
  <c r="D372" i="83" s="1"/>
  <c r="L358" i="83" a="1"/>
  <c r="L358" i="83" s="1"/>
  <c r="O369" i="83" s="1"/>
  <c r="K358" i="83" a="1"/>
  <c r="K358" i="83" s="1"/>
  <c r="N369" i="83" s="1"/>
  <c r="J358" i="83" a="1"/>
  <c r="J358" i="83" s="1"/>
  <c r="K369" i="83" s="1"/>
  <c r="I358" i="83" a="1"/>
  <c r="I358" i="83" s="1"/>
  <c r="H358" i="83" a="1"/>
  <c r="H358" i="83" s="1"/>
  <c r="H369" i="83" s="1"/>
  <c r="G358" i="83" a="1"/>
  <c r="G358" i="83" s="1"/>
  <c r="G369" i="83" s="1"/>
  <c r="F358" i="83" a="1"/>
  <c r="F358" i="83" s="1"/>
  <c r="F369" i="83" s="1"/>
  <c r="E358" i="83" a="1"/>
  <c r="E358" i="83" s="1"/>
  <c r="E369" i="83" s="1"/>
  <c r="D358" i="83" a="1"/>
  <c r="D358" i="83" s="1"/>
  <c r="D369" i="83" s="1"/>
  <c r="L357" i="83" a="1"/>
  <c r="L357" i="83" s="1"/>
  <c r="O368" i="83" s="1"/>
  <c r="K357" i="83" a="1"/>
  <c r="K357" i="83" s="1"/>
  <c r="J357" i="83" a="1"/>
  <c r="J357" i="83" s="1"/>
  <c r="K368" i="83" s="1"/>
  <c r="I357" i="83" a="1"/>
  <c r="I357" i="83" s="1"/>
  <c r="J368" i="83" s="1"/>
  <c r="H357" i="83" a="1"/>
  <c r="H357" i="83" s="1"/>
  <c r="H368" i="83" s="1"/>
  <c r="G357" i="83" a="1"/>
  <c r="G357" i="83" s="1"/>
  <c r="G368" i="83" s="1"/>
  <c r="F357" i="83" a="1"/>
  <c r="F357" i="83" s="1"/>
  <c r="F368" i="83" s="1"/>
  <c r="E357" i="83" a="1"/>
  <c r="E357" i="83" s="1"/>
  <c r="E368" i="83" s="1"/>
  <c r="D357" i="83" a="1"/>
  <c r="D357" i="83" s="1"/>
  <c r="D368" i="83" s="1"/>
  <c r="L356" i="83" a="1"/>
  <c r="L356" i="83" s="1"/>
  <c r="O367" i="83" s="1"/>
  <c r="K356" i="83" a="1"/>
  <c r="K356" i="83" s="1"/>
  <c r="L367" i="83" s="1"/>
  <c r="J356" i="83" a="1"/>
  <c r="J356" i="83" s="1"/>
  <c r="K367" i="83" s="1"/>
  <c r="I356" i="83" a="1"/>
  <c r="I356" i="83" s="1"/>
  <c r="H356" i="83" a="1"/>
  <c r="H356" i="83" s="1"/>
  <c r="H367" i="83" s="1"/>
  <c r="G356" i="83" a="1"/>
  <c r="G356" i="83" s="1"/>
  <c r="G367" i="83" s="1"/>
  <c r="F356" i="83" a="1"/>
  <c r="F356" i="83" s="1"/>
  <c r="F367" i="83" s="1"/>
  <c r="E356" i="83" a="1"/>
  <c r="E356" i="83" s="1"/>
  <c r="E367" i="83" s="1"/>
  <c r="D356" i="83" a="1"/>
  <c r="D356" i="83" s="1"/>
  <c r="D367" i="83" s="1"/>
  <c r="L355" i="83" a="1"/>
  <c r="L355" i="83" s="1"/>
  <c r="O366" i="83" s="1"/>
  <c r="K355" i="83" a="1"/>
  <c r="K355" i="83" s="1"/>
  <c r="M366" i="83" s="1"/>
  <c r="J355" i="83" a="1"/>
  <c r="J355" i="83" s="1"/>
  <c r="K366" i="83" s="1"/>
  <c r="I355" i="83" a="1"/>
  <c r="I355" i="83" s="1"/>
  <c r="I366" i="83" s="1"/>
  <c r="H355" i="83" a="1"/>
  <c r="H355" i="83" s="1"/>
  <c r="H366" i="83" s="1"/>
  <c r="G355" i="83" a="1"/>
  <c r="G355" i="83" s="1"/>
  <c r="G366" i="83" s="1"/>
  <c r="F355" i="83" a="1"/>
  <c r="F355" i="83" s="1"/>
  <c r="F366" i="83" s="1"/>
  <c r="E355" i="83" a="1"/>
  <c r="E355" i="83" s="1"/>
  <c r="E366" i="83" s="1"/>
  <c r="D355" i="83" a="1"/>
  <c r="D355" i="83" s="1"/>
  <c r="D366" i="83" s="1"/>
  <c r="L354" i="83" a="1"/>
  <c r="L354" i="83" s="1"/>
  <c r="O365" i="83" s="1"/>
  <c r="K354" i="83" a="1"/>
  <c r="K354" i="83" s="1"/>
  <c r="J354" i="83" a="1"/>
  <c r="J354" i="83" s="1"/>
  <c r="K365" i="83" s="1"/>
  <c r="I354" i="83" a="1"/>
  <c r="I354" i="83" s="1"/>
  <c r="I365" i="83" s="1"/>
  <c r="H354" i="83" a="1"/>
  <c r="H354" i="83" s="1"/>
  <c r="H365" i="83" s="1"/>
  <c r="G354" i="83" a="1"/>
  <c r="G354" i="83" s="1"/>
  <c r="G365" i="83" s="1"/>
  <c r="F354" i="83" a="1"/>
  <c r="F354" i="83" s="1"/>
  <c r="F365" i="83" s="1"/>
  <c r="E354" i="83" a="1"/>
  <c r="E354" i="83" s="1"/>
  <c r="E365" i="83" s="1"/>
  <c r="D354" i="83" a="1"/>
  <c r="D354" i="83" s="1"/>
  <c r="D365" i="83" s="1"/>
  <c r="L353" i="83" a="1"/>
  <c r="L353" i="83" s="1"/>
  <c r="O364" i="83" s="1"/>
  <c r="K353" i="83" a="1"/>
  <c r="K353" i="83" s="1"/>
  <c r="M364" i="83" s="1"/>
  <c r="J353" i="83" a="1"/>
  <c r="J353" i="83" s="1"/>
  <c r="K364" i="83" s="1"/>
  <c r="I353" i="83" a="1"/>
  <c r="I353" i="83" s="1"/>
  <c r="I364" i="83" s="1"/>
  <c r="H353" i="83" a="1"/>
  <c r="H353" i="83" s="1"/>
  <c r="H364" i="83" s="1"/>
  <c r="G353" i="83" a="1"/>
  <c r="G353" i="83" s="1"/>
  <c r="G364" i="83" s="1"/>
  <c r="F353" i="83" a="1"/>
  <c r="F353" i="83" s="1"/>
  <c r="F364" i="83" s="1"/>
  <c r="E353" i="83" a="1"/>
  <c r="E353" i="83" s="1"/>
  <c r="E364" i="83" s="1"/>
  <c r="D353" i="83" a="1"/>
  <c r="D353" i="83" s="1"/>
  <c r="D364" i="83" s="1"/>
  <c r="L352" i="83" a="1"/>
  <c r="L352" i="83" s="1"/>
  <c r="O363" i="83" s="1"/>
  <c r="K352" i="83" a="1"/>
  <c r="K352" i="83" s="1"/>
  <c r="J352" i="83" a="1"/>
  <c r="J352" i="83" s="1"/>
  <c r="K363" i="83" s="1"/>
  <c r="I352" i="83" a="1"/>
  <c r="I352" i="83" s="1"/>
  <c r="I363" i="83" s="1"/>
  <c r="H352" i="83" a="1"/>
  <c r="H352" i="83" s="1"/>
  <c r="H363" i="83" s="1"/>
  <c r="G352" i="83" a="1"/>
  <c r="G352" i="83" s="1"/>
  <c r="G363" i="83" s="1"/>
  <c r="F352" i="83" a="1"/>
  <c r="F352" i="83" s="1"/>
  <c r="F363" i="83" s="1"/>
  <c r="E352" i="83" a="1"/>
  <c r="E352" i="83" s="1"/>
  <c r="E363" i="83" s="1"/>
  <c r="D352" i="83" a="1"/>
  <c r="D352" i="83" s="1"/>
  <c r="D363" i="83" s="1"/>
  <c r="L351" i="83" a="1"/>
  <c r="L351" i="83" s="1"/>
  <c r="O362" i="83" s="1"/>
  <c r="K351" i="83" a="1"/>
  <c r="K351" i="83" s="1"/>
  <c r="N362" i="83" s="1"/>
  <c r="J351" i="83" a="1"/>
  <c r="J351" i="83" s="1"/>
  <c r="K362" i="83" s="1"/>
  <c r="I351" i="83" a="1"/>
  <c r="I351" i="83" s="1"/>
  <c r="H351" i="83" a="1"/>
  <c r="H351" i="83" s="1"/>
  <c r="H362" i="83" s="1"/>
  <c r="G351" i="83" a="1"/>
  <c r="G351" i="83" s="1"/>
  <c r="G362" i="83" s="1"/>
  <c r="F351" i="83" a="1"/>
  <c r="F351" i="83" s="1"/>
  <c r="F362" i="83" s="1"/>
  <c r="E351" i="83" a="1"/>
  <c r="E351" i="83" s="1"/>
  <c r="E362" i="83" s="1"/>
  <c r="D351" i="83" a="1"/>
  <c r="D351" i="83" s="1"/>
  <c r="D362" i="83" s="1"/>
  <c r="D349" i="83" a="1"/>
  <c r="D349" i="83" s="1"/>
  <c r="D348" i="83" a="1"/>
  <c r="D348" i="83" s="1"/>
  <c r="D347" i="83" a="1"/>
  <c r="D347" i="83" s="1"/>
  <c r="D346" i="83" a="1"/>
  <c r="D346" i="83" s="1"/>
  <c r="D345" i="83" a="1"/>
  <c r="D345" i="83" s="1"/>
  <c r="G342" i="83" a="1"/>
  <c r="G342" i="83" s="1"/>
  <c r="F342" i="83" a="1"/>
  <c r="F342" i="83" s="1"/>
  <c r="E342" i="83" a="1"/>
  <c r="E342" i="83" s="1"/>
  <c r="D342" i="83" a="1"/>
  <c r="D342" i="83" s="1"/>
  <c r="G341" i="83" a="1"/>
  <c r="G341" i="83" s="1"/>
  <c r="L338" i="83" s="1"/>
  <c r="F341" i="83" a="1"/>
  <c r="F341" i="83" s="1"/>
  <c r="K338" i="83" s="1"/>
  <c r="E341" i="83" a="1"/>
  <c r="E341" i="83" s="1"/>
  <c r="D341" i="83" a="1"/>
  <c r="D341" i="83" s="1"/>
  <c r="I338" i="83" s="1"/>
  <c r="G340" i="83" a="1"/>
  <c r="G340" i="83" s="1"/>
  <c r="L337" i="83" s="1"/>
  <c r="F340" i="83" a="1"/>
  <c r="F340" i="83" s="1"/>
  <c r="K337" i="83" s="1"/>
  <c r="E340" i="83" a="1"/>
  <c r="E340" i="83" s="1"/>
  <c r="D340" i="83" a="1"/>
  <c r="D340" i="83" s="1"/>
  <c r="I337" i="83" s="1"/>
  <c r="G339" i="83" a="1"/>
  <c r="G339" i="83" s="1"/>
  <c r="F339" i="83" a="1"/>
  <c r="F339" i="83" s="1"/>
  <c r="E339" i="83" a="1"/>
  <c r="E339" i="83" s="1"/>
  <c r="D339" i="83" a="1"/>
  <c r="D339" i="83" s="1"/>
  <c r="G338" i="83" a="1"/>
  <c r="G338" i="83" s="1"/>
  <c r="F338" i="83" a="1"/>
  <c r="F338" i="83" s="1"/>
  <c r="E338" i="83" a="1"/>
  <c r="E338" i="83" s="1"/>
  <c r="D338" i="83" a="1"/>
  <c r="D338" i="83" s="1"/>
  <c r="G337" i="83" a="1"/>
  <c r="G337" i="83" s="1"/>
  <c r="F337" i="83" a="1"/>
  <c r="F337" i="83" s="1"/>
  <c r="E337" i="83" a="1"/>
  <c r="E337" i="83" s="1"/>
  <c r="D337" i="83" a="1"/>
  <c r="D337" i="83" s="1"/>
  <c r="G336" i="83" a="1"/>
  <c r="G336" i="83" s="1"/>
  <c r="L336" i="83" s="1"/>
  <c r="F336" i="83" a="1"/>
  <c r="F336" i="83" s="1"/>
  <c r="K336" i="83" s="1"/>
  <c r="E336" i="83" a="1"/>
  <c r="E336" i="83" s="1"/>
  <c r="D336" i="83" a="1"/>
  <c r="D336" i="83" s="1"/>
  <c r="I336" i="83" s="1"/>
  <c r="G335" i="83" a="1"/>
  <c r="G335" i="83" s="1"/>
  <c r="L335" i="83" s="1"/>
  <c r="F335" i="83" a="1"/>
  <c r="F335" i="83" s="1"/>
  <c r="K335" i="83" s="1"/>
  <c r="E335" i="83" a="1"/>
  <c r="E335" i="83" s="1"/>
  <c r="D335" i="83" a="1"/>
  <c r="D335" i="83" s="1"/>
  <c r="I335" i="83" s="1"/>
  <c r="D333" i="83" a="1"/>
  <c r="D333" i="83" s="1"/>
  <c r="D332" i="83" a="1"/>
  <c r="D332" i="83" s="1"/>
  <c r="D331" i="83" a="1"/>
  <c r="D331" i="83" s="1"/>
  <c r="I328" i="83" a="1"/>
  <c r="I328" i="83" s="1"/>
  <c r="H328" i="83" a="1"/>
  <c r="H328" i="83" s="1"/>
  <c r="G328" i="83" a="1"/>
  <c r="G328" i="83" s="1"/>
  <c r="F328" i="83" a="1"/>
  <c r="F328" i="83" s="1"/>
  <c r="E328" i="83" a="1"/>
  <c r="E328" i="83" s="1"/>
  <c r="D328" i="83" a="1"/>
  <c r="D328" i="83" s="1"/>
  <c r="I327" i="83" a="1"/>
  <c r="I327" i="83" s="1"/>
  <c r="H327" i="83" a="1"/>
  <c r="H327" i="83" s="1"/>
  <c r="G327" i="83" a="1"/>
  <c r="G327" i="83" s="1"/>
  <c r="F327" i="83" a="1"/>
  <c r="F327" i="83" s="1"/>
  <c r="E327" i="83" a="1"/>
  <c r="E327" i="83" s="1"/>
  <c r="D327" i="83" a="1"/>
  <c r="D327" i="83" s="1"/>
  <c r="I326" i="83" a="1"/>
  <c r="I326" i="83" s="1"/>
  <c r="H326" i="83" a="1"/>
  <c r="H326" i="83" s="1"/>
  <c r="G326" i="83" a="1"/>
  <c r="G326" i="83" s="1"/>
  <c r="F326" i="83" a="1"/>
  <c r="F326" i="83" s="1"/>
  <c r="E326" i="83" a="1"/>
  <c r="E326" i="83" s="1"/>
  <c r="D326" i="83" a="1"/>
  <c r="D326" i="83" s="1"/>
  <c r="I325" i="83" a="1"/>
  <c r="I325" i="83" s="1"/>
  <c r="H325" i="83" a="1"/>
  <c r="H325" i="83" s="1"/>
  <c r="G325" i="83" a="1"/>
  <c r="G325" i="83" s="1"/>
  <c r="F325" i="83" a="1"/>
  <c r="F325" i="83" s="1"/>
  <c r="E325" i="83" a="1"/>
  <c r="E325" i="83" s="1"/>
  <c r="D325" i="83" a="1"/>
  <c r="D325" i="83" s="1"/>
  <c r="I324" i="83" a="1"/>
  <c r="I324" i="83" s="1"/>
  <c r="H324" i="83" a="1"/>
  <c r="H324" i="83" s="1"/>
  <c r="G324" i="83" a="1"/>
  <c r="G324" i="83" s="1"/>
  <c r="F324" i="83" a="1"/>
  <c r="F324" i="83" s="1"/>
  <c r="E324" i="83" a="1"/>
  <c r="E324" i="83" s="1"/>
  <c r="D324" i="83" a="1"/>
  <c r="D324" i="83" s="1"/>
  <c r="I323" i="83" a="1"/>
  <c r="I323" i="83" s="1"/>
  <c r="H323" i="83" a="1"/>
  <c r="H323" i="83" s="1"/>
  <c r="G323" i="83" a="1"/>
  <c r="G323" i="83" s="1"/>
  <c r="F323" i="83" a="1"/>
  <c r="F323" i="83" s="1"/>
  <c r="E323" i="83" a="1"/>
  <c r="E323" i="83" s="1"/>
  <c r="D323" i="83" a="1"/>
  <c r="D323" i="83" s="1"/>
  <c r="I322" i="83" a="1"/>
  <c r="I322" i="83" s="1"/>
  <c r="H322" i="83" a="1"/>
  <c r="H322" i="83" s="1"/>
  <c r="G322" i="83" a="1"/>
  <c r="G322" i="83" s="1"/>
  <c r="F322" i="83" a="1"/>
  <c r="F322" i="83" s="1"/>
  <c r="E322" i="83" a="1"/>
  <c r="E322" i="83" s="1"/>
  <c r="D322" i="83" a="1"/>
  <c r="D322" i="83" s="1"/>
  <c r="I321" i="83" a="1"/>
  <c r="I321" i="83" s="1"/>
  <c r="H321" i="83" a="1"/>
  <c r="H321" i="83" s="1"/>
  <c r="G321" i="83" a="1"/>
  <c r="G321" i="83" s="1"/>
  <c r="F321" i="83" a="1"/>
  <c r="F321" i="83" s="1"/>
  <c r="E321" i="83" a="1"/>
  <c r="E321" i="83" s="1"/>
  <c r="D321" i="83" a="1"/>
  <c r="D321" i="83" s="1"/>
  <c r="I320" i="83" a="1"/>
  <c r="I320" i="83" s="1"/>
  <c r="H320" i="83" a="1"/>
  <c r="H320" i="83" s="1"/>
  <c r="G320" i="83" a="1"/>
  <c r="G320" i="83" s="1"/>
  <c r="F320" i="83" a="1"/>
  <c r="F320" i="83" s="1"/>
  <c r="E320" i="83" a="1"/>
  <c r="E320" i="83" s="1"/>
  <c r="D320" i="83" a="1"/>
  <c r="D320" i="83" s="1"/>
  <c r="I319" i="83" a="1"/>
  <c r="I319" i="83" s="1"/>
  <c r="H319" i="83" a="1"/>
  <c r="H319" i="83" s="1"/>
  <c r="G319" i="83" a="1"/>
  <c r="G319" i="83" s="1"/>
  <c r="F319" i="83" a="1"/>
  <c r="F319" i="83" s="1"/>
  <c r="E319" i="83" a="1"/>
  <c r="E319" i="83" s="1"/>
  <c r="D319" i="83" a="1"/>
  <c r="D319" i="83" s="1"/>
  <c r="I318" i="83" a="1"/>
  <c r="I318" i="83" s="1"/>
  <c r="H318" i="83" a="1"/>
  <c r="H318" i="83" s="1"/>
  <c r="G318" i="83" a="1"/>
  <c r="G318" i="83" s="1"/>
  <c r="F318" i="83" a="1"/>
  <c r="F318" i="83" s="1"/>
  <c r="E318" i="83" a="1"/>
  <c r="E318" i="83" s="1"/>
  <c r="D318" i="83" a="1"/>
  <c r="D318" i="83" s="1"/>
  <c r="I317" i="83" a="1"/>
  <c r="I317" i="83" s="1"/>
  <c r="H317" i="83" a="1"/>
  <c r="H317" i="83" s="1"/>
  <c r="G317" i="83" a="1"/>
  <c r="G317" i="83" s="1"/>
  <c r="F317" i="83" a="1"/>
  <c r="F317" i="83" s="1"/>
  <c r="E317" i="83" a="1"/>
  <c r="E317" i="83" s="1"/>
  <c r="D317" i="83" a="1"/>
  <c r="D317" i="83" s="1"/>
  <c r="I316" i="83" a="1"/>
  <c r="I316" i="83" s="1"/>
  <c r="H316" i="83" a="1"/>
  <c r="H316" i="83" s="1"/>
  <c r="G316" i="83" a="1"/>
  <c r="G316" i="83" s="1"/>
  <c r="F316" i="83" a="1"/>
  <c r="F316" i="83" s="1"/>
  <c r="E316" i="83" a="1"/>
  <c r="E316" i="83" s="1"/>
  <c r="D316" i="83" a="1"/>
  <c r="D316" i="83" s="1"/>
  <c r="I315" i="83" a="1"/>
  <c r="I315" i="83" s="1"/>
  <c r="H315" i="83" a="1"/>
  <c r="H315" i="83" s="1"/>
  <c r="G315" i="83" a="1"/>
  <c r="G315" i="83" s="1"/>
  <c r="F315" i="83" a="1"/>
  <c r="F315" i="83" s="1"/>
  <c r="E315" i="83" a="1"/>
  <c r="E315" i="83" s="1"/>
  <c r="D315" i="83" a="1"/>
  <c r="D315" i="83" s="1"/>
  <c r="I314" i="83" a="1"/>
  <c r="I314" i="83" s="1"/>
  <c r="H314" i="83" a="1"/>
  <c r="H314" i="83" s="1"/>
  <c r="G314" i="83" a="1"/>
  <c r="G314" i="83" s="1"/>
  <c r="F314" i="83" a="1"/>
  <c r="F314" i="83" s="1"/>
  <c r="E314" i="83" a="1"/>
  <c r="E314" i="83" s="1"/>
  <c r="D314" i="83" a="1"/>
  <c r="D314" i="83" s="1"/>
  <c r="D312" i="83" a="1"/>
  <c r="D312" i="83" s="1"/>
  <c r="D311" i="83" a="1"/>
  <c r="D311" i="83" s="1"/>
  <c r="D310" i="83" a="1"/>
  <c r="D310" i="83" s="1"/>
  <c r="D309" i="83" a="1"/>
  <c r="D309" i="83" s="1"/>
  <c r="D308" i="83" a="1"/>
  <c r="D308" i="83" s="1"/>
  <c r="I305" i="83" a="1"/>
  <c r="I305" i="83" s="1"/>
  <c r="H305" i="83" a="1"/>
  <c r="H305" i="83" s="1"/>
  <c r="G305" i="83" a="1"/>
  <c r="G305" i="83" s="1"/>
  <c r="F305" i="83" a="1"/>
  <c r="F305" i="83" s="1"/>
  <c r="E305" i="83" a="1"/>
  <c r="E305" i="83" s="1"/>
  <c r="D305" i="83" a="1"/>
  <c r="D305" i="83" s="1"/>
  <c r="I304" i="83" a="1"/>
  <c r="I304" i="83" s="1"/>
  <c r="H304" i="83" a="1"/>
  <c r="H304" i="83" s="1"/>
  <c r="G304" i="83" a="1"/>
  <c r="G304" i="83" s="1"/>
  <c r="F304" i="83" a="1"/>
  <c r="F304" i="83" s="1"/>
  <c r="E304" i="83" a="1"/>
  <c r="E304" i="83" s="1"/>
  <c r="D304" i="83" a="1"/>
  <c r="D304" i="83" s="1"/>
  <c r="I303" i="83" a="1"/>
  <c r="I303" i="83" s="1"/>
  <c r="H303" i="83" a="1"/>
  <c r="H303" i="83" s="1"/>
  <c r="G303" i="83" a="1"/>
  <c r="G303" i="83" s="1"/>
  <c r="F303" i="83" a="1"/>
  <c r="F303" i="83" s="1"/>
  <c r="E303" i="83" a="1"/>
  <c r="E303" i="83" s="1"/>
  <c r="D303" i="83" a="1"/>
  <c r="D303" i="83" s="1"/>
  <c r="I302" i="83" a="1"/>
  <c r="I302" i="83" s="1"/>
  <c r="H302" i="83" a="1"/>
  <c r="H302" i="83" s="1"/>
  <c r="G302" i="83" a="1"/>
  <c r="G302" i="83" s="1"/>
  <c r="F302" i="83" a="1"/>
  <c r="F302" i="83" s="1"/>
  <c r="E302" i="83" a="1"/>
  <c r="E302" i="83" s="1"/>
  <c r="D302" i="83" a="1"/>
  <c r="D302" i="83" s="1"/>
  <c r="I301" i="83" a="1"/>
  <c r="I301" i="83" s="1"/>
  <c r="H301" i="83" a="1"/>
  <c r="H301" i="83" s="1"/>
  <c r="G301" i="83" a="1"/>
  <c r="G301" i="83" s="1"/>
  <c r="F301" i="83" a="1"/>
  <c r="F301" i="83" s="1"/>
  <c r="E301" i="83" a="1"/>
  <c r="E301" i="83" s="1"/>
  <c r="D301" i="83" a="1"/>
  <c r="D301" i="83" s="1"/>
  <c r="I300" i="83" a="1"/>
  <c r="I300" i="83" s="1"/>
  <c r="H300" i="83" a="1"/>
  <c r="H300" i="83" s="1"/>
  <c r="G300" i="83" a="1"/>
  <c r="G300" i="83" s="1"/>
  <c r="F300" i="83" a="1"/>
  <c r="F300" i="83" s="1"/>
  <c r="E300" i="83" a="1"/>
  <c r="E300" i="83" s="1"/>
  <c r="D300" i="83" a="1"/>
  <c r="D300" i="83" s="1"/>
  <c r="I299" i="83" a="1"/>
  <c r="I299" i="83" s="1"/>
  <c r="H299" i="83" a="1"/>
  <c r="H299" i="83" s="1"/>
  <c r="G299" i="83" a="1"/>
  <c r="G299" i="83" s="1"/>
  <c r="F299" i="83" a="1"/>
  <c r="F299" i="83" s="1"/>
  <c r="E299" i="83" a="1"/>
  <c r="E299" i="83" s="1"/>
  <c r="D299" i="83" a="1"/>
  <c r="D299" i="83" s="1"/>
  <c r="I298" i="83" a="1"/>
  <c r="I298" i="83" s="1"/>
  <c r="H298" i="83" a="1"/>
  <c r="H298" i="83" s="1"/>
  <c r="G298" i="83" a="1"/>
  <c r="G298" i="83" s="1"/>
  <c r="F298" i="83" a="1"/>
  <c r="F298" i="83" s="1"/>
  <c r="E298" i="83" a="1"/>
  <c r="E298" i="83" s="1"/>
  <c r="D298" i="83" a="1"/>
  <c r="D298" i="83" s="1"/>
  <c r="I297" i="83" a="1"/>
  <c r="I297" i="83" s="1"/>
  <c r="H297" i="83" a="1"/>
  <c r="H297" i="83" s="1"/>
  <c r="G297" i="83" a="1"/>
  <c r="G297" i="83" s="1"/>
  <c r="F297" i="83" a="1"/>
  <c r="F297" i="83" s="1"/>
  <c r="E297" i="83" a="1"/>
  <c r="E297" i="83" s="1"/>
  <c r="D297" i="83" a="1"/>
  <c r="D297" i="83" s="1"/>
  <c r="I296" i="83" a="1"/>
  <c r="I296" i="83" s="1"/>
  <c r="H296" i="83" a="1"/>
  <c r="H296" i="83" s="1"/>
  <c r="G296" i="83" a="1"/>
  <c r="G296" i="83" s="1"/>
  <c r="F296" i="83" a="1"/>
  <c r="F296" i="83" s="1"/>
  <c r="E296" i="83" a="1"/>
  <c r="E296" i="83" s="1"/>
  <c r="D296" i="83" a="1"/>
  <c r="D296" i="83" s="1"/>
  <c r="I295" i="83" a="1"/>
  <c r="I295" i="83" s="1"/>
  <c r="H295" i="83" a="1"/>
  <c r="H295" i="83" s="1"/>
  <c r="G295" i="83" a="1"/>
  <c r="G295" i="83" s="1"/>
  <c r="F295" i="83" a="1"/>
  <c r="F295" i="83" s="1"/>
  <c r="E295" i="83" a="1"/>
  <c r="E295" i="83" s="1"/>
  <c r="D295" i="83" a="1"/>
  <c r="D295" i="83" s="1"/>
  <c r="I294" i="83" a="1"/>
  <c r="I294" i="83" s="1"/>
  <c r="H294" i="83" a="1"/>
  <c r="H294" i="83" s="1"/>
  <c r="G294" i="83" a="1"/>
  <c r="G294" i="83" s="1"/>
  <c r="F294" i="83" a="1"/>
  <c r="F294" i="83" s="1"/>
  <c r="E294" i="83" a="1"/>
  <c r="E294" i="83" s="1"/>
  <c r="D294" i="83" a="1"/>
  <c r="D294" i="83" s="1"/>
  <c r="I293" i="83" a="1"/>
  <c r="I293" i="83" s="1"/>
  <c r="H293" i="83" a="1"/>
  <c r="H293" i="83" s="1"/>
  <c r="G293" i="83" a="1"/>
  <c r="G293" i="83" s="1"/>
  <c r="F293" i="83" a="1"/>
  <c r="F293" i="83" s="1"/>
  <c r="E293" i="83" a="1"/>
  <c r="E293" i="83" s="1"/>
  <c r="D293" i="83" a="1"/>
  <c r="D293" i="83" s="1"/>
  <c r="I292" i="83" a="1"/>
  <c r="I292" i="83" s="1"/>
  <c r="H292" i="83" a="1"/>
  <c r="H292" i="83" s="1"/>
  <c r="G292" i="83" a="1"/>
  <c r="G292" i="83" s="1"/>
  <c r="F292" i="83" a="1"/>
  <c r="F292" i="83" s="1"/>
  <c r="E292" i="83" a="1"/>
  <c r="E292" i="83" s="1"/>
  <c r="D292" i="83" a="1"/>
  <c r="D292" i="83" s="1"/>
  <c r="I291" i="83" a="1"/>
  <c r="I291" i="83" s="1"/>
  <c r="H291" i="83" a="1"/>
  <c r="H291" i="83" s="1"/>
  <c r="G291" i="83" a="1"/>
  <c r="G291" i="83" s="1"/>
  <c r="F291" i="83" a="1"/>
  <c r="F291" i="83" s="1"/>
  <c r="E291" i="83" a="1"/>
  <c r="E291" i="83" s="1"/>
  <c r="D291" i="83" a="1"/>
  <c r="D291" i="83" s="1"/>
  <c r="D289" i="83" a="1"/>
  <c r="D289" i="83" s="1"/>
  <c r="D288" i="83" a="1"/>
  <c r="D288" i="83" s="1"/>
  <c r="D287" i="83" a="1"/>
  <c r="D287" i="83" s="1"/>
  <c r="D286" i="83" a="1"/>
  <c r="D286" i="83" s="1"/>
  <c r="D285" i="83" a="1"/>
  <c r="D285" i="83" s="1"/>
  <c r="P217" i="83" a="1"/>
  <c r="P217" i="83" s="1"/>
  <c r="P282" i="83" s="1"/>
  <c r="O217" i="83" a="1"/>
  <c r="O217" i="83" s="1"/>
  <c r="O282" i="83" s="1"/>
  <c r="N217" i="83" a="1"/>
  <c r="N217" i="83" s="1"/>
  <c r="N282" i="83" s="1"/>
  <c r="M217" i="83" a="1"/>
  <c r="M217" i="83" s="1"/>
  <c r="M282" i="83" s="1"/>
  <c r="L217" i="83" a="1"/>
  <c r="L217" i="83" s="1"/>
  <c r="L282" i="83" s="1"/>
  <c r="K217" i="83" a="1"/>
  <c r="K217" i="83" s="1"/>
  <c r="K282" i="83" s="1"/>
  <c r="J217" i="83" a="1"/>
  <c r="J217" i="83" s="1"/>
  <c r="J282" i="83" s="1"/>
  <c r="I217" i="83" a="1"/>
  <c r="I217" i="83" s="1"/>
  <c r="I282" i="83" s="1"/>
  <c r="H217" i="83" a="1"/>
  <c r="H217" i="83" s="1"/>
  <c r="H282" i="83" s="1"/>
  <c r="G217" i="83" a="1"/>
  <c r="G217" i="83" s="1"/>
  <c r="G282" i="83" s="1"/>
  <c r="F217" i="83" a="1"/>
  <c r="F217" i="83" s="1"/>
  <c r="F282" i="83" s="1"/>
  <c r="E217" i="83" a="1"/>
  <c r="E217" i="83" s="1"/>
  <c r="E282" i="83" s="1"/>
  <c r="D217" i="83" a="1"/>
  <c r="D217" i="83" s="1"/>
  <c r="P216" i="83" a="1"/>
  <c r="P216" i="83" s="1"/>
  <c r="P281" i="83" s="1"/>
  <c r="O216" i="83" a="1"/>
  <c r="O216" i="83" s="1"/>
  <c r="O281" i="83" s="1"/>
  <c r="N216" i="83" a="1"/>
  <c r="N216" i="83" s="1"/>
  <c r="N281" i="83" s="1"/>
  <c r="M216" i="83" a="1"/>
  <c r="M216" i="83" s="1"/>
  <c r="M281" i="83" s="1"/>
  <c r="L216" i="83" a="1"/>
  <c r="L216" i="83" s="1"/>
  <c r="L281" i="83" s="1"/>
  <c r="K216" i="83" a="1"/>
  <c r="K216" i="83" s="1"/>
  <c r="K281" i="83" s="1"/>
  <c r="J216" i="83" a="1"/>
  <c r="J216" i="83" s="1"/>
  <c r="J281" i="83" s="1"/>
  <c r="I216" i="83" a="1"/>
  <c r="I216" i="83" s="1"/>
  <c r="I281" i="83" s="1"/>
  <c r="H216" i="83" a="1"/>
  <c r="H216" i="83" s="1"/>
  <c r="H281" i="83" s="1"/>
  <c r="G216" i="83" a="1"/>
  <c r="G216" i="83" s="1"/>
  <c r="G281" i="83" s="1"/>
  <c r="F216" i="83" a="1"/>
  <c r="F216" i="83" s="1"/>
  <c r="F281" i="83" s="1"/>
  <c r="E216" i="83" a="1"/>
  <c r="E216" i="83" s="1"/>
  <c r="E281" i="83" s="1"/>
  <c r="D216" i="83" a="1"/>
  <c r="D216" i="83" s="1"/>
  <c r="P215" i="83" a="1"/>
  <c r="P215" i="83" s="1"/>
  <c r="P280" i="83" s="1"/>
  <c r="O215" i="83" a="1"/>
  <c r="O215" i="83" s="1"/>
  <c r="O280" i="83" s="1"/>
  <c r="N215" i="83" a="1"/>
  <c r="N215" i="83" s="1"/>
  <c r="N280" i="83" s="1"/>
  <c r="M215" i="83" a="1"/>
  <c r="M215" i="83" s="1"/>
  <c r="M280" i="83" s="1"/>
  <c r="L215" i="83" a="1"/>
  <c r="L215" i="83" s="1"/>
  <c r="L280" i="83" s="1"/>
  <c r="K215" i="83" a="1"/>
  <c r="K215" i="83" s="1"/>
  <c r="K280" i="83" s="1"/>
  <c r="J215" i="83" a="1"/>
  <c r="J215" i="83" s="1"/>
  <c r="J280" i="83" s="1"/>
  <c r="I215" i="83" a="1"/>
  <c r="I215" i="83" s="1"/>
  <c r="I280" i="83" s="1"/>
  <c r="H215" i="83" a="1"/>
  <c r="H215" i="83" s="1"/>
  <c r="H280" i="83" s="1"/>
  <c r="G215" i="83" a="1"/>
  <c r="G215" i="83" s="1"/>
  <c r="G280" i="83" s="1"/>
  <c r="F215" i="83" a="1"/>
  <c r="F215" i="83" s="1"/>
  <c r="F280" i="83" s="1"/>
  <c r="E215" i="83" a="1"/>
  <c r="E215" i="83" s="1"/>
  <c r="E280" i="83" s="1"/>
  <c r="D215" i="83" a="1"/>
  <c r="D215" i="83" s="1"/>
  <c r="P214" i="83" a="1"/>
  <c r="P214" i="83" s="1"/>
  <c r="P279" i="83" s="1"/>
  <c r="O214" i="83" a="1"/>
  <c r="O214" i="83" s="1"/>
  <c r="O279" i="83" s="1"/>
  <c r="N214" i="83" a="1"/>
  <c r="N214" i="83" s="1"/>
  <c r="N279" i="83" s="1"/>
  <c r="M214" i="83" a="1"/>
  <c r="M214" i="83" s="1"/>
  <c r="M279" i="83" s="1"/>
  <c r="L214" i="83" a="1"/>
  <c r="L214" i="83" s="1"/>
  <c r="L279" i="83" s="1"/>
  <c r="K214" i="83" a="1"/>
  <c r="K214" i="83" s="1"/>
  <c r="K279" i="83" s="1"/>
  <c r="J214" i="83" a="1"/>
  <c r="J214" i="83" s="1"/>
  <c r="J279" i="83" s="1"/>
  <c r="I214" i="83" a="1"/>
  <c r="I214" i="83" s="1"/>
  <c r="I279" i="83" s="1"/>
  <c r="H214" i="83" a="1"/>
  <c r="H214" i="83" s="1"/>
  <c r="H279" i="83" s="1"/>
  <c r="G214" i="83" a="1"/>
  <c r="G214" i="83" s="1"/>
  <c r="G279" i="83" s="1"/>
  <c r="F214" i="83" a="1"/>
  <c r="F214" i="83" s="1"/>
  <c r="F279" i="83" s="1"/>
  <c r="E214" i="83" a="1"/>
  <c r="E214" i="83" s="1"/>
  <c r="E279" i="83" s="1"/>
  <c r="D214" i="83" a="1"/>
  <c r="D214" i="83" s="1"/>
  <c r="P213" i="83" a="1"/>
  <c r="P213" i="83" s="1"/>
  <c r="P278" i="83" s="1"/>
  <c r="O213" i="83" a="1"/>
  <c r="O213" i="83" s="1"/>
  <c r="O278" i="83" s="1"/>
  <c r="N213" i="83" a="1"/>
  <c r="N213" i="83" s="1"/>
  <c r="N278" i="83" s="1"/>
  <c r="M213" i="83" a="1"/>
  <c r="M213" i="83" s="1"/>
  <c r="M278" i="83" s="1"/>
  <c r="L213" i="83" a="1"/>
  <c r="L213" i="83" s="1"/>
  <c r="L278" i="83" s="1"/>
  <c r="K213" i="83" a="1"/>
  <c r="K213" i="83" s="1"/>
  <c r="K278" i="83" s="1"/>
  <c r="J213" i="83" a="1"/>
  <c r="J213" i="83" s="1"/>
  <c r="J278" i="83" s="1"/>
  <c r="I213" i="83" a="1"/>
  <c r="I213" i="83" s="1"/>
  <c r="I278" i="83" s="1"/>
  <c r="H213" i="83" a="1"/>
  <c r="H213" i="83" s="1"/>
  <c r="H278" i="83" s="1"/>
  <c r="G213" i="83" a="1"/>
  <c r="G213" i="83" s="1"/>
  <c r="G278" i="83" s="1"/>
  <c r="F213" i="83" a="1"/>
  <c r="F213" i="83" s="1"/>
  <c r="F278" i="83" s="1"/>
  <c r="E213" i="83" a="1"/>
  <c r="E213" i="83" s="1"/>
  <c r="E278" i="83" s="1"/>
  <c r="D213" i="83" a="1"/>
  <c r="D213" i="83" s="1"/>
  <c r="P212" i="83" a="1"/>
  <c r="P212" i="83" s="1"/>
  <c r="P277" i="83" s="1"/>
  <c r="O212" i="83" a="1"/>
  <c r="O212" i="83" s="1"/>
  <c r="O277" i="83" s="1"/>
  <c r="N212" i="83" a="1"/>
  <c r="N212" i="83" s="1"/>
  <c r="N277" i="83" s="1"/>
  <c r="M212" i="83" a="1"/>
  <c r="M212" i="83" s="1"/>
  <c r="M277" i="83" s="1"/>
  <c r="L212" i="83" a="1"/>
  <c r="L212" i="83" s="1"/>
  <c r="L277" i="83" s="1"/>
  <c r="K212" i="83" a="1"/>
  <c r="K212" i="83" s="1"/>
  <c r="K277" i="83" s="1"/>
  <c r="J212" i="83" a="1"/>
  <c r="J212" i="83" s="1"/>
  <c r="J277" i="83" s="1"/>
  <c r="I212" i="83" a="1"/>
  <c r="I212" i="83" s="1"/>
  <c r="I277" i="83" s="1"/>
  <c r="H212" i="83" a="1"/>
  <c r="H212" i="83" s="1"/>
  <c r="H277" i="83" s="1"/>
  <c r="G212" i="83" a="1"/>
  <c r="G212" i="83" s="1"/>
  <c r="G277" i="83" s="1"/>
  <c r="F212" i="83" a="1"/>
  <c r="F212" i="83" s="1"/>
  <c r="F277" i="83" s="1"/>
  <c r="E212" i="83" a="1"/>
  <c r="E212" i="83" s="1"/>
  <c r="E277" i="83" s="1"/>
  <c r="D212" i="83" a="1"/>
  <c r="D212" i="83" s="1"/>
  <c r="P211" i="83" a="1"/>
  <c r="P211" i="83" s="1"/>
  <c r="P276" i="83" s="1"/>
  <c r="O211" i="83" a="1"/>
  <c r="O211" i="83" s="1"/>
  <c r="O276" i="83" s="1"/>
  <c r="N211" i="83" a="1"/>
  <c r="N211" i="83" s="1"/>
  <c r="N276" i="83" s="1"/>
  <c r="M211" i="83" a="1"/>
  <c r="M211" i="83" s="1"/>
  <c r="M276" i="83" s="1"/>
  <c r="L211" i="83" a="1"/>
  <c r="L211" i="83" s="1"/>
  <c r="L276" i="83" s="1"/>
  <c r="K211" i="83" a="1"/>
  <c r="K211" i="83" s="1"/>
  <c r="K276" i="83" s="1"/>
  <c r="J211" i="83" a="1"/>
  <c r="J211" i="83" s="1"/>
  <c r="J276" i="83" s="1"/>
  <c r="I211" i="83" a="1"/>
  <c r="I211" i="83" s="1"/>
  <c r="I276" i="83" s="1"/>
  <c r="H211" i="83" a="1"/>
  <c r="H211" i="83" s="1"/>
  <c r="H276" i="83" s="1"/>
  <c r="G211" i="83" a="1"/>
  <c r="G211" i="83" s="1"/>
  <c r="G276" i="83" s="1"/>
  <c r="F211" i="83" a="1"/>
  <c r="F211" i="83" s="1"/>
  <c r="F276" i="83" s="1"/>
  <c r="E211" i="83" a="1"/>
  <c r="E211" i="83" s="1"/>
  <c r="E276" i="83" s="1"/>
  <c r="D211" i="83" a="1"/>
  <c r="D211" i="83" s="1"/>
  <c r="P210" i="83" a="1"/>
  <c r="P210" i="83" s="1"/>
  <c r="P275" i="83" s="1"/>
  <c r="O210" i="83" a="1"/>
  <c r="O210" i="83" s="1"/>
  <c r="O275" i="83" s="1"/>
  <c r="N210" i="83" a="1"/>
  <c r="N210" i="83" s="1"/>
  <c r="N275" i="83" s="1"/>
  <c r="M210" i="83" a="1"/>
  <c r="M210" i="83" s="1"/>
  <c r="M275" i="83" s="1"/>
  <c r="L210" i="83" a="1"/>
  <c r="L210" i="83" s="1"/>
  <c r="L275" i="83" s="1"/>
  <c r="K210" i="83" a="1"/>
  <c r="K210" i="83" s="1"/>
  <c r="K275" i="83" s="1"/>
  <c r="J210" i="83" a="1"/>
  <c r="J210" i="83" s="1"/>
  <c r="J275" i="83" s="1"/>
  <c r="I210" i="83" a="1"/>
  <c r="I210" i="83" s="1"/>
  <c r="I275" i="83" s="1"/>
  <c r="H210" i="83" a="1"/>
  <c r="H210" i="83" s="1"/>
  <c r="H275" i="83" s="1"/>
  <c r="G210" i="83" a="1"/>
  <c r="G210" i="83" s="1"/>
  <c r="G275" i="83" s="1"/>
  <c r="F210" i="83" a="1"/>
  <c r="F210" i="83" s="1"/>
  <c r="F275" i="83" s="1"/>
  <c r="E210" i="83" a="1"/>
  <c r="E210" i="83" s="1"/>
  <c r="E275" i="83" s="1"/>
  <c r="D210" i="83" a="1"/>
  <c r="D210" i="83" s="1"/>
  <c r="P209" i="83" a="1"/>
  <c r="P209" i="83" s="1"/>
  <c r="P274" i="83" s="1"/>
  <c r="O209" i="83" a="1"/>
  <c r="O209" i="83" s="1"/>
  <c r="O274" i="83" s="1"/>
  <c r="N209" i="83" a="1"/>
  <c r="N209" i="83" s="1"/>
  <c r="N274" i="83" s="1"/>
  <c r="M209" i="83" a="1"/>
  <c r="M209" i="83" s="1"/>
  <c r="M274" i="83" s="1"/>
  <c r="L209" i="83" a="1"/>
  <c r="L209" i="83" s="1"/>
  <c r="L274" i="83" s="1"/>
  <c r="K209" i="83" a="1"/>
  <c r="K209" i="83" s="1"/>
  <c r="K274" i="83" s="1"/>
  <c r="J209" i="83" a="1"/>
  <c r="J209" i="83" s="1"/>
  <c r="J274" i="83" s="1"/>
  <c r="I209" i="83" a="1"/>
  <c r="I209" i="83" s="1"/>
  <c r="I274" i="83" s="1"/>
  <c r="H209" i="83" a="1"/>
  <c r="H209" i="83" s="1"/>
  <c r="H274" i="83" s="1"/>
  <c r="G209" i="83" a="1"/>
  <c r="G209" i="83" s="1"/>
  <c r="G274" i="83" s="1"/>
  <c r="F209" i="83" a="1"/>
  <c r="F209" i="83" s="1"/>
  <c r="F274" i="83" s="1"/>
  <c r="E209" i="83" a="1"/>
  <c r="E209" i="83" s="1"/>
  <c r="E274" i="83" s="1"/>
  <c r="D209" i="83" a="1"/>
  <c r="D209" i="83" s="1"/>
  <c r="P208" i="83" a="1"/>
  <c r="P208" i="83" s="1"/>
  <c r="P273" i="83" s="1"/>
  <c r="O208" i="83" a="1"/>
  <c r="O208" i="83" s="1"/>
  <c r="O273" i="83" s="1"/>
  <c r="N208" i="83" a="1"/>
  <c r="N208" i="83" s="1"/>
  <c r="N273" i="83" s="1"/>
  <c r="M208" i="83" a="1"/>
  <c r="M208" i="83" s="1"/>
  <c r="M273" i="83" s="1"/>
  <c r="L208" i="83" a="1"/>
  <c r="L208" i="83" s="1"/>
  <c r="L273" i="83" s="1"/>
  <c r="K208" i="83" a="1"/>
  <c r="K208" i="83" s="1"/>
  <c r="K273" i="83" s="1"/>
  <c r="J208" i="83" a="1"/>
  <c r="J208" i="83" s="1"/>
  <c r="J273" i="83" s="1"/>
  <c r="I208" i="83" a="1"/>
  <c r="I208" i="83" s="1"/>
  <c r="I273" i="83" s="1"/>
  <c r="H208" i="83" a="1"/>
  <c r="H208" i="83" s="1"/>
  <c r="H273" i="83" s="1"/>
  <c r="G208" i="83" a="1"/>
  <c r="G208" i="83" s="1"/>
  <c r="G273" i="83" s="1"/>
  <c r="F208" i="83" a="1"/>
  <c r="F208" i="83" s="1"/>
  <c r="F273" i="83" s="1"/>
  <c r="E208" i="83" a="1"/>
  <c r="E208" i="83" s="1"/>
  <c r="E273" i="83" s="1"/>
  <c r="D208" i="83" a="1"/>
  <c r="D208" i="83" s="1"/>
  <c r="P207" i="83" a="1"/>
  <c r="P207" i="83" s="1"/>
  <c r="P272" i="83" s="1"/>
  <c r="O207" i="83" a="1"/>
  <c r="O207" i="83" s="1"/>
  <c r="O272" i="83" s="1"/>
  <c r="N207" i="83" a="1"/>
  <c r="N207" i="83" s="1"/>
  <c r="N272" i="83" s="1"/>
  <c r="M207" i="83" a="1"/>
  <c r="M207" i="83" s="1"/>
  <c r="M272" i="83" s="1"/>
  <c r="L207" i="83" a="1"/>
  <c r="L207" i="83" s="1"/>
  <c r="L272" i="83" s="1"/>
  <c r="K207" i="83" a="1"/>
  <c r="K207" i="83" s="1"/>
  <c r="K272" i="83" s="1"/>
  <c r="J207" i="83" a="1"/>
  <c r="J207" i="83" s="1"/>
  <c r="J272" i="83" s="1"/>
  <c r="I207" i="83" a="1"/>
  <c r="I207" i="83" s="1"/>
  <c r="I272" i="83" s="1"/>
  <c r="H207" i="83" a="1"/>
  <c r="H207" i="83" s="1"/>
  <c r="H272" i="83" s="1"/>
  <c r="G207" i="83" a="1"/>
  <c r="G207" i="83" s="1"/>
  <c r="G272" i="83" s="1"/>
  <c r="F207" i="83" a="1"/>
  <c r="F207" i="83" s="1"/>
  <c r="F272" i="83" s="1"/>
  <c r="E207" i="83" a="1"/>
  <c r="E207" i="83" s="1"/>
  <c r="E272" i="83" s="1"/>
  <c r="D207" i="83" a="1"/>
  <c r="D207" i="83" s="1"/>
  <c r="P206" i="83" a="1"/>
  <c r="P206" i="83" s="1"/>
  <c r="P271" i="83" s="1"/>
  <c r="O206" i="83" a="1"/>
  <c r="O206" i="83" s="1"/>
  <c r="O271" i="83" s="1"/>
  <c r="N206" i="83" a="1"/>
  <c r="N206" i="83" s="1"/>
  <c r="N271" i="83" s="1"/>
  <c r="M206" i="83" a="1"/>
  <c r="M206" i="83" s="1"/>
  <c r="M271" i="83" s="1"/>
  <c r="L206" i="83" a="1"/>
  <c r="L206" i="83" s="1"/>
  <c r="L271" i="83" s="1"/>
  <c r="K206" i="83" a="1"/>
  <c r="K206" i="83" s="1"/>
  <c r="K271" i="83" s="1"/>
  <c r="J206" i="83" a="1"/>
  <c r="J206" i="83" s="1"/>
  <c r="J271" i="83" s="1"/>
  <c r="I206" i="83" a="1"/>
  <c r="I206" i="83" s="1"/>
  <c r="I271" i="83" s="1"/>
  <c r="H206" i="83" a="1"/>
  <c r="H206" i="83" s="1"/>
  <c r="H271" i="83" s="1"/>
  <c r="G206" i="83" a="1"/>
  <c r="G206" i="83" s="1"/>
  <c r="G271" i="83" s="1"/>
  <c r="F206" i="83" a="1"/>
  <c r="F206" i="83" s="1"/>
  <c r="F271" i="83" s="1"/>
  <c r="E206" i="83" a="1"/>
  <c r="E206" i="83" s="1"/>
  <c r="E271" i="83" s="1"/>
  <c r="D206" i="83" a="1"/>
  <c r="D206" i="83" s="1"/>
  <c r="P205" i="83" a="1"/>
  <c r="P205" i="83" s="1"/>
  <c r="P270" i="83" s="1"/>
  <c r="O205" i="83" a="1"/>
  <c r="O205" i="83" s="1"/>
  <c r="O270" i="83" s="1"/>
  <c r="N205" i="83" a="1"/>
  <c r="N205" i="83" s="1"/>
  <c r="N270" i="83" s="1"/>
  <c r="M205" i="83" a="1"/>
  <c r="M205" i="83" s="1"/>
  <c r="M270" i="83" s="1"/>
  <c r="L205" i="83" a="1"/>
  <c r="L205" i="83" s="1"/>
  <c r="L270" i="83" s="1"/>
  <c r="K205" i="83" a="1"/>
  <c r="K205" i="83" s="1"/>
  <c r="K270" i="83" s="1"/>
  <c r="J205" i="83" a="1"/>
  <c r="J205" i="83" s="1"/>
  <c r="J270" i="83" s="1"/>
  <c r="I205" i="83" a="1"/>
  <c r="I205" i="83" s="1"/>
  <c r="I270" i="83" s="1"/>
  <c r="H205" i="83" a="1"/>
  <c r="H205" i="83" s="1"/>
  <c r="H270" i="83" s="1"/>
  <c r="G205" i="83" a="1"/>
  <c r="G205" i="83" s="1"/>
  <c r="G270" i="83" s="1"/>
  <c r="F205" i="83" a="1"/>
  <c r="F205" i="83" s="1"/>
  <c r="F270" i="83" s="1"/>
  <c r="E205" i="83" a="1"/>
  <c r="E205" i="83" s="1"/>
  <c r="E270" i="83" s="1"/>
  <c r="D205" i="83" a="1"/>
  <c r="D205" i="83" s="1"/>
  <c r="P204" i="83" a="1"/>
  <c r="P204" i="83" s="1"/>
  <c r="P269" i="83" s="1"/>
  <c r="O204" i="83" a="1"/>
  <c r="O204" i="83" s="1"/>
  <c r="O269" i="83" s="1"/>
  <c r="N204" i="83" a="1"/>
  <c r="N204" i="83" s="1"/>
  <c r="N269" i="83" s="1"/>
  <c r="M204" i="83" a="1"/>
  <c r="M204" i="83" s="1"/>
  <c r="M269" i="83" s="1"/>
  <c r="L204" i="83" a="1"/>
  <c r="L204" i="83" s="1"/>
  <c r="L269" i="83" s="1"/>
  <c r="K204" i="83" a="1"/>
  <c r="K204" i="83" s="1"/>
  <c r="K269" i="83" s="1"/>
  <c r="J204" i="83" a="1"/>
  <c r="J204" i="83" s="1"/>
  <c r="J269" i="83" s="1"/>
  <c r="I204" i="83" a="1"/>
  <c r="I204" i="83" s="1"/>
  <c r="I269" i="83" s="1"/>
  <c r="H204" i="83" a="1"/>
  <c r="H204" i="83" s="1"/>
  <c r="H269" i="83" s="1"/>
  <c r="G204" i="83" a="1"/>
  <c r="G204" i="83" s="1"/>
  <c r="G269" i="83" s="1"/>
  <c r="F204" i="83" a="1"/>
  <c r="F204" i="83" s="1"/>
  <c r="F269" i="83" s="1"/>
  <c r="E204" i="83" a="1"/>
  <c r="E204" i="83" s="1"/>
  <c r="E269" i="83" s="1"/>
  <c r="D204" i="83" a="1"/>
  <c r="D204" i="83" s="1"/>
  <c r="P203" i="83" a="1"/>
  <c r="P203" i="83" s="1"/>
  <c r="P268" i="83" s="1"/>
  <c r="O203" i="83" a="1"/>
  <c r="O203" i="83" s="1"/>
  <c r="O268" i="83" s="1"/>
  <c r="N203" i="83" a="1"/>
  <c r="N203" i="83" s="1"/>
  <c r="N268" i="83" s="1"/>
  <c r="M203" i="83" a="1"/>
  <c r="M203" i="83" s="1"/>
  <c r="M268" i="83" s="1"/>
  <c r="L203" i="83" a="1"/>
  <c r="L203" i="83" s="1"/>
  <c r="L268" i="83" s="1"/>
  <c r="K203" i="83" a="1"/>
  <c r="K203" i="83" s="1"/>
  <c r="K268" i="83" s="1"/>
  <c r="J203" i="83" a="1"/>
  <c r="J203" i="83" s="1"/>
  <c r="J268" i="83" s="1"/>
  <c r="I203" i="83" a="1"/>
  <c r="I203" i="83" s="1"/>
  <c r="I268" i="83" s="1"/>
  <c r="H203" i="83" a="1"/>
  <c r="H203" i="83" s="1"/>
  <c r="H268" i="83" s="1"/>
  <c r="G203" i="83" a="1"/>
  <c r="G203" i="83" s="1"/>
  <c r="G268" i="83" s="1"/>
  <c r="F203" i="83" a="1"/>
  <c r="F203" i="83" s="1"/>
  <c r="F268" i="83" s="1"/>
  <c r="E203" i="83" a="1"/>
  <c r="E203" i="83" s="1"/>
  <c r="E268" i="83" s="1"/>
  <c r="D203" i="83" a="1"/>
  <c r="D203" i="83" s="1"/>
  <c r="P202" i="83" a="1"/>
  <c r="P202" i="83" s="1"/>
  <c r="P267" i="83" s="1"/>
  <c r="O202" i="83" a="1"/>
  <c r="O202" i="83" s="1"/>
  <c r="O267" i="83" s="1"/>
  <c r="N202" i="83" a="1"/>
  <c r="N202" i="83" s="1"/>
  <c r="N267" i="83" s="1"/>
  <c r="M202" i="83" a="1"/>
  <c r="M202" i="83" s="1"/>
  <c r="M267" i="83" s="1"/>
  <c r="L202" i="83" a="1"/>
  <c r="L202" i="83" s="1"/>
  <c r="L267" i="83" s="1"/>
  <c r="K202" i="83" a="1"/>
  <c r="K202" i="83" s="1"/>
  <c r="K267" i="83" s="1"/>
  <c r="J202" i="83" a="1"/>
  <c r="J202" i="83" s="1"/>
  <c r="J267" i="83" s="1"/>
  <c r="I202" i="83" a="1"/>
  <c r="I202" i="83" s="1"/>
  <c r="I267" i="83" s="1"/>
  <c r="H202" i="83" a="1"/>
  <c r="H202" i="83" s="1"/>
  <c r="H267" i="83" s="1"/>
  <c r="G202" i="83" a="1"/>
  <c r="G202" i="83" s="1"/>
  <c r="G267" i="83" s="1"/>
  <c r="F202" i="83" a="1"/>
  <c r="F202" i="83" s="1"/>
  <c r="F267" i="83" s="1"/>
  <c r="E202" i="83" a="1"/>
  <c r="E202" i="83" s="1"/>
  <c r="E267" i="83" s="1"/>
  <c r="D202" i="83" a="1"/>
  <c r="D202" i="83" s="1"/>
  <c r="P201" i="83" a="1"/>
  <c r="P201" i="83" s="1"/>
  <c r="P266" i="83" s="1"/>
  <c r="O201" i="83" a="1"/>
  <c r="O201" i="83" s="1"/>
  <c r="O266" i="83" s="1"/>
  <c r="N201" i="83" a="1"/>
  <c r="N201" i="83" s="1"/>
  <c r="N266" i="83" s="1"/>
  <c r="M201" i="83" a="1"/>
  <c r="M201" i="83" s="1"/>
  <c r="M266" i="83" s="1"/>
  <c r="L201" i="83" a="1"/>
  <c r="L201" i="83" s="1"/>
  <c r="L266" i="83" s="1"/>
  <c r="K201" i="83" a="1"/>
  <c r="K201" i="83" s="1"/>
  <c r="K266" i="83" s="1"/>
  <c r="J201" i="83" a="1"/>
  <c r="J201" i="83" s="1"/>
  <c r="J266" i="83" s="1"/>
  <c r="I201" i="83" a="1"/>
  <c r="I201" i="83" s="1"/>
  <c r="I266" i="83" s="1"/>
  <c r="H201" i="83" a="1"/>
  <c r="H201" i="83" s="1"/>
  <c r="H266" i="83" s="1"/>
  <c r="G201" i="83" a="1"/>
  <c r="G201" i="83" s="1"/>
  <c r="G266" i="83" s="1"/>
  <c r="F201" i="83" a="1"/>
  <c r="F201" i="83" s="1"/>
  <c r="F266" i="83" s="1"/>
  <c r="E201" i="83" a="1"/>
  <c r="E201" i="83" s="1"/>
  <c r="E266" i="83" s="1"/>
  <c r="D201" i="83" a="1"/>
  <c r="D201" i="83" s="1"/>
  <c r="P200" i="83" a="1"/>
  <c r="P200" i="83" s="1"/>
  <c r="P265" i="83" s="1"/>
  <c r="O200" i="83" a="1"/>
  <c r="O200" i="83" s="1"/>
  <c r="O265" i="83" s="1"/>
  <c r="N200" i="83" a="1"/>
  <c r="N200" i="83" s="1"/>
  <c r="N265" i="83" s="1"/>
  <c r="M200" i="83" a="1"/>
  <c r="M200" i="83" s="1"/>
  <c r="M265" i="83" s="1"/>
  <c r="L200" i="83" a="1"/>
  <c r="L200" i="83" s="1"/>
  <c r="L265" i="83" s="1"/>
  <c r="K200" i="83" a="1"/>
  <c r="K200" i="83" s="1"/>
  <c r="K265" i="83" s="1"/>
  <c r="J200" i="83" a="1"/>
  <c r="J200" i="83" s="1"/>
  <c r="J265" i="83" s="1"/>
  <c r="I200" i="83" a="1"/>
  <c r="I200" i="83" s="1"/>
  <c r="I265" i="83" s="1"/>
  <c r="H200" i="83" a="1"/>
  <c r="H200" i="83" s="1"/>
  <c r="H265" i="83" s="1"/>
  <c r="G200" i="83" a="1"/>
  <c r="G200" i="83" s="1"/>
  <c r="G265" i="83" s="1"/>
  <c r="F200" i="83" a="1"/>
  <c r="F200" i="83" s="1"/>
  <c r="F265" i="83" s="1"/>
  <c r="E200" i="83" a="1"/>
  <c r="E200" i="83" s="1"/>
  <c r="E265" i="83" s="1"/>
  <c r="D200" i="83" a="1"/>
  <c r="D200" i="83" s="1"/>
  <c r="P199" i="83" a="1"/>
  <c r="P199" i="83" s="1"/>
  <c r="P264" i="83" s="1"/>
  <c r="O199" i="83" a="1"/>
  <c r="O199" i="83" s="1"/>
  <c r="O264" i="83" s="1"/>
  <c r="N199" i="83" a="1"/>
  <c r="N199" i="83" s="1"/>
  <c r="N264" i="83" s="1"/>
  <c r="M199" i="83" a="1"/>
  <c r="M199" i="83" s="1"/>
  <c r="M264" i="83" s="1"/>
  <c r="L199" i="83" a="1"/>
  <c r="L199" i="83" s="1"/>
  <c r="L264" i="83" s="1"/>
  <c r="K199" i="83" a="1"/>
  <c r="K199" i="83" s="1"/>
  <c r="K264" i="83" s="1"/>
  <c r="J199" i="83" a="1"/>
  <c r="J199" i="83" s="1"/>
  <c r="J264" i="83" s="1"/>
  <c r="I199" i="83" a="1"/>
  <c r="I199" i="83" s="1"/>
  <c r="I264" i="83" s="1"/>
  <c r="H199" i="83" a="1"/>
  <c r="H199" i="83" s="1"/>
  <c r="H264" i="83" s="1"/>
  <c r="G199" i="83" a="1"/>
  <c r="G199" i="83" s="1"/>
  <c r="G264" i="83" s="1"/>
  <c r="F199" i="83" a="1"/>
  <c r="F199" i="83" s="1"/>
  <c r="F264" i="83" s="1"/>
  <c r="E199" i="83" a="1"/>
  <c r="E199" i="83" s="1"/>
  <c r="E264" i="83" s="1"/>
  <c r="D199" i="83" a="1"/>
  <c r="D199" i="83" s="1"/>
  <c r="P198" i="83" a="1"/>
  <c r="P198" i="83" s="1"/>
  <c r="P263" i="83" s="1"/>
  <c r="O198" i="83" a="1"/>
  <c r="O198" i="83" s="1"/>
  <c r="O263" i="83" s="1"/>
  <c r="N198" i="83" a="1"/>
  <c r="N198" i="83" s="1"/>
  <c r="N263" i="83" s="1"/>
  <c r="M198" i="83" a="1"/>
  <c r="M198" i="83" s="1"/>
  <c r="M263" i="83" s="1"/>
  <c r="L198" i="83" a="1"/>
  <c r="L198" i="83" s="1"/>
  <c r="L263" i="83" s="1"/>
  <c r="K198" i="83" a="1"/>
  <c r="K198" i="83" s="1"/>
  <c r="K263" i="83" s="1"/>
  <c r="J198" i="83" a="1"/>
  <c r="J198" i="83" s="1"/>
  <c r="J263" i="83" s="1"/>
  <c r="I198" i="83" a="1"/>
  <c r="I198" i="83" s="1"/>
  <c r="I263" i="83" s="1"/>
  <c r="H198" i="83" a="1"/>
  <c r="H198" i="83" s="1"/>
  <c r="H263" i="83" s="1"/>
  <c r="G198" i="83" a="1"/>
  <c r="G198" i="83" s="1"/>
  <c r="G263" i="83" s="1"/>
  <c r="F198" i="83" a="1"/>
  <c r="F198" i="83" s="1"/>
  <c r="F263" i="83" s="1"/>
  <c r="E198" i="83" a="1"/>
  <c r="E198" i="83" s="1"/>
  <c r="E263" i="83" s="1"/>
  <c r="D198" i="83" a="1"/>
  <c r="D198" i="83" s="1"/>
  <c r="P197" i="83" a="1"/>
  <c r="P197" i="83" s="1"/>
  <c r="P262" i="83" s="1"/>
  <c r="O197" i="83" a="1"/>
  <c r="O197" i="83" s="1"/>
  <c r="O262" i="83" s="1"/>
  <c r="N197" i="83" a="1"/>
  <c r="N197" i="83" s="1"/>
  <c r="N262" i="83" s="1"/>
  <c r="M197" i="83" a="1"/>
  <c r="M197" i="83" s="1"/>
  <c r="M262" i="83" s="1"/>
  <c r="L197" i="83" a="1"/>
  <c r="L197" i="83" s="1"/>
  <c r="L262" i="83" s="1"/>
  <c r="K197" i="83" a="1"/>
  <c r="K197" i="83" s="1"/>
  <c r="K262" i="83" s="1"/>
  <c r="J197" i="83" a="1"/>
  <c r="J197" i="83" s="1"/>
  <c r="J262" i="83" s="1"/>
  <c r="I197" i="83" a="1"/>
  <c r="I197" i="83" s="1"/>
  <c r="I262" i="83" s="1"/>
  <c r="H197" i="83" a="1"/>
  <c r="H197" i="83" s="1"/>
  <c r="H262" i="83" s="1"/>
  <c r="G197" i="83" a="1"/>
  <c r="G197" i="83" s="1"/>
  <c r="G262" i="83" s="1"/>
  <c r="F197" i="83" a="1"/>
  <c r="F197" i="83" s="1"/>
  <c r="F262" i="83" s="1"/>
  <c r="E197" i="83" a="1"/>
  <c r="E197" i="83" s="1"/>
  <c r="E262" i="83" s="1"/>
  <c r="D197" i="83" a="1"/>
  <c r="D197" i="83" s="1"/>
  <c r="P196" i="83" a="1"/>
  <c r="P196" i="83" s="1"/>
  <c r="P261" i="83" s="1"/>
  <c r="O196" i="83" a="1"/>
  <c r="O196" i="83" s="1"/>
  <c r="O261" i="83" s="1"/>
  <c r="N196" i="83" a="1"/>
  <c r="N196" i="83" s="1"/>
  <c r="N261" i="83" s="1"/>
  <c r="M196" i="83" a="1"/>
  <c r="M196" i="83" s="1"/>
  <c r="M261" i="83" s="1"/>
  <c r="L196" i="83" a="1"/>
  <c r="L196" i="83" s="1"/>
  <c r="L261" i="83" s="1"/>
  <c r="K196" i="83" a="1"/>
  <c r="K196" i="83" s="1"/>
  <c r="K261" i="83" s="1"/>
  <c r="J196" i="83" a="1"/>
  <c r="J196" i="83" s="1"/>
  <c r="J261" i="83" s="1"/>
  <c r="I196" i="83" a="1"/>
  <c r="I196" i="83" s="1"/>
  <c r="I261" i="83" s="1"/>
  <c r="H196" i="83" a="1"/>
  <c r="H196" i="83" s="1"/>
  <c r="H261" i="83" s="1"/>
  <c r="G196" i="83" a="1"/>
  <c r="G196" i="83" s="1"/>
  <c r="G261" i="83" s="1"/>
  <c r="F196" i="83" a="1"/>
  <c r="F196" i="83" s="1"/>
  <c r="F261" i="83" s="1"/>
  <c r="E196" i="83" a="1"/>
  <c r="E196" i="83" s="1"/>
  <c r="E261" i="83" s="1"/>
  <c r="D196" i="83" a="1"/>
  <c r="D196" i="83" s="1"/>
  <c r="P195" i="83" a="1"/>
  <c r="P195" i="83" s="1"/>
  <c r="P260" i="83" s="1"/>
  <c r="O195" i="83" a="1"/>
  <c r="O195" i="83" s="1"/>
  <c r="O260" i="83" s="1"/>
  <c r="N195" i="83" a="1"/>
  <c r="N195" i="83" s="1"/>
  <c r="N260" i="83" s="1"/>
  <c r="M195" i="83" a="1"/>
  <c r="M195" i="83" s="1"/>
  <c r="M260" i="83" s="1"/>
  <c r="L195" i="83" a="1"/>
  <c r="L195" i="83" s="1"/>
  <c r="L260" i="83" s="1"/>
  <c r="K195" i="83" a="1"/>
  <c r="K195" i="83" s="1"/>
  <c r="K260" i="83" s="1"/>
  <c r="J195" i="83" a="1"/>
  <c r="J195" i="83" s="1"/>
  <c r="J260" i="83" s="1"/>
  <c r="I195" i="83" a="1"/>
  <c r="I195" i="83" s="1"/>
  <c r="I260" i="83" s="1"/>
  <c r="H195" i="83" a="1"/>
  <c r="H195" i="83" s="1"/>
  <c r="H260" i="83" s="1"/>
  <c r="G195" i="83" a="1"/>
  <c r="G195" i="83" s="1"/>
  <c r="G260" i="83" s="1"/>
  <c r="F195" i="83" a="1"/>
  <c r="F195" i="83" s="1"/>
  <c r="F260" i="83" s="1"/>
  <c r="E195" i="83" a="1"/>
  <c r="E195" i="83" s="1"/>
  <c r="E260" i="83" s="1"/>
  <c r="D195" i="83" a="1"/>
  <c r="D195" i="83" s="1"/>
  <c r="P194" i="83" a="1"/>
  <c r="P194" i="83" s="1"/>
  <c r="P259" i="83" s="1"/>
  <c r="O194" i="83" a="1"/>
  <c r="O194" i="83" s="1"/>
  <c r="O259" i="83" s="1"/>
  <c r="N194" i="83" a="1"/>
  <c r="N194" i="83" s="1"/>
  <c r="N259" i="83" s="1"/>
  <c r="M194" i="83" a="1"/>
  <c r="M194" i="83" s="1"/>
  <c r="M259" i="83" s="1"/>
  <c r="L194" i="83" a="1"/>
  <c r="L194" i="83" s="1"/>
  <c r="L259" i="83" s="1"/>
  <c r="K194" i="83" a="1"/>
  <c r="K194" i="83" s="1"/>
  <c r="K259" i="83" s="1"/>
  <c r="J194" i="83" a="1"/>
  <c r="J194" i="83" s="1"/>
  <c r="J259" i="83" s="1"/>
  <c r="I194" i="83" a="1"/>
  <c r="I194" i="83" s="1"/>
  <c r="I259" i="83" s="1"/>
  <c r="H194" i="83" a="1"/>
  <c r="H194" i="83" s="1"/>
  <c r="H259" i="83" s="1"/>
  <c r="G194" i="83" a="1"/>
  <c r="G194" i="83" s="1"/>
  <c r="G259" i="83" s="1"/>
  <c r="F194" i="83" a="1"/>
  <c r="F194" i="83" s="1"/>
  <c r="F259" i="83" s="1"/>
  <c r="E194" i="83" a="1"/>
  <c r="E194" i="83" s="1"/>
  <c r="E259" i="83" s="1"/>
  <c r="D194" i="83" a="1"/>
  <c r="D194" i="83" s="1"/>
  <c r="P193" i="83" a="1"/>
  <c r="P193" i="83" s="1"/>
  <c r="P258" i="83" s="1"/>
  <c r="O193" i="83" a="1"/>
  <c r="O193" i="83" s="1"/>
  <c r="O258" i="83" s="1"/>
  <c r="N193" i="83" a="1"/>
  <c r="N193" i="83" s="1"/>
  <c r="N258" i="83" s="1"/>
  <c r="M193" i="83" a="1"/>
  <c r="M193" i="83" s="1"/>
  <c r="M258" i="83" s="1"/>
  <c r="L193" i="83" a="1"/>
  <c r="L193" i="83" s="1"/>
  <c r="L258" i="83" s="1"/>
  <c r="K193" i="83" a="1"/>
  <c r="K193" i="83" s="1"/>
  <c r="K258" i="83" s="1"/>
  <c r="J193" i="83" a="1"/>
  <c r="J193" i="83" s="1"/>
  <c r="J258" i="83" s="1"/>
  <c r="I193" i="83" a="1"/>
  <c r="I193" i="83" s="1"/>
  <c r="I258" i="83" s="1"/>
  <c r="H193" i="83" a="1"/>
  <c r="H193" i="83" s="1"/>
  <c r="H258" i="83" s="1"/>
  <c r="G193" i="83" a="1"/>
  <c r="G193" i="83" s="1"/>
  <c r="G258" i="83" s="1"/>
  <c r="F193" i="83" a="1"/>
  <c r="F193" i="83" s="1"/>
  <c r="F258" i="83" s="1"/>
  <c r="E193" i="83" a="1"/>
  <c r="E193" i="83" s="1"/>
  <c r="E258" i="83" s="1"/>
  <c r="D193" i="83" a="1"/>
  <c r="D193" i="83" s="1"/>
  <c r="P192" i="83" a="1"/>
  <c r="P192" i="83" s="1"/>
  <c r="P257" i="83" s="1"/>
  <c r="O192" i="83" a="1"/>
  <c r="O192" i="83" s="1"/>
  <c r="O257" i="83" s="1"/>
  <c r="N192" i="83" a="1"/>
  <c r="N192" i="83" s="1"/>
  <c r="N257" i="83" s="1"/>
  <c r="M192" i="83" a="1"/>
  <c r="M192" i="83" s="1"/>
  <c r="M257" i="83" s="1"/>
  <c r="L192" i="83" a="1"/>
  <c r="L192" i="83" s="1"/>
  <c r="L257" i="83" s="1"/>
  <c r="K192" i="83" a="1"/>
  <c r="K192" i="83" s="1"/>
  <c r="K257" i="83" s="1"/>
  <c r="J192" i="83" a="1"/>
  <c r="J192" i="83" s="1"/>
  <c r="J257" i="83" s="1"/>
  <c r="I192" i="83" a="1"/>
  <c r="I192" i="83" s="1"/>
  <c r="I257" i="83" s="1"/>
  <c r="H192" i="83" a="1"/>
  <c r="H192" i="83" s="1"/>
  <c r="H257" i="83" s="1"/>
  <c r="G192" i="83" a="1"/>
  <c r="G192" i="83" s="1"/>
  <c r="G257" i="83" s="1"/>
  <c r="F192" i="83" a="1"/>
  <c r="F192" i="83" s="1"/>
  <c r="F257" i="83" s="1"/>
  <c r="E192" i="83" a="1"/>
  <c r="E192" i="83" s="1"/>
  <c r="E257" i="83" s="1"/>
  <c r="D192" i="83" a="1"/>
  <c r="D192" i="83" s="1"/>
  <c r="P191" i="83" a="1"/>
  <c r="P191" i="83" s="1"/>
  <c r="P256" i="83" s="1"/>
  <c r="O191" i="83" a="1"/>
  <c r="O191" i="83" s="1"/>
  <c r="O256" i="83" s="1"/>
  <c r="N191" i="83" a="1"/>
  <c r="N191" i="83" s="1"/>
  <c r="N256" i="83" s="1"/>
  <c r="M191" i="83" a="1"/>
  <c r="M191" i="83" s="1"/>
  <c r="M256" i="83" s="1"/>
  <c r="L191" i="83" a="1"/>
  <c r="L191" i="83" s="1"/>
  <c r="L256" i="83" s="1"/>
  <c r="K191" i="83" a="1"/>
  <c r="K191" i="83" s="1"/>
  <c r="K256" i="83" s="1"/>
  <c r="J191" i="83" a="1"/>
  <c r="J191" i="83" s="1"/>
  <c r="J256" i="83" s="1"/>
  <c r="I191" i="83" a="1"/>
  <c r="I191" i="83" s="1"/>
  <c r="I256" i="83" s="1"/>
  <c r="H191" i="83" a="1"/>
  <c r="H191" i="83" s="1"/>
  <c r="H256" i="83" s="1"/>
  <c r="G191" i="83" a="1"/>
  <c r="G191" i="83" s="1"/>
  <c r="G256" i="83" s="1"/>
  <c r="F191" i="83" a="1"/>
  <c r="F191" i="83" s="1"/>
  <c r="F256" i="83" s="1"/>
  <c r="E191" i="83" a="1"/>
  <c r="E191" i="83" s="1"/>
  <c r="E256" i="83" s="1"/>
  <c r="D191" i="83" a="1"/>
  <c r="D191" i="83" s="1"/>
  <c r="P190" i="83" a="1"/>
  <c r="P190" i="83" s="1"/>
  <c r="P255" i="83" s="1"/>
  <c r="O190" i="83" a="1"/>
  <c r="O190" i="83" s="1"/>
  <c r="O255" i="83" s="1"/>
  <c r="N190" i="83" a="1"/>
  <c r="N190" i="83" s="1"/>
  <c r="N255" i="83" s="1"/>
  <c r="M190" i="83" a="1"/>
  <c r="M190" i="83" s="1"/>
  <c r="M255" i="83" s="1"/>
  <c r="L190" i="83" a="1"/>
  <c r="L190" i="83" s="1"/>
  <c r="L255" i="83" s="1"/>
  <c r="K190" i="83" a="1"/>
  <c r="K190" i="83" s="1"/>
  <c r="K255" i="83" s="1"/>
  <c r="J190" i="83" a="1"/>
  <c r="J190" i="83" s="1"/>
  <c r="J255" i="83" s="1"/>
  <c r="I190" i="83" a="1"/>
  <c r="I190" i="83" s="1"/>
  <c r="I255" i="83" s="1"/>
  <c r="H190" i="83" a="1"/>
  <c r="H190" i="83" s="1"/>
  <c r="H255" i="83" s="1"/>
  <c r="G190" i="83" a="1"/>
  <c r="G190" i="83" s="1"/>
  <c r="G255" i="83" s="1"/>
  <c r="F190" i="83" a="1"/>
  <c r="F190" i="83" s="1"/>
  <c r="F255" i="83" s="1"/>
  <c r="E190" i="83" a="1"/>
  <c r="E190" i="83" s="1"/>
  <c r="E255" i="83" s="1"/>
  <c r="D190" i="83" a="1"/>
  <c r="D190" i="83" s="1"/>
  <c r="D188" i="83" a="1"/>
  <c r="D188" i="83" s="1"/>
  <c r="D187" i="83" a="1"/>
  <c r="D187" i="83" s="1"/>
  <c r="D186" i="83" a="1"/>
  <c r="D186" i="83" s="1"/>
  <c r="D185" i="83" a="1"/>
  <c r="D185" i="83" s="1"/>
  <c r="M182" i="83" a="1"/>
  <c r="M182" i="83" s="1"/>
  <c r="L182" i="83" a="1"/>
  <c r="L182" i="83" s="1"/>
  <c r="M254" i="83" s="1"/>
  <c r="K182" i="83" a="1"/>
  <c r="K182" i="83" s="1"/>
  <c r="J182" i="83" a="1"/>
  <c r="J182" i="83" s="1"/>
  <c r="J254" i="83" s="1"/>
  <c r="I182" i="83" a="1"/>
  <c r="I182" i="83" s="1"/>
  <c r="I254" i="83" s="1"/>
  <c r="H182" i="83" a="1"/>
  <c r="H182" i="83" s="1"/>
  <c r="H254" i="83" s="1"/>
  <c r="G182" i="83" a="1"/>
  <c r="G182" i="83" s="1"/>
  <c r="G254" i="83" s="1"/>
  <c r="F182" i="83" a="1"/>
  <c r="F182" i="83" s="1"/>
  <c r="F254" i="83" s="1"/>
  <c r="E182" i="83" a="1"/>
  <c r="E182" i="83" s="1"/>
  <c r="E254" i="83" s="1"/>
  <c r="D182" i="83" a="1"/>
  <c r="D182" i="83" s="1"/>
  <c r="M181" i="83" a="1"/>
  <c r="M181" i="83" s="1"/>
  <c r="L181" i="83" a="1"/>
  <c r="L181" i="83" s="1"/>
  <c r="M253" i="83" s="1"/>
  <c r="K181" i="83" a="1"/>
  <c r="K181" i="83" s="1"/>
  <c r="J181" i="83" a="1"/>
  <c r="J181" i="83" s="1"/>
  <c r="J253" i="83" s="1"/>
  <c r="I181" i="83" a="1"/>
  <c r="I181" i="83" s="1"/>
  <c r="I253" i="83" s="1"/>
  <c r="H181" i="83" a="1"/>
  <c r="H181" i="83" s="1"/>
  <c r="H253" i="83" s="1"/>
  <c r="G181" i="83" a="1"/>
  <c r="G181" i="83" s="1"/>
  <c r="G253" i="83" s="1"/>
  <c r="F181" i="83" a="1"/>
  <c r="F181" i="83" s="1"/>
  <c r="F253" i="83" s="1"/>
  <c r="E181" i="83" a="1"/>
  <c r="E181" i="83" s="1"/>
  <c r="E253" i="83" s="1"/>
  <c r="D181" i="83" a="1"/>
  <c r="D181" i="83" s="1"/>
  <c r="M180" i="83" a="1"/>
  <c r="M180" i="83" s="1"/>
  <c r="L180" i="83" a="1"/>
  <c r="L180" i="83" s="1"/>
  <c r="M252" i="83" s="1"/>
  <c r="K180" i="83" a="1"/>
  <c r="K180" i="83" s="1"/>
  <c r="J180" i="83" a="1"/>
  <c r="J180" i="83" s="1"/>
  <c r="J252" i="83" s="1"/>
  <c r="I180" i="83" a="1"/>
  <c r="I180" i="83" s="1"/>
  <c r="I252" i="83" s="1"/>
  <c r="H180" i="83" a="1"/>
  <c r="H180" i="83" s="1"/>
  <c r="H252" i="83" s="1"/>
  <c r="G180" i="83" a="1"/>
  <c r="G180" i="83" s="1"/>
  <c r="G252" i="83" s="1"/>
  <c r="F180" i="83" a="1"/>
  <c r="F180" i="83" s="1"/>
  <c r="F252" i="83" s="1"/>
  <c r="E180" i="83" a="1"/>
  <c r="E180" i="83" s="1"/>
  <c r="E252" i="83" s="1"/>
  <c r="D180" i="83" a="1"/>
  <c r="D180" i="83" s="1"/>
  <c r="M179" i="83" a="1"/>
  <c r="M179" i="83" s="1"/>
  <c r="L179" i="83" a="1"/>
  <c r="L179" i="83" s="1"/>
  <c r="M251" i="83" s="1"/>
  <c r="K179" i="83" a="1"/>
  <c r="K179" i="83" s="1"/>
  <c r="J179" i="83" a="1"/>
  <c r="J179" i="83" s="1"/>
  <c r="J251" i="83" s="1"/>
  <c r="I179" i="83" a="1"/>
  <c r="I179" i="83" s="1"/>
  <c r="I251" i="83" s="1"/>
  <c r="H179" i="83" a="1"/>
  <c r="H179" i="83" s="1"/>
  <c r="H251" i="83" s="1"/>
  <c r="G179" i="83" a="1"/>
  <c r="G179" i="83" s="1"/>
  <c r="G251" i="83" s="1"/>
  <c r="F179" i="83" a="1"/>
  <c r="F179" i="83" s="1"/>
  <c r="F251" i="83" s="1"/>
  <c r="E179" i="83" a="1"/>
  <c r="E179" i="83" s="1"/>
  <c r="E251" i="83" s="1"/>
  <c r="D179" i="83" a="1"/>
  <c r="D179" i="83" s="1"/>
  <c r="M178" i="83" a="1"/>
  <c r="M178" i="83" s="1"/>
  <c r="L178" i="83" a="1"/>
  <c r="L178" i="83" s="1"/>
  <c r="M250" i="83" s="1"/>
  <c r="K178" i="83" a="1"/>
  <c r="K178" i="83" s="1"/>
  <c r="J178" i="83" a="1"/>
  <c r="J178" i="83" s="1"/>
  <c r="J250" i="83" s="1"/>
  <c r="I178" i="83" a="1"/>
  <c r="I178" i="83" s="1"/>
  <c r="I250" i="83" s="1"/>
  <c r="H178" i="83" a="1"/>
  <c r="H178" i="83" s="1"/>
  <c r="H250" i="83" s="1"/>
  <c r="G178" i="83" a="1"/>
  <c r="G178" i="83" s="1"/>
  <c r="G250" i="83" s="1"/>
  <c r="F178" i="83" a="1"/>
  <c r="F178" i="83" s="1"/>
  <c r="F250" i="83" s="1"/>
  <c r="E178" i="83" a="1"/>
  <c r="E178" i="83" s="1"/>
  <c r="E250" i="83" s="1"/>
  <c r="D178" i="83" a="1"/>
  <c r="D178" i="83" s="1"/>
  <c r="M177" i="83" a="1"/>
  <c r="M177" i="83" s="1"/>
  <c r="L177" i="83" a="1"/>
  <c r="L177" i="83" s="1"/>
  <c r="M249" i="83" s="1"/>
  <c r="K177" i="83" a="1"/>
  <c r="K177" i="83" s="1"/>
  <c r="J177" i="83" a="1"/>
  <c r="J177" i="83" s="1"/>
  <c r="J249" i="83" s="1"/>
  <c r="I177" i="83" a="1"/>
  <c r="I177" i="83" s="1"/>
  <c r="I249" i="83" s="1"/>
  <c r="H177" i="83" a="1"/>
  <c r="H177" i="83" s="1"/>
  <c r="H249" i="83" s="1"/>
  <c r="G177" i="83" a="1"/>
  <c r="G177" i="83" s="1"/>
  <c r="G249" i="83" s="1"/>
  <c r="F177" i="83" a="1"/>
  <c r="F177" i="83" s="1"/>
  <c r="F249" i="83" s="1"/>
  <c r="E177" i="83" a="1"/>
  <c r="E177" i="83" s="1"/>
  <c r="E249" i="83" s="1"/>
  <c r="D177" i="83" a="1"/>
  <c r="D177" i="83" s="1"/>
  <c r="M176" i="83" a="1"/>
  <c r="M176" i="83" s="1"/>
  <c r="L176" i="83" a="1"/>
  <c r="L176" i="83" s="1"/>
  <c r="M248" i="83" s="1"/>
  <c r="K176" i="83" a="1"/>
  <c r="K176" i="83" s="1"/>
  <c r="J176" i="83" a="1"/>
  <c r="J176" i="83" s="1"/>
  <c r="J248" i="83" s="1"/>
  <c r="I176" i="83" a="1"/>
  <c r="I176" i="83" s="1"/>
  <c r="I248" i="83" s="1"/>
  <c r="H176" i="83" a="1"/>
  <c r="H176" i="83" s="1"/>
  <c r="H248" i="83" s="1"/>
  <c r="G176" i="83" a="1"/>
  <c r="G176" i="83" s="1"/>
  <c r="G248" i="83" s="1"/>
  <c r="F176" i="83" a="1"/>
  <c r="F176" i="83" s="1"/>
  <c r="F248" i="83" s="1"/>
  <c r="E176" i="83" a="1"/>
  <c r="E176" i="83" s="1"/>
  <c r="E248" i="83" s="1"/>
  <c r="D176" i="83" a="1"/>
  <c r="D176" i="83" s="1"/>
  <c r="M175" i="83" a="1"/>
  <c r="M175" i="83" s="1"/>
  <c r="L175" i="83" a="1"/>
  <c r="L175" i="83" s="1"/>
  <c r="M247" i="83" s="1"/>
  <c r="K175" i="83" a="1"/>
  <c r="K175" i="83" s="1"/>
  <c r="J175" i="83" a="1"/>
  <c r="J175" i="83" s="1"/>
  <c r="J247" i="83" s="1"/>
  <c r="I175" i="83" a="1"/>
  <c r="I175" i="83" s="1"/>
  <c r="I247" i="83" s="1"/>
  <c r="H175" i="83" a="1"/>
  <c r="H175" i="83" s="1"/>
  <c r="H247" i="83" s="1"/>
  <c r="G175" i="83" a="1"/>
  <c r="G175" i="83" s="1"/>
  <c r="G247" i="83" s="1"/>
  <c r="F175" i="83" a="1"/>
  <c r="F175" i="83" s="1"/>
  <c r="F247" i="83" s="1"/>
  <c r="E175" i="83" a="1"/>
  <c r="E175" i="83" s="1"/>
  <c r="E247" i="83" s="1"/>
  <c r="D175" i="83" a="1"/>
  <c r="D175" i="83" s="1"/>
  <c r="M174" i="83" a="1"/>
  <c r="M174" i="83" s="1"/>
  <c r="L174" i="83" a="1"/>
  <c r="L174" i="83" s="1"/>
  <c r="M246" i="83" s="1"/>
  <c r="K174" i="83" a="1"/>
  <c r="K174" i="83" s="1"/>
  <c r="J174" i="83" a="1"/>
  <c r="J174" i="83" s="1"/>
  <c r="J246" i="83" s="1"/>
  <c r="I174" i="83" a="1"/>
  <c r="I174" i="83" s="1"/>
  <c r="I246" i="83" s="1"/>
  <c r="H174" i="83" a="1"/>
  <c r="H174" i="83" s="1"/>
  <c r="H246" i="83" s="1"/>
  <c r="G174" i="83" a="1"/>
  <c r="G174" i="83" s="1"/>
  <c r="G246" i="83" s="1"/>
  <c r="F174" i="83" a="1"/>
  <c r="F174" i="83" s="1"/>
  <c r="F246" i="83" s="1"/>
  <c r="E174" i="83" a="1"/>
  <c r="E174" i="83" s="1"/>
  <c r="E246" i="83" s="1"/>
  <c r="D174" i="83" a="1"/>
  <c r="D174" i="83" s="1"/>
  <c r="M173" i="83" a="1"/>
  <c r="M173" i="83" s="1"/>
  <c r="L173" i="83" a="1"/>
  <c r="L173" i="83" s="1"/>
  <c r="M245" i="83" s="1"/>
  <c r="K173" i="83" a="1"/>
  <c r="K173" i="83" s="1"/>
  <c r="J173" i="83" a="1"/>
  <c r="J173" i="83" s="1"/>
  <c r="J245" i="83" s="1"/>
  <c r="I173" i="83" a="1"/>
  <c r="I173" i="83" s="1"/>
  <c r="I245" i="83" s="1"/>
  <c r="H173" i="83" a="1"/>
  <c r="H173" i="83" s="1"/>
  <c r="H245" i="83" s="1"/>
  <c r="G173" i="83" a="1"/>
  <c r="G173" i="83" s="1"/>
  <c r="G245" i="83" s="1"/>
  <c r="F173" i="83" a="1"/>
  <c r="F173" i="83" s="1"/>
  <c r="F245" i="83" s="1"/>
  <c r="E173" i="83" a="1"/>
  <c r="E173" i="83" s="1"/>
  <c r="E245" i="83" s="1"/>
  <c r="D173" i="83" a="1"/>
  <c r="D173" i="83" s="1"/>
  <c r="M172" i="83" a="1"/>
  <c r="M172" i="83" s="1"/>
  <c r="L172" i="83" a="1"/>
  <c r="L172" i="83" s="1"/>
  <c r="M244" i="83" s="1"/>
  <c r="K172" i="83" a="1"/>
  <c r="K172" i="83" s="1"/>
  <c r="J172" i="83" a="1"/>
  <c r="J172" i="83" s="1"/>
  <c r="J244" i="83" s="1"/>
  <c r="I172" i="83" a="1"/>
  <c r="I172" i="83" s="1"/>
  <c r="I244" i="83" s="1"/>
  <c r="H172" i="83" a="1"/>
  <c r="H172" i="83" s="1"/>
  <c r="H244" i="83" s="1"/>
  <c r="G172" i="83" a="1"/>
  <c r="G172" i="83" s="1"/>
  <c r="G244" i="83" s="1"/>
  <c r="F172" i="83" a="1"/>
  <c r="F172" i="83" s="1"/>
  <c r="F244" i="83" s="1"/>
  <c r="E172" i="83" a="1"/>
  <c r="E172" i="83" s="1"/>
  <c r="E244" i="83" s="1"/>
  <c r="D172" i="83" a="1"/>
  <c r="D172" i="83" s="1"/>
  <c r="M171" i="83" a="1"/>
  <c r="M171" i="83" s="1"/>
  <c r="L171" i="83" a="1"/>
  <c r="L171" i="83" s="1"/>
  <c r="M243" i="83" s="1"/>
  <c r="K171" i="83" a="1"/>
  <c r="K171" i="83" s="1"/>
  <c r="J171" i="83" a="1"/>
  <c r="J171" i="83" s="1"/>
  <c r="J243" i="83" s="1"/>
  <c r="I171" i="83" a="1"/>
  <c r="I171" i="83" s="1"/>
  <c r="I243" i="83" s="1"/>
  <c r="H171" i="83" a="1"/>
  <c r="H171" i="83" s="1"/>
  <c r="H243" i="83" s="1"/>
  <c r="G171" i="83" a="1"/>
  <c r="G171" i="83" s="1"/>
  <c r="G243" i="83" s="1"/>
  <c r="F171" i="83" a="1"/>
  <c r="F171" i="83" s="1"/>
  <c r="F243" i="83" s="1"/>
  <c r="E171" i="83" a="1"/>
  <c r="E171" i="83" s="1"/>
  <c r="E243" i="83" s="1"/>
  <c r="D171" i="83" a="1"/>
  <c r="D171" i="83" s="1"/>
  <c r="M170" i="83" a="1"/>
  <c r="M170" i="83" s="1"/>
  <c r="L170" i="83" a="1"/>
  <c r="L170" i="83" s="1"/>
  <c r="M242" i="83" s="1"/>
  <c r="K170" i="83" a="1"/>
  <c r="K170" i="83" s="1"/>
  <c r="J170" i="83" a="1"/>
  <c r="J170" i="83" s="1"/>
  <c r="J242" i="83" s="1"/>
  <c r="I170" i="83" a="1"/>
  <c r="I170" i="83" s="1"/>
  <c r="I242" i="83" s="1"/>
  <c r="H170" i="83" a="1"/>
  <c r="H170" i="83" s="1"/>
  <c r="H242" i="83" s="1"/>
  <c r="G170" i="83" a="1"/>
  <c r="G170" i="83" s="1"/>
  <c r="G242" i="83" s="1"/>
  <c r="F170" i="83" a="1"/>
  <c r="F170" i="83" s="1"/>
  <c r="F242" i="83" s="1"/>
  <c r="E170" i="83" a="1"/>
  <c r="E170" i="83" s="1"/>
  <c r="D170" i="83" a="1"/>
  <c r="D170" i="83" s="1"/>
  <c r="M169" i="83" a="1"/>
  <c r="M169" i="83" s="1"/>
  <c r="L169" i="83" a="1"/>
  <c r="L169" i="83" s="1"/>
  <c r="M241" i="83" s="1"/>
  <c r="K169" i="83" a="1"/>
  <c r="K169" i="83" s="1"/>
  <c r="J169" i="83" a="1"/>
  <c r="J169" i="83" s="1"/>
  <c r="J241" i="83" s="1"/>
  <c r="I169" i="83" a="1"/>
  <c r="I169" i="83" s="1"/>
  <c r="I241" i="83" s="1"/>
  <c r="H169" i="83" a="1"/>
  <c r="H169" i="83" s="1"/>
  <c r="H241" i="83" s="1"/>
  <c r="G169" i="83" a="1"/>
  <c r="G169" i="83" s="1"/>
  <c r="G241" i="83" s="1"/>
  <c r="F169" i="83" a="1"/>
  <c r="F169" i="83" s="1"/>
  <c r="F241" i="83" s="1"/>
  <c r="E169" i="83" a="1"/>
  <c r="E169" i="83" s="1"/>
  <c r="D169" i="83" a="1"/>
  <c r="D169" i="83" s="1"/>
  <c r="M168" i="83" a="1"/>
  <c r="M168" i="83" s="1"/>
  <c r="L168" i="83" a="1"/>
  <c r="L168" i="83" s="1"/>
  <c r="M240" i="83" s="1"/>
  <c r="K168" i="83" a="1"/>
  <c r="K168" i="83" s="1"/>
  <c r="J168" i="83" a="1"/>
  <c r="J168" i="83" s="1"/>
  <c r="J240" i="83" s="1"/>
  <c r="I168" i="83" a="1"/>
  <c r="I168" i="83" s="1"/>
  <c r="I240" i="83" s="1"/>
  <c r="H168" i="83" a="1"/>
  <c r="H168" i="83" s="1"/>
  <c r="H240" i="83" s="1"/>
  <c r="G168" i="83" a="1"/>
  <c r="G168" i="83" s="1"/>
  <c r="G240" i="83" s="1"/>
  <c r="F168" i="83" a="1"/>
  <c r="F168" i="83" s="1"/>
  <c r="F240" i="83" s="1"/>
  <c r="E168" i="83" a="1"/>
  <c r="E168" i="83" s="1"/>
  <c r="D168" i="83" a="1"/>
  <c r="D168" i="83" s="1"/>
  <c r="M167" i="83" a="1"/>
  <c r="M167" i="83" s="1"/>
  <c r="L167" i="83" a="1"/>
  <c r="L167" i="83" s="1"/>
  <c r="M239" i="83" s="1"/>
  <c r="K167" i="83" a="1"/>
  <c r="K167" i="83" s="1"/>
  <c r="J167" i="83" a="1"/>
  <c r="J167" i="83" s="1"/>
  <c r="J239" i="83" s="1"/>
  <c r="I167" i="83" a="1"/>
  <c r="I167" i="83" s="1"/>
  <c r="I239" i="83" s="1"/>
  <c r="H167" i="83" a="1"/>
  <c r="H167" i="83" s="1"/>
  <c r="H239" i="83" s="1"/>
  <c r="G167" i="83" a="1"/>
  <c r="G167" i="83" s="1"/>
  <c r="G239" i="83" s="1"/>
  <c r="F167" i="83" a="1"/>
  <c r="F167" i="83" s="1"/>
  <c r="F239" i="83" s="1"/>
  <c r="E167" i="83" a="1"/>
  <c r="E167" i="83" s="1"/>
  <c r="D167" i="83" a="1"/>
  <c r="D167" i="83" s="1"/>
  <c r="M166" i="83" a="1"/>
  <c r="M166" i="83" s="1"/>
  <c r="L166" i="83" a="1"/>
  <c r="L166" i="83" s="1"/>
  <c r="M238" i="83" s="1"/>
  <c r="K166" i="83" a="1"/>
  <c r="K166" i="83" s="1"/>
  <c r="J166" i="83" a="1"/>
  <c r="J166" i="83" s="1"/>
  <c r="J238" i="83" s="1"/>
  <c r="I166" i="83" a="1"/>
  <c r="I166" i="83" s="1"/>
  <c r="I238" i="83" s="1"/>
  <c r="H166" i="83" a="1"/>
  <c r="H166" i="83" s="1"/>
  <c r="H238" i="83" s="1"/>
  <c r="G166" i="83" a="1"/>
  <c r="G166" i="83" s="1"/>
  <c r="G238" i="83" s="1"/>
  <c r="F166" i="83" a="1"/>
  <c r="F166" i="83" s="1"/>
  <c r="F238" i="83" s="1"/>
  <c r="E166" i="83" a="1"/>
  <c r="E166" i="83" s="1"/>
  <c r="D166" i="83" a="1"/>
  <c r="D166" i="83" s="1"/>
  <c r="M165" i="83" a="1"/>
  <c r="M165" i="83" s="1"/>
  <c r="L165" i="83" a="1"/>
  <c r="L165" i="83" s="1"/>
  <c r="M237" i="83" s="1"/>
  <c r="K165" i="83" a="1"/>
  <c r="K165" i="83" s="1"/>
  <c r="J165" i="83" a="1"/>
  <c r="J165" i="83" s="1"/>
  <c r="J237" i="83" s="1"/>
  <c r="I165" i="83" a="1"/>
  <c r="I165" i="83" s="1"/>
  <c r="I237" i="83" s="1"/>
  <c r="H165" i="83" a="1"/>
  <c r="H165" i="83" s="1"/>
  <c r="H237" i="83" s="1"/>
  <c r="G165" i="83" a="1"/>
  <c r="G165" i="83" s="1"/>
  <c r="G237" i="83" s="1"/>
  <c r="F165" i="83" a="1"/>
  <c r="F165" i="83" s="1"/>
  <c r="F237" i="83" s="1"/>
  <c r="E165" i="83" a="1"/>
  <c r="E165" i="83" s="1"/>
  <c r="D165" i="83" a="1"/>
  <c r="D165" i="83" s="1"/>
  <c r="M164" i="83" a="1"/>
  <c r="M164" i="83" s="1"/>
  <c r="L164" i="83" a="1"/>
  <c r="L164" i="83" s="1"/>
  <c r="M236" i="83" s="1"/>
  <c r="K164" i="83" a="1"/>
  <c r="K164" i="83" s="1"/>
  <c r="J164" i="83" a="1"/>
  <c r="J164" i="83" s="1"/>
  <c r="J236" i="83" s="1"/>
  <c r="I164" i="83" a="1"/>
  <c r="I164" i="83" s="1"/>
  <c r="I236" i="83" s="1"/>
  <c r="H164" i="83" a="1"/>
  <c r="H164" i="83" s="1"/>
  <c r="H236" i="83" s="1"/>
  <c r="G164" i="83" a="1"/>
  <c r="G164" i="83" s="1"/>
  <c r="G236" i="83" s="1"/>
  <c r="F164" i="83" a="1"/>
  <c r="F164" i="83" s="1"/>
  <c r="F236" i="83" s="1"/>
  <c r="E164" i="83" a="1"/>
  <c r="E164" i="83" s="1"/>
  <c r="D164" i="83" a="1"/>
  <c r="D164" i="83" s="1"/>
  <c r="M163" i="83" a="1"/>
  <c r="M163" i="83" s="1"/>
  <c r="L163" i="83" a="1"/>
  <c r="L163" i="83" s="1"/>
  <c r="M235" i="83" s="1"/>
  <c r="K163" i="83" a="1"/>
  <c r="K163" i="83" s="1"/>
  <c r="J163" i="83" a="1"/>
  <c r="J163" i="83" s="1"/>
  <c r="J235" i="83" s="1"/>
  <c r="I163" i="83" a="1"/>
  <c r="I163" i="83" s="1"/>
  <c r="I235" i="83" s="1"/>
  <c r="H163" i="83" a="1"/>
  <c r="H163" i="83" s="1"/>
  <c r="H235" i="83" s="1"/>
  <c r="G163" i="83" a="1"/>
  <c r="G163" i="83" s="1"/>
  <c r="G235" i="83" s="1"/>
  <c r="F163" i="83" a="1"/>
  <c r="F163" i="83" s="1"/>
  <c r="F235" i="83" s="1"/>
  <c r="E163" i="83" a="1"/>
  <c r="E163" i="83" s="1"/>
  <c r="D163" i="83" a="1"/>
  <c r="D163" i="83" s="1"/>
  <c r="M162" i="83" a="1"/>
  <c r="M162" i="83" s="1"/>
  <c r="L162" i="83" a="1"/>
  <c r="L162" i="83" s="1"/>
  <c r="M234" i="83" s="1"/>
  <c r="K162" i="83" a="1"/>
  <c r="K162" i="83" s="1"/>
  <c r="J162" i="83" a="1"/>
  <c r="J162" i="83" s="1"/>
  <c r="J234" i="83" s="1"/>
  <c r="I162" i="83" a="1"/>
  <c r="I162" i="83" s="1"/>
  <c r="I234" i="83" s="1"/>
  <c r="H162" i="83" a="1"/>
  <c r="H162" i="83" s="1"/>
  <c r="H234" i="83" s="1"/>
  <c r="G162" i="83" a="1"/>
  <c r="G162" i="83" s="1"/>
  <c r="G234" i="83" s="1"/>
  <c r="F162" i="83" a="1"/>
  <c r="F162" i="83" s="1"/>
  <c r="F234" i="83" s="1"/>
  <c r="E162" i="83" a="1"/>
  <c r="E162" i="83" s="1"/>
  <c r="D162" i="83" a="1"/>
  <c r="D162" i="83" s="1"/>
  <c r="M161" i="83" a="1"/>
  <c r="M161" i="83" s="1"/>
  <c r="L161" i="83" a="1"/>
  <c r="L161" i="83" s="1"/>
  <c r="M233" i="83" s="1"/>
  <c r="K161" i="83" a="1"/>
  <c r="K161" i="83" s="1"/>
  <c r="J161" i="83" a="1"/>
  <c r="J161" i="83" s="1"/>
  <c r="J233" i="83" s="1"/>
  <c r="I161" i="83" a="1"/>
  <c r="I161" i="83" s="1"/>
  <c r="I233" i="83" s="1"/>
  <c r="H161" i="83" a="1"/>
  <c r="H161" i="83" s="1"/>
  <c r="H233" i="83" s="1"/>
  <c r="G161" i="83" a="1"/>
  <c r="G161" i="83" s="1"/>
  <c r="G233" i="83" s="1"/>
  <c r="F161" i="83" a="1"/>
  <c r="F161" i="83" s="1"/>
  <c r="F233" i="83" s="1"/>
  <c r="E161" i="83" a="1"/>
  <c r="E161" i="83" s="1"/>
  <c r="D161" i="83" a="1"/>
  <c r="D161" i="83" s="1"/>
  <c r="M160" i="83" a="1"/>
  <c r="M160" i="83" s="1"/>
  <c r="L160" i="83" a="1"/>
  <c r="L160" i="83" s="1"/>
  <c r="M232" i="83" s="1"/>
  <c r="K160" i="83" a="1"/>
  <c r="K160" i="83" s="1"/>
  <c r="J160" i="83" a="1"/>
  <c r="J160" i="83" s="1"/>
  <c r="J232" i="83" s="1"/>
  <c r="I160" i="83" a="1"/>
  <c r="I160" i="83" s="1"/>
  <c r="I232" i="83" s="1"/>
  <c r="H160" i="83" a="1"/>
  <c r="H160" i="83" s="1"/>
  <c r="H232" i="83" s="1"/>
  <c r="G160" i="83" a="1"/>
  <c r="G160" i="83" s="1"/>
  <c r="G232" i="83" s="1"/>
  <c r="F160" i="83" a="1"/>
  <c r="F160" i="83" s="1"/>
  <c r="F232" i="83" s="1"/>
  <c r="E160" i="83" a="1"/>
  <c r="E160" i="83" s="1"/>
  <c r="D160" i="83" a="1"/>
  <c r="D160" i="83" s="1"/>
  <c r="M159" i="83" a="1"/>
  <c r="M159" i="83" s="1"/>
  <c r="L159" i="83" a="1"/>
  <c r="L159" i="83" s="1"/>
  <c r="M231" i="83" s="1"/>
  <c r="K159" i="83" a="1"/>
  <c r="K159" i="83" s="1"/>
  <c r="J159" i="83" a="1"/>
  <c r="J159" i="83" s="1"/>
  <c r="J231" i="83" s="1"/>
  <c r="I159" i="83" a="1"/>
  <c r="I159" i="83" s="1"/>
  <c r="I231" i="83" s="1"/>
  <c r="H159" i="83" a="1"/>
  <c r="H159" i="83" s="1"/>
  <c r="H231" i="83" s="1"/>
  <c r="G159" i="83" a="1"/>
  <c r="G159" i="83" s="1"/>
  <c r="G231" i="83" s="1"/>
  <c r="F159" i="83" a="1"/>
  <c r="F159" i="83" s="1"/>
  <c r="F231" i="83" s="1"/>
  <c r="E159" i="83" a="1"/>
  <c r="E159" i="83" s="1"/>
  <c r="D159" i="83" a="1"/>
  <c r="D159" i="83" s="1"/>
  <c r="M158" i="83" a="1"/>
  <c r="M158" i="83" s="1"/>
  <c r="L158" i="83" a="1"/>
  <c r="L158" i="83" s="1"/>
  <c r="K158" i="83" a="1"/>
  <c r="K158" i="83" s="1"/>
  <c r="J158" i="83" a="1"/>
  <c r="J158" i="83" s="1"/>
  <c r="I158" i="83" a="1"/>
  <c r="I158" i="83" s="1"/>
  <c r="H158" i="83" a="1"/>
  <c r="H158" i="83" s="1"/>
  <c r="G158" i="83" a="1"/>
  <c r="G158" i="83" s="1"/>
  <c r="F158" i="83" a="1"/>
  <c r="F158" i="83" s="1"/>
  <c r="E158" i="83" a="1"/>
  <c r="E158" i="83" s="1"/>
  <c r="D158" i="83" a="1"/>
  <c r="D158" i="83" s="1"/>
  <c r="M157" i="83" a="1"/>
  <c r="M157" i="83" s="1"/>
  <c r="L157" i="83" a="1"/>
  <c r="L157" i="83" s="1"/>
  <c r="K157" i="83" a="1"/>
  <c r="K157" i="83" s="1"/>
  <c r="J157" i="83" a="1"/>
  <c r="J157" i="83" s="1"/>
  <c r="I157" i="83" a="1"/>
  <c r="I157" i="83" s="1"/>
  <c r="H157" i="83" a="1"/>
  <c r="H157" i="83" s="1"/>
  <c r="G157" i="83" a="1"/>
  <c r="G157" i="83" s="1"/>
  <c r="F157" i="83" a="1"/>
  <c r="F157" i="83" s="1"/>
  <c r="E157" i="83" a="1"/>
  <c r="E157" i="83" s="1"/>
  <c r="D157" i="83" a="1"/>
  <c r="D157" i="83" s="1"/>
  <c r="M156" i="83" a="1"/>
  <c r="M156" i="83" s="1"/>
  <c r="L156" i="83" a="1"/>
  <c r="L156" i="83" s="1"/>
  <c r="K156" i="83" a="1"/>
  <c r="K156" i="83" s="1"/>
  <c r="J156" i="83" a="1"/>
  <c r="J156" i="83" s="1"/>
  <c r="I156" i="83" a="1"/>
  <c r="I156" i="83" s="1"/>
  <c r="H156" i="83" a="1"/>
  <c r="H156" i="83" s="1"/>
  <c r="G156" i="83" a="1"/>
  <c r="G156" i="83" s="1"/>
  <c r="F156" i="83" a="1"/>
  <c r="F156" i="83" s="1"/>
  <c r="E156" i="83" a="1"/>
  <c r="E156" i="83" s="1"/>
  <c r="D156" i="83" a="1"/>
  <c r="D156" i="83" s="1"/>
  <c r="M155" i="83" a="1"/>
  <c r="M155" i="83" s="1"/>
  <c r="L155" i="83" a="1"/>
  <c r="L155" i="83" s="1"/>
  <c r="K155" i="83" a="1"/>
  <c r="K155" i="83" s="1"/>
  <c r="J155" i="83" a="1"/>
  <c r="J155" i="83" s="1"/>
  <c r="I155" i="83" a="1"/>
  <c r="I155" i="83" s="1"/>
  <c r="H155" i="83" a="1"/>
  <c r="H155" i="83" s="1"/>
  <c r="G155" i="83" a="1"/>
  <c r="G155" i="83" s="1"/>
  <c r="F155" i="83" a="1"/>
  <c r="F155" i="83" s="1"/>
  <c r="E155" i="83" a="1"/>
  <c r="E155" i="83" s="1"/>
  <c r="D155" i="83" a="1"/>
  <c r="D155" i="83" s="1"/>
  <c r="D153" i="83" a="1"/>
  <c r="D153" i="83" s="1"/>
  <c r="D152" i="83" a="1"/>
  <c r="D152" i="83" s="1"/>
  <c r="D151" i="83" a="1"/>
  <c r="D151" i="83" s="1"/>
  <c r="D150" i="83" a="1"/>
  <c r="D150" i="83" s="1"/>
  <c r="P81" i="83" a="1"/>
  <c r="P81" i="83" s="1"/>
  <c r="P145" i="83" s="1"/>
  <c r="O81" i="83" a="1"/>
  <c r="O81" i="83" s="1"/>
  <c r="O145" i="83" s="1"/>
  <c r="N81" i="83" a="1"/>
  <c r="N81" i="83" s="1"/>
  <c r="N145" i="83" s="1"/>
  <c r="M81" i="83" a="1"/>
  <c r="M81" i="83" s="1"/>
  <c r="M145" i="83" s="1"/>
  <c r="L81" i="83" a="1"/>
  <c r="L81" i="83" s="1"/>
  <c r="L145" i="83" s="1"/>
  <c r="K81" i="83" a="1"/>
  <c r="K81" i="83" s="1"/>
  <c r="K145" i="83" s="1"/>
  <c r="J81" i="83" a="1"/>
  <c r="J81" i="83" s="1"/>
  <c r="J145" i="83" s="1"/>
  <c r="I81" i="83" a="1"/>
  <c r="I81" i="83" s="1"/>
  <c r="I145" i="83" s="1"/>
  <c r="H81" i="83" a="1"/>
  <c r="H81" i="83" s="1"/>
  <c r="H145" i="83" s="1"/>
  <c r="G81" i="83" a="1"/>
  <c r="G81" i="83" s="1"/>
  <c r="G145" i="83" s="1"/>
  <c r="F81" i="83" a="1"/>
  <c r="F81" i="83" s="1"/>
  <c r="F145" i="83" s="1"/>
  <c r="F149" i="83" s="1"/>
  <c r="E81" i="83" a="1"/>
  <c r="E81" i="83" s="1"/>
  <c r="E145" i="83" s="1"/>
  <c r="D81" i="83" a="1"/>
  <c r="D81" i="83" s="1"/>
  <c r="P80" i="83" a="1"/>
  <c r="P80" i="83" s="1"/>
  <c r="P144" i="83" s="1"/>
  <c r="O80" i="83" a="1"/>
  <c r="O80" i="83" s="1"/>
  <c r="O144" i="83" s="1"/>
  <c r="N80" i="83" a="1"/>
  <c r="N80" i="83" s="1"/>
  <c r="N144" i="83" s="1"/>
  <c r="M80" i="83" a="1"/>
  <c r="M80" i="83" s="1"/>
  <c r="M144" i="83" s="1"/>
  <c r="L80" i="83" a="1"/>
  <c r="L80" i="83" s="1"/>
  <c r="L144" i="83" s="1"/>
  <c r="K80" i="83" a="1"/>
  <c r="K80" i="83" s="1"/>
  <c r="K144" i="83" s="1"/>
  <c r="J80" i="83" a="1"/>
  <c r="J80" i="83" s="1"/>
  <c r="J144" i="83" s="1"/>
  <c r="I80" i="83" a="1"/>
  <c r="I80" i="83" s="1"/>
  <c r="I144" i="83" s="1"/>
  <c r="H80" i="83" a="1"/>
  <c r="H80" i="83" s="1"/>
  <c r="H144" i="83" s="1"/>
  <c r="G80" i="83" a="1"/>
  <c r="G80" i="83" s="1"/>
  <c r="G144" i="83" s="1"/>
  <c r="F80" i="83" a="1"/>
  <c r="F80" i="83" s="1"/>
  <c r="F144" i="83" s="1"/>
  <c r="F148" i="83" s="1"/>
  <c r="E80" i="83" a="1"/>
  <c r="E80" i="83" s="1"/>
  <c r="E144" i="83" s="1"/>
  <c r="D80" i="83" a="1"/>
  <c r="D80" i="83" s="1"/>
  <c r="P79" i="83" a="1"/>
  <c r="P79" i="83" s="1"/>
  <c r="P143" i="83" s="1"/>
  <c r="O79" i="83" a="1"/>
  <c r="O79" i="83" s="1"/>
  <c r="O143" i="83" s="1"/>
  <c r="N79" i="83" a="1"/>
  <c r="N79" i="83" s="1"/>
  <c r="N143" i="83" s="1"/>
  <c r="M79" i="83" a="1"/>
  <c r="M79" i="83" s="1"/>
  <c r="M143" i="83" s="1"/>
  <c r="L79" i="83" a="1"/>
  <c r="L79" i="83" s="1"/>
  <c r="L143" i="83" s="1"/>
  <c r="K79" i="83" a="1"/>
  <c r="K79" i="83" s="1"/>
  <c r="K143" i="83" s="1"/>
  <c r="J79" i="83" a="1"/>
  <c r="J79" i="83" s="1"/>
  <c r="J143" i="83" s="1"/>
  <c r="I79" i="83" a="1"/>
  <c r="I79" i="83" s="1"/>
  <c r="I143" i="83" s="1"/>
  <c r="H79" i="83" a="1"/>
  <c r="H79" i="83" s="1"/>
  <c r="H143" i="83" s="1"/>
  <c r="G79" i="83" a="1"/>
  <c r="G79" i="83" s="1"/>
  <c r="G143" i="83" s="1"/>
  <c r="F79" i="83" a="1"/>
  <c r="F79" i="83" s="1"/>
  <c r="F143" i="83" s="1"/>
  <c r="F147" i="83" s="1"/>
  <c r="E79" i="83" a="1"/>
  <c r="E79" i="83" s="1"/>
  <c r="E143" i="83" s="1"/>
  <c r="D79" i="83" a="1"/>
  <c r="D79" i="83" s="1"/>
  <c r="P78" i="83" a="1"/>
  <c r="P78" i="83" s="1"/>
  <c r="P142" i="83" s="1"/>
  <c r="O78" i="83" a="1"/>
  <c r="O78" i="83" s="1"/>
  <c r="O142" i="83" s="1"/>
  <c r="N78" i="83" a="1"/>
  <c r="N78" i="83" s="1"/>
  <c r="N142" i="83" s="1"/>
  <c r="M78" i="83" a="1"/>
  <c r="M78" i="83" s="1"/>
  <c r="M142" i="83" s="1"/>
  <c r="L78" i="83" a="1"/>
  <c r="L78" i="83" s="1"/>
  <c r="L142" i="83" s="1"/>
  <c r="K78" i="83" a="1"/>
  <c r="K78" i="83" s="1"/>
  <c r="K142" i="83" s="1"/>
  <c r="J78" i="83" a="1"/>
  <c r="J78" i="83" s="1"/>
  <c r="J142" i="83" s="1"/>
  <c r="I78" i="83" a="1"/>
  <c r="I78" i="83" s="1"/>
  <c r="I142" i="83" s="1"/>
  <c r="H78" i="83" a="1"/>
  <c r="H78" i="83" s="1"/>
  <c r="H142" i="83" s="1"/>
  <c r="G78" i="83" a="1"/>
  <c r="G78" i="83" s="1"/>
  <c r="G142" i="83" s="1"/>
  <c r="F78" i="83" a="1"/>
  <c r="F78" i="83" s="1"/>
  <c r="F142" i="83" s="1"/>
  <c r="F146" i="83" s="1"/>
  <c r="E78" i="83" a="1"/>
  <c r="E78" i="83" s="1"/>
  <c r="E142" i="83" s="1"/>
  <c r="D78" i="83" a="1"/>
  <c r="D78" i="83" s="1"/>
  <c r="P77" i="83" a="1"/>
  <c r="P77" i="83" s="1"/>
  <c r="P141" i="83" s="1"/>
  <c r="O77" i="83" a="1"/>
  <c r="O77" i="83" s="1"/>
  <c r="O141" i="83" s="1"/>
  <c r="N77" i="83" a="1"/>
  <c r="N77" i="83" s="1"/>
  <c r="N141" i="83" s="1"/>
  <c r="M77" i="83" a="1"/>
  <c r="M77" i="83" s="1"/>
  <c r="M141" i="83" s="1"/>
  <c r="L77" i="83" a="1"/>
  <c r="L77" i="83" s="1"/>
  <c r="L141" i="83" s="1"/>
  <c r="K77" i="83" a="1"/>
  <c r="K77" i="83" s="1"/>
  <c r="K141" i="83" s="1"/>
  <c r="J77" i="83" a="1"/>
  <c r="J77" i="83" s="1"/>
  <c r="J141" i="83" s="1"/>
  <c r="I77" i="83" a="1"/>
  <c r="I77" i="83" s="1"/>
  <c r="I141" i="83" s="1"/>
  <c r="H77" i="83" a="1"/>
  <c r="H77" i="83" s="1"/>
  <c r="H141" i="83" s="1"/>
  <c r="G77" i="83" a="1"/>
  <c r="G77" i="83" s="1"/>
  <c r="G141" i="83" s="1"/>
  <c r="F77" i="83" a="1"/>
  <c r="F77" i="83" s="1"/>
  <c r="F141" i="83" s="1"/>
  <c r="E77" i="83" a="1"/>
  <c r="E77" i="83" s="1"/>
  <c r="E141" i="83" s="1"/>
  <c r="D77" i="83" a="1"/>
  <c r="D77" i="83" s="1"/>
  <c r="P76" i="83" a="1"/>
  <c r="P76" i="83" s="1"/>
  <c r="P140" i="83" s="1"/>
  <c r="O76" i="83" a="1"/>
  <c r="O76" i="83" s="1"/>
  <c r="O140" i="83" s="1"/>
  <c r="N76" i="83" a="1"/>
  <c r="N76" i="83" s="1"/>
  <c r="N140" i="83" s="1"/>
  <c r="M76" i="83" a="1"/>
  <c r="M76" i="83" s="1"/>
  <c r="M140" i="83" s="1"/>
  <c r="L76" i="83" a="1"/>
  <c r="L76" i="83" s="1"/>
  <c r="L140" i="83" s="1"/>
  <c r="K76" i="83" a="1"/>
  <c r="K76" i="83" s="1"/>
  <c r="K140" i="83" s="1"/>
  <c r="J76" i="83" a="1"/>
  <c r="J76" i="83" s="1"/>
  <c r="J140" i="83" s="1"/>
  <c r="I76" i="83" a="1"/>
  <c r="I76" i="83" s="1"/>
  <c r="I140" i="83" s="1"/>
  <c r="H76" i="83" a="1"/>
  <c r="H76" i="83" s="1"/>
  <c r="H140" i="83" s="1"/>
  <c r="G76" i="83" a="1"/>
  <c r="G76" i="83" s="1"/>
  <c r="G140" i="83" s="1"/>
  <c r="F76" i="83" a="1"/>
  <c r="F76" i="83" s="1"/>
  <c r="F140" i="83" s="1"/>
  <c r="E76" i="83" a="1"/>
  <c r="E76" i="83" s="1"/>
  <c r="E140" i="83" s="1"/>
  <c r="D76" i="83" a="1"/>
  <c r="D76" i="83" s="1"/>
  <c r="P75" i="83" a="1"/>
  <c r="P75" i="83" s="1"/>
  <c r="P139" i="83" s="1"/>
  <c r="O75" i="83" a="1"/>
  <c r="O75" i="83" s="1"/>
  <c r="O139" i="83" s="1"/>
  <c r="N75" i="83" a="1"/>
  <c r="N75" i="83" s="1"/>
  <c r="N139" i="83" s="1"/>
  <c r="M75" i="83" a="1"/>
  <c r="M75" i="83" s="1"/>
  <c r="M139" i="83" s="1"/>
  <c r="L75" i="83" a="1"/>
  <c r="L75" i="83" s="1"/>
  <c r="L139" i="83" s="1"/>
  <c r="K75" i="83" a="1"/>
  <c r="K75" i="83" s="1"/>
  <c r="K139" i="83" s="1"/>
  <c r="J75" i="83" a="1"/>
  <c r="J75" i="83" s="1"/>
  <c r="J139" i="83" s="1"/>
  <c r="I75" i="83" a="1"/>
  <c r="I75" i="83" s="1"/>
  <c r="I139" i="83" s="1"/>
  <c r="H75" i="83" a="1"/>
  <c r="H75" i="83" s="1"/>
  <c r="H139" i="83" s="1"/>
  <c r="G75" i="83" a="1"/>
  <c r="G75" i="83" s="1"/>
  <c r="G139" i="83" s="1"/>
  <c r="F75" i="83" a="1"/>
  <c r="F75" i="83" s="1"/>
  <c r="F139" i="83" s="1"/>
  <c r="E75" i="83" a="1"/>
  <c r="E75" i="83" s="1"/>
  <c r="E139" i="83" s="1"/>
  <c r="D75" i="83" a="1"/>
  <c r="D75" i="83" s="1"/>
  <c r="P74" i="83" a="1"/>
  <c r="P74" i="83" s="1"/>
  <c r="P138" i="83" s="1"/>
  <c r="O74" i="83" a="1"/>
  <c r="O74" i="83" s="1"/>
  <c r="O138" i="83" s="1"/>
  <c r="N74" i="83" a="1"/>
  <c r="N74" i="83" s="1"/>
  <c r="N138" i="83" s="1"/>
  <c r="M74" i="83" a="1"/>
  <c r="M74" i="83" s="1"/>
  <c r="M138" i="83" s="1"/>
  <c r="L74" i="83" a="1"/>
  <c r="L74" i="83" s="1"/>
  <c r="L138" i="83" s="1"/>
  <c r="K74" i="83" a="1"/>
  <c r="K74" i="83" s="1"/>
  <c r="K138" i="83" s="1"/>
  <c r="J74" i="83" a="1"/>
  <c r="J74" i="83" s="1"/>
  <c r="J138" i="83" s="1"/>
  <c r="I74" i="83" a="1"/>
  <c r="I74" i="83" s="1"/>
  <c r="I138" i="83" s="1"/>
  <c r="H74" i="83" a="1"/>
  <c r="H74" i="83" s="1"/>
  <c r="H138" i="83" s="1"/>
  <c r="G74" i="83" a="1"/>
  <c r="G74" i="83" s="1"/>
  <c r="G138" i="83" s="1"/>
  <c r="F74" i="83" a="1"/>
  <c r="F74" i="83" s="1"/>
  <c r="F138" i="83" s="1"/>
  <c r="E74" i="83" a="1"/>
  <c r="E74" i="83" s="1"/>
  <c r="E138" i="83" s="1"/>
  <c r="D74" i="83" a="1"/>
  <c r="D74" i="83" s="1"/>
  <c r="P73" i="83" a="1"/>
  <c r="P73" i="83" s="1"/>
  <c r="P137" i="83" s="1"/>
  <c r="O73" i="83" a="1"/>
  <c r="O73" i="83" s="1"/>
  <c r="O137" i="83" s="1"/>
  <c r="N73" i="83" a="1"/>
  <c r="N73" i="83" s="1"/>
  <c r="N137" i="83" s="1"/>
  <c r="M73" i="83" a="1"/>
  <c r="M73" i="83" s="1"/>
  <c r="M137" i="83" s="1"/>
  <c r="L73" i="83" a="1"/>
  <c r="L73" i="83" s="1"/>
  <c r="L137" i="83" s="1"/>
  <c r="K73" i="83" a="1"/>
  <c r="K73" i="83" s="1"/>
  <c r="K137" i="83" s="1"/>
  <c r="J73" i="83" a="1"/>
  <c r="J73" i="83" s="1"/>
  <c r="J137" i="83" s="1"/>
  <c r="I73" i="83" a="1"/>
  <c r="I73" i="83" s="1"/>
  <c r="I137" i="83" s="1"/>
  <c r="H73" i="83" a="1"/>
  <c r="H73" i="83" s="1"/>
  <c r="H137" i="83" s="1"/>
  <c r="G73" i="83" a="1"/>
  <c r="G73" i="83" s="1"/>
  <c r="G137" i="83" s="1"/>
  <c r="F73" i="83" a="1"/>
  <c r="F73" i="83" s="1"/>
  <c r="F137" i="83" s="1"/>
  <c r="E73" i="83" a="1"/>
  <c r="E73" i="83" s="1"/>
  <c r="E137" i="83" s="1"/>
  <c r="D73" i="83" a="1"/>
  <c r="D73" i="83" s="1"/>
  <c r="P72" i="83" a="1"/>
  <c r="P72" i="83" s="1"/>
  <c r="P136" i="83" s="1"/>
  <c r="O72" i="83" a="1"/>
  <c r="O72" i="83" s="1"/>
  <c r="O136" i="83" s="1"/>
  <c r="N72" i="83" a="1"/>
  <c r="N72" i="83" s="1"/>
  <c r="N136" i="83" s="1"/>
  <c r="M72" i="83" a="1"/>
  <c r="M72" i="83" s="1"/>
  <c r="M136" i="83" s="1"/>
  <c r="L72" i="83" a="1"/>
  <c r="L72" i="83" s="1"/>
  <c r="L136" i="83" s="1"/>
  <c r="K72" i="83" a="1"/>
  <c r="K72" i="83" s="1"/>
  <c r="K136" i="83" s="1"/>
  <c r="J72" i="83" a="1"/>
  <c r="J72" i="83" s="1"/>
  <c r="J136" i="83" s="1"/>
  <c r="I72" i="83" a="1"/>
  <c r="I72" i="83" s="1"/>
  <c r="I136" i="83" s="1"/>
  <c r="H72" i="83" a="1"/>
  <c r="H72" i="83" s="1"/>
  <c r="H136" i="83" s="1"/>
  <c r="G72" i="83" a="1"/>
  <c r="G72" i="83" s="1"/>
  <c r="G136" i="83" s="1"/>
  <c r="F72" i="83" a="1"/>
  <c r="F72" i="83" s="1"/>
  <c r="F136" i="83" s="1"/>
  <c r="E72" i="83" a="1"/>
  <c r="E72" i="83" s="1"/>
  <c r="E136" i="83" s="1"/>
  <c r="D72" i="83" a="1"/>
  <c r="D72" i="83" s="1"/>
  <c r="P71" i="83" a="1"/>
  <c r="P71" i="83" s="1"/>
  <c r="P135" i="83" s="1"/>
  <c r="O71" i="83" a="1"/>
  <c r="O71" i="83" s="1"/>
  <c r="O135" i="83" s="1"/>
  <c r="N71" i="83" a="1"/>
  <c r="N71" i="83" s="1"/>
  <c r="N135" i="83" s="1"/>
  <c r="M71" i="83" a="1"/>
  <c r="M71" i="83" s="1"/>
  <c r="M135" i="83" s="1"/>
  <c r="L71" i="83" a="1"/>
  <c r="L71" i="83" s="1"/>
  <c r="L135" i="83" s="1"/>
  <c r="K71" i="83" a="1"/>
  <c r="K71" i="83" s="1"/>
  <c r="K135" i="83" s="1"/>
  <c r="J71" i="83" a="1"/>
  <c r="J71" i="83" s="1"/>
  <c r="J135" i="83" s="1"/>
  <c r="I71" i="83" a="1"/>
  <c r="I71" i="83" s="1"/>
  <c r="I135" i="83" s="1"/>
  <c r="H71" i="83" a="1"/>
  <c r="H71" i="83" s="1"/>
  <c r="H135" i="83" s="1"/>
  <c r="G71" i="83" a="1"/>
  <c r="G71" i="83" s="1"/>
  <c r="G135" i="83" s="1"/>
  <c r="F71" i="83" a="1"/>
  <c r="F71" i="83" s="1"/>
  <c r="F135" i="83" s="1"/>
  <c r="E71" i="83" a="1"/>
  <c r="E71" i="83" s="1"/>
  <c r="E135" i="83" s="1"/>
  <c r="D71" i="83" a="1"/>
  <c r="D71" i="83" s="1"/>
  <c r="P70" i="83" a="1"/>
  <c r="P70" i="83" s="1"/>
  <c r="P134" i="83" s="1"/>
  <c r="O70" i="83" a="1"/>
  <c r="O70" i="83" s="1"/>
  <c r="O134" i="83" s="1"/>
  <c r="N70" i="83" a="1"/>
  <c r="N70" i="83" s="1"/>
  <c r="N134" i="83" s="1"/>
  <c r="M70" i="83" a="1"/>
  <c r="M70" i="83" s="1"/>
  <c r="M134" i="83" s="1"/>
  <c r="L70" i="83" a="1"/>
  <c r="L70" i="83" s="1"/>
  <c r="L134" i="83" s="1"/>
  <c r="K70" i="83" a="1"/>
  <c r="K70" i="83" s="1"/>
  <c r="K134" i="83" s="1"/>
  <c r="J70" i="83" a="1"/>
  <c r="J70" i="83" s="1"/>
  <c r="J134" i="83" s="1"/>
  <c r="I70" i="83" a="1"/>
  <c r="I70" i="83" s="1"/>
  <c r="I134" i="83" s="1"/>
  <c r="H70" i="83" a="1"/>
  <c r="H70" i="83" s="1"/>
  <c r="H134" i="83" s="1"/>
  <c r="G70" i="83" a="1"/>
  <c r="G70" i="83" s="1"/>
  <c r="G134" i="83" s="1"/>
  <c r="F70" i="83" a="1"/>
  <c r="F70" i="83" s="1"/>
  <c r="F134" i="83" s="1"/>
  <c r="E70" i="83" a="1"/>
  <c r="E70" i="83" s="1"/>
  <c r="E134" i="83" s="1"/>
  <c r="D70" i="83" a="1"/>
  <c r="D70" i="83" s="1"/>
  <c r="P69" i="83" a="1"/>
  <c r="P69" i="83" s="1"/>
  <c r="P133" i="83" s="1"/>
  <c r="O69" i="83" a="1"/>
  <c r="O69" i="83" s="1"/>
  <c r="O133" i="83" s="1"/>
  <c r="N69" i="83" a="1"/>
  <c r="N69" i="83" s="1"/>
  <c r="N133" i="83" s="1"/>
  <c r="M69" i="83" a="1"/>
  <c r="M69" i="83" s="1"/>
  <c r="M133" i="83" s="1"/>
  <c r="L69" i="83" a="1"/>
  <c r="L69" i="83" s="1"/>
  <c r="L133" i="83" s="1"/>
  <c r="K69" i="83" a="1"/>
  <c r="K69" i="83" s="1"/>
  <c r="K133" i="83" s="1"/>
  <c r="J69" i="83" a="1"/>
  <c r="J69" i="83" s="1"/>
  <c r="J133" i="83" s="1"/>
  <c r="I69" i="83" a="1"/>
  <c r="I69" i="83" s="1"/>
  <c r="I133" i="83" s="1"/>
  <c r="H69" i="83" a="1"/>
  <c r="H69" i="83" s="1"/>
  <c r="H133" i="83" s="1"/>
  <c r="G69" i="83" a="1"/>
  <c r="G69" i="83" s="1"/>
  <c r="G133" i="83" s="1"/>
  <c r="F69" i="83" a="1"/>
  <c r="F69" i="83" s="1"/>
  <c r="F133" i="83" s="1"/>
  <c r="E69" i="83" a="1"/>
  <c r="E69" i="83" s="1"/>
  <c r="E133" i="83" s="1"/>
  <c r="D69" i="83" a="1"/>
  <c r="D69" i="83" s="1"/>
  <c r="P68" i="83" a="1"/>
  <c r="P68" i="83" s="1"/>
  <c r="P132" i="83" s="1"/>
  <c r="O68" i="83" a="1"/>
  <c r="O68" i="83" s="1"/>
  <c r="O132" i="83" s="1"/>
  <c r="N68" i="83" a="1"/>
  <c r="N68" i="83" s="1"/>
  <c r="N132" i="83" s="1"/>
  <c r="M68" i="83" a="1"/>
  <c r="M68" i="83" s="1"/>
  <c r="M132" i="83" s="1"/>
  <c r="L68" i="83" a="1"/>
  <c r="L68" i="83" s="1"/>
  <c r="L132" i="83" s="1"/>
  <c r="K68" i="83" a="1"/>
  <c r="K68" i="83" s="1"/>
  <c r="K132" i="83" s="1"/>
  <c r="J68" i="83" a="1"/>
  <c r="J68" i="83" s="1"/>
  <c r="J132" i="83" s="1"/>
  <c r="I68" i="83" a="1"/>
  <c r="I68" i="83" s="1"/>
  <c r="I132" i="83" s="1"/>
  <c r="H68" i="83" a="1"/>
  <c r="H68" i="83" s="1"/>
  <c r="H132" i="83" s="1"/>
  <c r="G68" i="83" a="1"/>
  <c r="G68" i="83" s="1"/>
  <c r="G132" i="83" s="1"/>
  <c r="F68" i="83" a="1"/>
  <c r="F68" i="83" s="1"/>
  <c r="F132" i="83" s="1"/>
  <c r="E68" i="83" a="1"/>
  <c r="E68" i="83" s="1"/>
  <c r="E132" i="83" s="1"/>
  <c r="D68" i="83" a="1"/>
  <c r="D68" i="83" s="1"/>
  <c r="P67" i="83" a="1"/>
  <c r="P67" i="83" s="1"/>
  <c r="P131" i="83" s="1"/>
  <c r="O67" i="83" a="1"/>
  <c r="O67" i="83" s="1"/>
  <c r="O131" i="83" s="1"/>
  <c r="N67" i="83" a="1"/>
  <c r="N67" i="83" s="1"/>
  <c r="N131" i="83" s="1"/>
  <c r="M67" i="83" a="1"/>
  <c r="M67" i="83" s="1"/>
  <c r="M131" i="83" s="1"/>
  <c r="L67" i="83" a="1"/>
  <c r="L67" i="83" s="1"/>
  <c r="L131" i="83" s="1"/>
  <c r="K67" i="83" a="1"/>
  <c r="K67" i="83" s="1"/>
  <c r="K131" i="83" s="1"/>
  <c r="J67" i="83" a="1"/>
  <c r="J67" i="83" s="1"/>
  <c r="J131" i="83" s="1"/>
  <c r="I67" i="83" a="1"/>
  <c r="I67" i="83" s="1"/>
  <c r="I131" i="83" s="1"/>
  <c r="H67" i="83" a="1"/>
  <c r="H67" i="83" s="1"/>
  <c r="H131" i="83" s="1"/>
  <c r="G67" i="83" a="1"/>
  <c r="G67" i="83" s="1"/>
  <c r="G131" i="83" s="1"/>
  <c r="F67" i="83" a="1"/>
  <c r="F67" i="83" s="1"/>
  <c r="F131" i="83" s="1"/>
  <c r="E67" i="83" a="1"/>
  <c r="E67" i="83" s="1"/>
  <c r="E131" i="83" s="1"/>
  <c r="D67" i="83" a="1"/>
  <c r="D67" i="83" s="1"/>
  <c r="P66" i="83" a="1"/>
  <c r="P66" i="83" s="1"/>
  <c r="P130" i="83" s="1"/>
  <c r="O66" i="83" a="1"/>
  <c r="O66" i="83" s="1"/>
  <c r="O130" i="83" s="1"/>
  <c r="N66" i="83" a="1"/>
  <c r="N66" i="83" s="1"/>
  <c r="N130" i="83" s="1"/>
  <c r="M66" i="83" a="1"/>
  <c r="M66" i="83" s="1"/>
  <c r="M130" i="83" s="1"/>
  <c r="L66" i="83" a="1"/>
  <c r="L66" i="83" s="1"/>
  <c r="L130" i="83" s="1"/>
  <c r="K66" i="83" a="1"/>
  <c r="K66" i="83" s="1"/>
  <c r="K130" i="83" s="1"/>
  <c r="J66" i="83" a="1"/>
  <c r="J66" i="83" s="1"/>
  <c r="J130" i="83" s="1"/>
  <c r="I66" i="83" a="1"/>
  <c r="I66" i="83" s="1"/>
  <c r="I130" i="83" s="1"/>
  <c r="H66" i="83" a="1"/>
  <c r="H66" i="83" s="1"/>
  <c r="H130" i="83" s="1"/>
  <c r="G66" i="83" a="1"/>
  <c r="G66" i="83" s="1"/>
  <c r="G130" i="83" s="1"/>
  <c r="F66" i="83" a="1"/>
  <c r="F66" i="83" s="1"/>
  <c r="F130" i="83" s="1"/>
  <c r="E66" i="83" a="1"/>
  <c r="E66" i="83" s="1"/>
  <c r="E130" i="83" s="1"/>
  <c r="D66" i="83" a="1"/>
  <c r="D66" i="83" s="1"/>
  <c r="P65" i="83" a="1"/>
  <c r="P65" i="83" s="1"/>
  <c r="P129" i="83" s="1"/>
  <c r="O65" i="83" a="1"/>
  <c r="O65" i="83" s="1"/>
  <c r="O129" i="83" s="1"/>
  <c r="N65" i="83" a="1"/>
  <c r="N65" i="83" s="1"/>
  <c r="N129" i="83" s="1"/>
  <c r="M65" i="83" a="1"/>
  <c r="M65" i="83" s="1"/>
  <c r="M129" i="83" s="1"/>
  <c r="L65" i="83" a="1"/>
  <c r="L65" i="83" s="1"/>
  <c r="L129" i="83" s="1"/>
  <c r="K65" i="83" a="1"/>
  <c r="K65" i="83" s="1"/>
  <c r="K129" i="83" s="1"/>
  <c r="J65" i="83" a="1"/>
  <c r="J65" i="83" s="1"/>
  <c r="J129" i="83" s="1"/>
  <c r="I65" i="83" a="1"/>
  <c r="I65" i="83" s="1"/>
  <c r="I129" i="83" s="1"/>
  <c r="H65" i="83" a="1"/>
  <c r="H65" i="83" s="1"/>
  <c r="H129" i="83" s="1"/>
  <c r="G65" i="83" a="1"/>
  <c r="G65" i="83" s="1"/>
  <c r="G129" i="83" s="1"/>
  <c r="F65" i="83" a="1"/>
  <c r="F65" i="83" s="1"/>
  <c r="F129" i="83" s="1"/>
  <c r="E65" i="83" a="1"/>
  <c r="E65" i="83" s="1"/>
  <c r="E129" i="83" s="1"/>
  <c r="D65" i="83" a="1"/>
  <c r="D65" i="83" s="1"/>
  <c r="P64" i="83" a="1"/>
  <c r="P64" i="83" s="1"/>
  <c r="P128" i="83" s="1"/>
  <c r="O64" i="83" a="1"/>
  <c r="O64" i="83" s="1"/>
  <c r="O128" i="83" s="1"/>
  <c r="N64" i="83" a="1"/>
  <c r="N64" i="83" s="1"/>
  <c r="N128" i="83" s="1"/>
  <c r="M64" i="83" a="1"/>
  <c r="M64" i="83" s="1"/>
  <c r="M128" i="83" s="1"/>
  <c r="L64" i="83" a="1"/>
  <c r="L64" i="83" s="1"/>
  <c r="L128" i="83" s="1"/>
  <c r="K64" i="83" a="1"/>
  <c r="K64" i="83" s="1"/>
  <c r="K128" i="83" s="1"/>
  <c r="J64" i="83" a="1"/>
  <c r="J64" i="83" s="1"/>
  <c r="J128" i="83" s="1"/>
  <c r="I64" i="83" a="1"/>
  <c r="I64" i="83" s="1"/>
  <c r="I128" i="83" s="1"/>
  <c r="H64" i="83" a="1"/>
  <c r="H64" i="83" s="1"/>
  <c r="H128" i="83" s="1"/>
  <c r="G64" i="83" a="1"/>
  <c r="G64" i="83" s="1"/>
  <c r="G128" i="83" s="1"/>
  <c r="F64" i="83" a="1"/>
  <c r="F64" i="83" s="1"/>
  <c r="F128" i="83" s="1"/>
  <c r="E64" i="83" a="1"/>
  <c r="E64" i="83" s="1"/>
  <c r="E128" i="83" s="1"/>
  <c r="D64" i="83" a="1"/>
  <c r="D64" i="83" s="1"/>
  <c r="P63" i="83" a="1"/>
  <c r="P63" i="83" s="1"/>
  <c r="P127" i="83" s="1"/>
  <c r="O63" i="83" a="1"/>
  <c r="O63" i="83" s="1"/>
  <c r="O127" i="83" s="1"/>
  <c r="N63" i="83" a="1"/>
  <c r="N63" i="83" s="1"/>
  <c r="N127" i="83" s="1"/>
  <c r="M63" i="83" a="1"/>
  <c r="M63" i="83" s="1"/>
  <c r="M127" i="83" s="1"/>
  <c r="L63" i="83" a="1"/>
  <c r="L63" i="83" s="1"/>
  <c r="L127" i="83" s="1"/>
  <c r="K63" i="83" a="1"/>
  <c r="K63" i="83" s="1"/>
  <c r="K127" i="83" s="1"/>
  <c r="J63" i="83" a="1"/>
  <c r="J63" i="83" s="1"/>
  <c r="J127" i="83" s="1"/>
  <c r="I63" i="83" a="1"/>
  <c r="I63" i="83" s="1"/>
  <c r="I127" i="83" s="1"/>
  <c r="H63" i="83" a="1"/>
  <c r="H63" i="83" s="1"/>
  <c r="H127" i="83" s="1"/>
  <c r="G63" i="83" a="1"/>
  <c r="G63" i="83" s="1"/>
  <c r="G127" i="83" s="1"/>
  <c r="F63" i="83" a="1"/>
  <c r="F63" i="83" s="1"/>
  <c r="F127" i="83" s="1"/>
  <c r="E63" i="83" a="1"/>
  <c r="E63" i="83" s="1"/>
  <c r="E127" i="83" s="1"/>
  <c r="D63" i="83" a="1"/>
  <c r="D63" i="83" s="1"/>
  <c r="P62" i="83" a="1"/>
  <c r="P62" i="83" s="1"/>
  <c r="P126" i="83" s="1"/>
  <c r="O62" i="83" a="1"/>
  <c r="O62" i="83" s="1"/>
  <c r="O126" i="83" s="1"/>
  <c r="N62" i="83" a="1"/>
  <c r="N62" i="83" s="1"/>
  <c r="N126" i="83" s="1"/>
  <c r="M62" i="83" a="1"/>
  <c r="M62" i="83" s="1"/>
  <c r="M126" i="83" s="1"/>
  <c r="L62" i="83" a="1"/>
  <c r="L62" i="83" s="1"/>
  <c r="L126" i="83" s="1"/>
  <c r="K62" i="83" a="1"/>
  <c r="K62" i="83" s="1"/>
  <c r="K126" i="83" s="1"/>
  <c r="J62" i="83" a="1"/>
  <c r="J62" i="83" s="1"/>
  <c r="J126" i="83" s="1"/>
  <c r="I62" i="83" a="1"/>
  <c r="I62" i="83" s="1"/>
  <c r="I126" i="83" s="1"/>
  <c r="H62" i="83" a="1"/>
  <c r="H62" i="83" s="1"/>
  <c r="H126" i="83" s="1"/>
  <c r="G62" i="83" a="1"/>
  <c r="G62" i="83" s="1"/>
  <c r="G126" i="83" s="1"/>
  <c r="F62" i="83" a="1"/>
  <c r="F62" i="83" s="1"/>
  <c r="F126" i="83" s="1"/>
  <c r="E62" i="83" a="1"/>
  <c r="E62" i="83" s="1"/>
  <c r="E126" i="83" s="1"/>
  <c r="D62" i="83" a="1"/>
  <c r="D62" i="83" s="1"/>
  <c r="P61" i="83" a="1"/>
  <c r="P61" i="83" s="1"/>
  <c r="P125" i="83" s="1"/>
  <c r="O61" i="83" a="1"/>
  <c r="O61" i="83" s="1"/>
  <c r="O125" i="83" s="1"/>
  <c r="N61" i="83" a="1"/>
  <c r="N61" i="83" s="1"/>
  <c r="N125" i="83" s="1"/>
  <c r="M61" i="83" a="1"/>
  <c r="M61" i="83" s="1"/>
  <c r="M125" i="83" s="1"/>
  <c r="L61" i="83" a="1"/>
  <c r="L61" i="83" s="1"/>
  <c r="L125" i="83" s="1"/>
  <c r="K61" i="83" a="1"/>
  <c r="K61" i="83" s="1"/>
  <c r="K125" i="83" s="1"/>
  <c r="J61" i="83" a="1"/>
  <c r="J61" i="83" s="1"/>
  <c r="J125" i="83" s="1"/>
  <c r="I61" i="83" a="1"/>
  <c r="I61" i="83" s="1"/>
  <c r="I125" i="83" s="1"/>
  <c r="H61" i="83" a="1"/>
  <c r="H61" i="83" s="1"/>
  <c r="H125" i="83" s="1"/>
  <c r="G61" i="83" a="1"/>
  <c r="G61" i="83" s="1"/>
  <c r="G125" i="83" s="1"/>
  <c r="F61" i="83" a="1"/>
  <c r="F61" i="83" s="1"/>
  <c r="F125" i="83" s="1"/>
  <c r="E61" i="83" a="1"/>
  <c r="E61" i="83" s="1"/>
  <c r="E125" i="83" s="1"/>
  <c r="D61" i="83" a="1"/>
  <c r="D61" i="83" s="1"/>
  <c r="P60" i="83" a="1"/>
  <c r="P60" i="83" s="1"/>
  <c r="P124" i="83" s="1"/>
  <c r="O60" i="83" a="1"/>
  <c r="O60" i="83" s="1"/>
  <c r="O124" i="83" s="1"/>
  <c r="N60" i="83" a="1"/>
  <c r="N60" i="83" s="1"/>
  <c r="N124" i="83" s="1"/>
  <c r="M60" i="83" a="1"/>
  <c r="M60" i="83" s="1"/>
  <c r="M124" i="83" s="1"/>
  <c r="L60" i="83" a="1"/>
  <c r="L60" i="83" s="1"/>
  <c r="L124" i="83" s="1"/>
  <c r="K60" i="83" a="1"/>
  <c r="K60" i="83" s="1"/>
  <c r="K124" i="83" s="1"/>
  <c r="J60" i="83" a="1"/>
  <c r="J60" i="83" s="1"/>
  <c r="J124" i="83" s="1"/>
  <c r="I60" i="83" a="1"/>
  <c r="I60" i="83" s="1"/>
  <c r="I124" i="83" s="1"/>
  <c r="H60" i="83" a="1"/>
  <c r="H60" i="83" s="1"/>
  <c r="H124" i="83" s="1"/>
  <c r="G60" i="83" a="1"/>
  <c r="G60" i="83" s="1"/>
  <c r="G124" i="83" s="1"/>
  <c r="F60" i="83" a="1"/>
  <c r="F60" i="83" s="1"/>
  <c r="F124" i="83" s="1"/>
  <c r="E60" i="83" a="1"/>
  <c r="E60" i="83" s="1"/>
  <c r="E124" i="83" s="1"/>
  <c r="D60" i="83" a="1"/>
  <c r="D60" i="83" s="1"/>
  <c r="P59" i="83" a="1"/>
  <c r="P59" i="83" s="1"/>
  <c r="P123" i="83" s="1"/>
  <c r="O59" i="83" a="1"/>
  <c r="O59" i="83" s="1"/>
  <c r="O123" i="83" s="1"/>
  <c r="N59" i="83" a="1"/>
  <c r="N59" i="83" s="1"/>
  <c r="N123" i="83" s="1"/>
  <c r="M59" i="83" a="1"/>
  <c r="M59" i="83" s="1"/>
  <c r="M123" i="83" s="1"/>
  <c r="L59" i="83" a="1"/>
  <c r="L59" i="83" s="1"/>
  <c r="L123" i="83" s="1"/>
  <c r="K59" i="83" a="1"/>
  <c r="K59" i="83" s="1"/>
  <c r="K123" i="83" s="1"/>
  <c r="J59" i="83" a="1"/>
  <c r="J59" i="83" s="1"/>
  <c r="J123" i="83" s="1"/>
  <c r="I59" i="83" a="1"/>
  <c r="I59" i="83" s="1"/>
  <c r="I123" i="83" s="1"/>
  <c r="H59" i="83" a="1"/>
  <c r="H59" i="83" s="1"/>
  <c r="H123" i="83" s="1"/>
  <c r="G59" i="83" a="1"/>
  <c r="G59" i="83" s="1"/>
  <c r="G123" i="83" s="1"/>
  <c r="F59" i="83" a="1"/>
  <c r="F59" i="83" s="1"/>
  <c r="F123" i="83" s="1"/>
  <c r="E59" i="83" a="1"/>
  <c r="E59" i="83" s="1"/>
  <c r="E123" i="83" s="1"/>
  <c r="D59" i="83" a="1"/>
  <c r="D59" i="83" s="1"/>
  <c r="P58" i="83" a="1"/>
  <c r="P58" i="83" s="1"/>
  <c r="P122" i="83" s="1"/>
  <c r="O58" i="83" a="1"/>
  <c r="O58" i="83" s="1"/>
  <c r="O122" i="83" s="1"/>
  <c r="N58" i="83" a="1"/>
  <c r="N58" i="83" s="1"/>
  <c r="N122" i="83" s="1"/>
  <c r="M58" i="83" a="1"/>
  <c r="M58" i="83" s="1"/>
  <c r="M122" i="83" s="1"/>
  <c r="L58" i="83" a="1"/>
  <c r="L58" i="83" s="1"/>
  <c r="L122" i="83" s="1"/>
  <c r="K58" i="83" a="1"/>
  <c r="K58" i="83" s="1"/>
  <c r="K122" i="83" s="1"/>
  <c r="J58" i="83" a="1"/>
  <c r="J58" i="83" s="1"/>
  <c r="J122" i="83" s="1"/>
  <c r="I58" i="83" a="1"/>
  <c r="I58" i="83" s="1"/>
  <c r="I122" i="83" s="1"/>
  <c r="H58" i="83" a="1"/>
  <c r="H58" i="83" s="1"/>
  <c r="H122" i="83" s="1"/>
  <c r="G58" i="83" a="1"/>
  <c r="G58" i="83" s="1"/>
  <c r="G122" i="83" s="1"/>
  <c r="F58" i="83" a="1"/>
  <c r="F58" i="83" s="1"/>
  <c r="F122" i="83" s="1"/>
  <c r="E58" i="83" a="1"/>
  <c r="E58" i="83" s="1"/>
  <c r="E122" i="83" s="1"/>
  <c r="D58" i="83" a="1"/>
  <c r="D58" i="83" s="1"/>
  <c r="P57" i="83" a="1"/>
  <c r="P57" i="83" s="1"/>
  <c r="P121" i="83" s="1"/>
  <c r="O57" i="83" a="1"/>
  <c r="O57" i="83" s="1"/>
  <c r="O121" i="83" s="1"/>
  <c r="N57" i="83" a="1"/>
  <c r="N57" i="83" s="1"/>
  <c r="N121" i="83" s="1"/>
  <c r="M57" i="83" a="1"/>
  <c r="M57" i="83" s="1"/>
  <c r="M121" i="83" s="1"/>
  <c r="L57" i="83" a="1"/>
  <c r="L57" i="83" s="1"/>
  <c r="L121" i="83" s="1"/>
  <c r="K57" i="83" a="1"/>
  <c r="K57" i="83" s="1"/>
  <c r="K121" i="83" s="1"/>
  <c r="J57" i="83" a="1"/>
  <c r="J57" i="83" s="1"/>
  <c r="J121" i="83" s="1"/>
  <c r="I57" i="83" a="1"/>
  <c r="I57" i="83" s="1"/>
  <c r="I121" i="83" s="1"/>
  <c r="H57" i="83" a="1"/>
  <c r="H57" i="83" s="1"/>
  <c r="H121" i="83" s="1"/>
  <c r="G57" i="83" a="1"/>
  <c r="G57" i="83" s="1"/>
  <c r="G121" i="83" s="1"/>
  <c r="F57" i="83" a="1"/>
  <c r="F57" i="83" s="1"/>
  <c r="F121" i="83" s="1"/>
  <c r="E57" i="83" a="1"/>
  <c r="E57" i="83" s="1"/>
  <c r="E121" i="83" s="1"/>
  <c r="D57" i="83" a="1"/>
  <c r="D57" i="83" s="1"/>
  <c r="P56" i="83" a="1"/>
  <c r="P56" i="83" s="1"/>
  <c r="P120" i="83" s="1"/>
  <c r="O56" i="83" a="1"/>
  <c r="O56" i="83" s="1"/>
  <c r="O120" i="83" s="1"/>
  <c r="N56" i="83" a="1"/>
  <c r="N56" i="83" s="1"/>
  <c r="N120" i="83" s="1"/>
  <c r="M56" i="83" a="1"/>
  <c r="M56" i="83" s="1"/>
  <c r="M120" i="83" s="1"/>
  <c r="L56" i="83" a="1"/>
  <c r="L56" i="83" s="1"/>
  <c r="L120" i="83" s="1"/>
  <c r="K56" i="83" a="1"/>
  <c r="K56" i="83" s="1"/>
  <c r="K120" i="83" s="1"/>
  <c r="J56" i="83" a="1"/>
  <c r="J56" i="83" s="1"/>
  <c r="J120" i="83" s="1"/>
  <c r="I56" i="83" a="1"/>
  <c r="I56" i="83" s="1"/>
  <c r="I120" i="83" s="1"/>
  <c r="H56" i="83" a="1"/>
  <c r="H56" i="83" s="1"/>
  <c r="H120" i="83" s="1"/>
  <c r="G56" i="83" a="1"/>
  <c r="G56" i="83" s="1"/>
  <c r="G120" i="83" s="1"/>
  <c r="F56" i="83" a="1"/>
  <c r="F56" i="83" s="1"/>
  <c r="F120" i="83" s="1"/>
  <c r="E56" i="83" a="1"/>
  <c r="E56" i="83" s="1"/>
  <c r="E120" i="83" s="1"/>
  <c r="D56" i="83" a="1"/>
  <c r="D56" i="83" s="1"/>
  <c r="P55" i="83" a="1"/>
  <c r="P55" i="83" s="1"/>
  <c r="P119" i="83" s="1"/>
  <c r="O55" i="83" a="1"/>
  <c r="O55" i="83" s="1"/>
  <c r="O119" i="83" s="1"/>
  <c r="N55" i="83" a="1"/>
  <c r="N55" i="83" s="1"/>
  <c r="N119" i="83" s="1"/>
  <c r="M55" i="83" a="1"/>
  <c r="M55" i="83" s="1"/>
  <c r="M119" i="83" s="1"/>
  <c r="L55" i="83" a="1"/>
  <c r="L55" i="83" s="1"/>
  <c r="L119" i="83" s="1"/>
  <c r="K55" i="83" a="1"/>
  <c r="K55" i="83" s="1"/>
  <c r="K119" i="83" s="1"/>
  <c r="J55" i="83" a="1"/>
  <c r="J55" i="83" s="1"/>
  <c r="J119" i="83" s="1"/>
  <c r="I55" i="83" a="1"/>
  <c r="I55" i="83" s="1"/>
  <c r="I119" i="83" s="1"/>
  <c r="H55" i="83" a="1"/>
  <c r="H55" i="83" s="1"/>
  <c r="H119" i="83" s="1"/>
  <c r="G55" i="83" a="1"/>
  <c r="G55" i="83" s="1"/>
  <c r="G119" i="83" s="1"/>
  <c r="F55" i="83" a="1"/>
  <c r="F55" i="83" s="1"/>
  <c r="F119" i="83" s="1"/>
  <c r="E55" i="83" a="1"/>
  <c r="E55" i="83" s="1"/>
  <c r="E119" i="83" s="1"/>
  <c r="D55" i="83" a="1"/>
  <c r="D55" i="83" s="1"/>
  <c r="P54" i="83" a="1"/>
  <c r="P54" i="83" s="1"/>
  <c r="P118" i="83" s="1"/>
  <c r="O54" i="83" a="1"/>
  <c r="O54" i="83" s="1"/>
  <c r="O118" i="83" s="1"/>
  <c r="N54" i="83" a="1"/>
  <c r="N54" i="83" s="1"/>
  <c r="N118" i="83" s="1"/>
  <c r="M54" i="83" a="1"/>
  <c r="M54" i="83" s="1"/>
  <c r="M118" i="83" s="1"/>
  <c r="L54" i="83" a="1"/>
  <c r="L54" i="83" s="1"/>
  <c r="L118" i="83" s="1"/>
  <c r="K54" i="83" a="1"/>
  <c r="K54" i="83" s="1"/>
  <c r="K118" i="83" s="1"/>
  <c r="J54" i="83" a="1"/>
  <c r="J54" i="83" s="1"/>
  <c r="J118" i="83" s="1"/>
  <c r="I54" i="83" a="1"/>
  <c r="I54" i="83" s="1"/>
  <c r="I118" i="83" s="1"/>
  <c r="H54" i="83" a="1"/>
  <c r="H54" i="83" s="1"/>
  <c r="H118" i="83" s="1"/>
  <c r="G54" i="83" a="1"/>
  <c r="G54" i="83" s="1"/>
  <c r="G118" i="83" s="1"/>
  <c r="F54" i="83" a="1"/>
  <c r="F54" i="83" s="1"/>
  <c r="F118" i="83" s="1"/>
  <c r="E54" i="83" a="1"/>
  <c r="E54" i="83" s="1"/>
  <c r="E118" i="83" s="1"/>
  <c r="D54" i="83" a="1"/>
  <c r="D54" i="83" s="1"/>
  <c r="D52" i="83" a="1"/>
  <c r="D52" i="83" s="1"/>
  <c r="D51" i="83" a="1"/>
  <c r="D51" i="83" s="1"/>
  <c r="D50" i="83" a="1"/>
  <c r="D50" i="83" s="1"/>
  <c r="D49" i="83" a="1"/>
  <c r="D49" i="83" s="1"/>
  <c r="M46" i="83" a="1"/>
  <c r="M46" i="83" s="1"/>
  <c r="L46" i="83" a="1"/>
  <c r="L46" i="83" s="1"/>
  <c r="M117" i="83" s="1"/>
  <c r="K46" i="83" a="1"/>
  <c r="K46" i="83" s="1"/>
  <c r="J46" i="83" a="1"/>
  <c r="J46" i="83" s="1"/>
  <c r="J117" i="83" s="1"/>
  <c r="I46" i="83" a="1"/>
  <c r="I46" i="83" s="1"/>
  <c r="I117" i="83" s="1"/>
  <c r="H46" i="83" a="1"/>
  <c r="H46" i="83" s="1"/>
  <c r="H117" i="83" s="1"/>
  <c r="G46" i="83" a="1"/>
  <c r="G46" i="83" s="1"/>
  <c r="G117" i="83" s="1"/>
  <c r="F46" i="83" a="1"/>
  <c r="F46" i="83" s="1"/>
  <c r="F117" i="83" s="1"/>
  <c r="E46" i="83" a="1"/>
  <c r="E46" i="83" s="1"/>
  <c r="E117" i="83" s="1"/>
  <c r="D46" i="83" a="1"/>
  <c r="D46" i="83" s="1"/>
  <c r="M45" i="83" a="1"/>
  <c r="M45" i="83" s="1"/>
  <c r="L45" i="83" a="1"/>
  <c r="L45" i="83" s="1"/>
  <c r="M116" i="83" s="1"/>
  <c r="K45" i="83" a="1"/>
  <c r="K45" i="83" s="1"/>
  <c r="J45" i="83" a="1"/>
  <c r="J45" i="83" s="1"/>
  <c r="J116" i="83" s="1"/>
  <c r="I45" i="83" a="1"/>
  <c r="I45" i="83" s="1"/>
  <c r="I116" i="83" s="1"/>
  <c r="H45" i="83" a="1"/>
  <c r="H45" i="83" s="1"/>
  <c r="H116" i="83" s="1"/>
  <c r="G45" i="83" a="1"/>
  <c r="G45" i="83" s="1"/>
  <c r="G116" i="83" s="1"/>
  <c r="F45" i="83" a="1"/>
  <c r="F45" i="83" s="1"/>
  <c r="F116" i="83" s="1"/>
  <c r="E45" i="83" a="1"/>
  <c r="E45" i="83" s="1"/>
  <c r="E116" i="83" s="1"/>
  <c r="D45" i="83" a="1"/>
  <c r="D45" i="83" s="1"/>
  <c r="M44" i="83" a="1"/>
  <c r="M44" i="83" s="1"/>
  <c r="L44" i="83" a="1"/>
  <c r="L44" i="83" s="1"/>
  <c r="M115" i="83" s="1"/>
  <c r="K44" i="83" a="1"/>
  <c r="K44" i="83" s="1"/>
  <c r="J44" i="83" a="1"/>
  <c r="J44" i="83" s="1"/>
  <c r="J115" i="83" s="1"/>
  <c r="I44" i="83" a="1"/>
  <c r="I44" i="83" s="1"/>
  <c r="I115" i="83" s="1"/>
  <c r="H44" i="83" a="1"/>
  <c r="H44" i="83" s="1"/>
  <c r="H115" i="83" s="1"/>
  <c r="G44" i="83" a="1"/>
  <c r="G44" i="83" s="1"/>
  <c r="G115" i="83" s="1"/>
  <c r="F44" i="83" a="1"/>
  <c r="F44" i="83" s="1"/>
  <c r="F115" i="83" s="1"/>
  <c r="E44" i="83" a="1"/>
  <c r="E44" i="83" s="1"/>
  <c r="E115" i="83" s="1"/>
  <c r="D44" i="83" a="1"/>
  <c r="D44" i="83" s="1"/>
  <c r="M43" i="83" a="1"/>
  <c r="M43" i="83" s="1"/>
  <c r="L43" i="83" a="1"/>
  <c r="L43" i="83" s="1"/>
  <c r="M114" i="83" s="1"/>
  <c r="K43" i="83" a="1"/>
  <c r="K43" i="83" s="1"/>
  <c r="J43" i="83" a="1"/>
  <c r="J43" i="83" s="1"/>
  <c r="J114" i="83" s="1"/>
  <c r="I43" i="83" a="1"/>
  <c r="I43" i="83" s="1"/>
  <c r="I114" i="83" s="1"/>
  <c r="H43" i="83" a="1"/>
  <c r="H43" i="83" s="1"/>
  <c r="H114" i="83" s="1"/>
  <c r="G43" i="83" a="1"/>
  <c r="G43" i="83" s="1"/>
  <c r="G114" i="83" s="1"/>
  <c r="F43" i="83" a="1"/>
  <c r="F43" i="83" s="1"/>
  <c r="F114" i="83" s="1"/>
  <c r="E43" i="83" a="1"/>
  <c r="E43" i="83" s="1"/>
  <c r="E114" i="83" s="1"/>
  <c r="D43" i="83" a="1"/>
  <c r="D43" i="83" s="1"/>
  <c r="M42" i="83" a="1"/>
  <c r="M42" i="83" s="1"/>
  <c r="L42" i="83" a="1"/>
  <c r="L42" i="83" s="1"/>
  <c r="M113" i="83" s="1"/>
  <c r="K42" i="83" a="1"/>
  <c r="K42" i="83" s="1"/>
  <c r="J42" i="83" a="1"/>
  <c r="J42" i="83" s="1"/>
  <c r="J113" i="83" s="1"/>
  <c r="I42" i="83" a="1"/>
  <c r="I42" i="83" s="1"/>
  <c r="I113" i="83" s="1"/>
  <c r="H42" i="83" a="1"/>
  <c r="H42" i="83" s="1"/>
  <c r="H113" i="83" s="1"/>
  <c r="G42" i="83" a="1"/>
  <c r="G42" i="83" s="1"/>
  <c r="G113" i="83" s="1"/>
  <c r="F42" i="83" a="1"/>
  <c r="F42" i="83" s="1"/>
  <c r="F113" i="83" s="1"/>
  <c r="E42" i="83" a="1"/>
  <c r="E42" i="83" s="1"/>
  <c r="E113" i="83" s="1"/>
  <c r="D42" i="83" a="1"/>
  <c r="D42" i="83" s="1"/>
  <c r="M41" i="83" a="1"/>
  <c r="M41" i="83" s="1"/>
  <c r="L41" i="83" a="1"/>
  <c r="L41" i="83" s="1"/>
  <c r="M112" i="83" s="1"/>
  <c r="K41" i="83" a="1"/>
  <c r="K41" i="83" s="1"/>
  <c r="J41" i="83" a="1"/>
  <c r="J41" i="83" s="1"/>
  <c r="J112" i="83" s="1"/>
  <c r="I41" i="83" a="1"/>
  <c r="I41" i="83" s="1"/>
  <c r="I112" i="83" s="1"/>
  <c r="H41" i="83" a="1"/>
  <c r="H41" i="83" s="1"/>
  <c r="H112" i="83" s="1"/>
  <c r="G41" i="83" a="1"/>
  <c r="G41" i="83" s="1"/>
  <c r="G112" i="83" s="1"/>
  <c r="F41" i="83" a="1"/>
  <c r="F41" i="83" s="1"/>
  <c r="F112" i="83" s="1"/>
  <c r="E41" i="83" a="1"/>
  <c r="E41" i="83" s="1"/>
  <c r="E112" i="83" s="1"/>
  <c r="D41" i="83" a="1"/>
  <c r="D41" i="83" s="1"/>
  <c r="M40" i="83" a="1"/>
  <c r="M40" i="83" s="1"/>
  <c r="L40" i="83" a="1"/>
  <c r="L40" i="83" s="1"/>
  <c r="M111" i="83" s="1"/>
  <c r="K40" i="83" a="1"/>
  <c r="K40" i="83" s="1"/>
  <c r="J40" i="83" a="1"/>
  <c r="J40" i="83" s="1"/>
  <c r="J111" i="83" s="1"/>
  <c r="I40" i="83" a="1"/>
  <c r="I40" i="83" s="1"/>
  <c r="I111" i="83" s="1"/>
  <c r="H40" i="83" a="1"/>
  <c r="H40" i="83" s="1"/>
  <c r="H111" i="83" s="1"/>
  <c r="G40" i="83" a="1"/>
  <c r="G40" i="83" s="1"/>
  <c r="G111" i="83" s="1"/>
  <c r="F40" i="83" a="1"/>
  <c r="F40" i="83" s="1"/>
  <c r="F111" i="83" s="1"/>
  <c r="E40" i="83" a="1"/>
  <c r="E40" i="83" s="1"/>
  <c r="E111" i="83" s="1"/>
  <c r="D40" i="83" a="1"/>
  <c r="D40" i="83" s="1"/>
  <c r="M39" i="83" a="1"/>
  <c r="M39" i="83" s="1"/>
  <c r="L39" i="83" a="1"/>
  <c r="L39" i="83" s="1"/>
  <c r="M110" i="83" s="1"/>
  <c r="K39" i="83" a="1"/>
  <c r="K39" i="83" s="1"/>
  <c r="J39" i="83" a="1"/>
  <c r="J39" i="83" s="1"/>
  <c r="J110" i="83" s="1"/>
  <c r="I39" i="83" a="1"/>
  <c r="I39" i="83" s="1"/>
  <c r="I110" i="83" s="1"/>
  <c r="H39" i="83" a="1"/>
  <c r="H39" i="83" s="1"/>
  <c r="H110" i="83" s="1"/>
  <c r="G39" i="83" a="1"/>
  <c r="G39" i="83" s="1"/>
  <c r="G110" i="83" s="1"/>
  <c r="F39" i="83" a="1"/>
  <c r="F39" i="83" s="1"/>
  <c r="F110" i="83" s="1"/>
  <c r="E39" i="83" a="1"/>
  <c r="E39" i="83" s="1"/>
  <c r="E110" i="83" s="1"/>
  <c r="D39" i="83" a="1"/>
  <c r="D39" i="83" s="1"/>
  <c r="M38" i="83" a="1"/>
  <c r="M38" i="83" s="1"/>
  <c r="L38" i="83" a="1"/>
  <c r="L38" i="83" s="1"/>
  <c r="M109" i="83" s="1"/>
  <c r="K38" i="83" a="1"/>
  <c r="K38" i="83" s="1"/>
  <c r="J38" i="83" a="1"/>
  <c r="J38" i="83" s="1"/>
  <c r="J109" i="83" s="1"/>
  <c r="I38" i="83" a="1"/>
  <c r="I38" i="83" s="1"/>
  <c r="I109" i="83" s="1"/>
  <c r="H38" i="83" a="1"/>
  <c r="H38" i="83" s="1"/>
  <c r="H109" i="83" s="1"/>
  <c r="G38" i="83" a="1"/>
  <c r="G38" i="83" s="1"/>
  <c r="G109" i="83" s="1"/>
  <c r="F38" i="83" a="1"/>
  <c r="F38" i="83" s="1"/>
  <c r="F109" i="83" s="1"/>
  <c r="E38" i="83" a="1"/>
  <c r="E38" i="83" s="1"/>
  <c r="E109" i="83" s="1"/>
  <c r="D38" i="83" a="1"/>
  <c r="D38" i="83" s="1"/>
  <c r="M37" i="83" a="1"/>
  <c r="M37" i="83" s="1"/>
  <c r="L37" i="83" a="1"/>
  <c r="L37" i="83" s="1"/>
  <c r="M108" i="83" s="1"/>
  <c r="K37" i="83" a="1"/>
  <c r="K37" i="83" s="1"/>
  <c r="J37" i="83" a="1"/>
  <c r="J37" i="83" s="1"/>
  <c r="J108" i="83" s="1"/>
  <c r="I37" i="83" a="1"/>
  <c r="I37" i="83" s="1"/>
  <c r="I108" i="83" s="1"/>
  <c r="H37" i="83" a="1"/>
  <c r="H37" i="83" s="1"/>
  <c r="H108" i="83" s="1"/>
  <c r="G37" i="83" a="1"/>
  <c r="G37" i="83" s="1"/>
  <c r="G108" i="83" s="1"/>
  <c r="F37" i="83" a="1"/>
  <c r="F37" i="83" s="1"/>
  <c r="F108" i="83" s="1"/>
  <c r="E37" i="83" a="1"/>
  <c r="E37" i="83" s="1"/>
  <c r="E108" i="83" s="1"/>
  <c r="D37" i="83" a="1"/>
  <c r="D37" i="83" s="1"/>
  <c r="M36" i="83" a="1"/>
  <c r="M36" i="83" s="1"/>
  <c r="L36" i="83" a="1"/>
  <c r="L36" i="83" s="1"/>
  <c r="M107" i="83" s="1"/>
  <c r="K36" i="83" a="1"/>
  <c r="K36" i="83" s="1"/>
  <c r="J36" i="83" a="1"/>
  <c r="J36" i="83" s="1"/>
  <c r="J107" i="83" s="1"/>
  <c r="I36" i="83" a="1"/>
  <c r="I36" i="83" s="1"/>
  <c r="I107" i="83" s="1"/>
  <c r="H36" i="83" a="1"/>
  <c r="H36" i="83" s="1"/>
  <c r="H107" i="83" s="1"/>
  <c r="G36" i="83" a="1"/>
  <c r="G36" i="83" s="1"/>
  <c r="G107" i="83" s="1"/>
  <c r="F36" i="83" a="1"/>
  <c r="F36" i="83" s="1"/>
  <c r="F107" i="83" s="1"/>
  <c r="E36" i="83" a="1"/>
  <c r="E36" i="83" s="1"/>
  <c r="E107" i="83" s="1"/>
  <c r="D36" i="83" a="1"/>
  <c r="D36" i="83" s="1"/>
  <c r="M35" i="83" a="1"/>
  <c r="M35" i="83" s="1"/>
  <c r="L35" i="83" a="1"/>
  <c r="L35" i="83" s="1"/>
  <c r="M106" i="83" s="1"/>
  <c r="K35" i="83" a="1"/>
  <c r="K35" i="83" s="1"/>
  <c r="J35" i="83" a="1"/>
  <c r="J35" i="83" s="1"/>
  <c r="J106" i="83" s="1"/>
  <c r="I35" i="83" a="1"/>
  <c r="I35" i="83" s="1"/>
  <c r="I106" i="83" s="1"/>
  <c r="H35" i="83" a="1"/>
  <c r="H35" i="83" s="1"/>
  <c r="H106" i="83" s="1"/>
  <c r="G35" i="83" a="1"/>
  <c r="G35" i="83" s="1"/>
  <c r="G106" i="83" s="1"/>
  <c r="F35" i="83" a="1"/>
  <c r="F35" i="83" s="1"/>
  <c r="E35" i="83" a="1"/>
  <c r="E35" i="83" s="1"/>
  <c r="E106" i="83" s="1"/>
  <c r="D35" i="83" a="1"/>
  <c r="D35" i="83" s="1"/>
  <c r="M34" i="83" a="1"/>
  <c r="M34" i="83" s="1"/>
  <c r="L34" i="83" a="1"/>
  <c r="L34" i="83" s="1"/>
  <c r="M105" i="83" s="1"/>
  <c r="K34" i="83" a="1"/>
  <c r="K34" i="83" s="1"/>
  <c r="J34" i="83" a="1"/>
  <c r="J34" i="83" s="1"/>
  <c r="J105" i="83" s="1"/>
  <c r="I34" i="83" a="1"/>
  <c r="I34" i="83" s="1"/>
  <c r="I105" i="83" s="1"/>
  <c r="H34" i="83" a="1"/>
  <c r="H34" i="83" s="1"/>
  <c r="H105" i="83" s="1"/>
  <c r="G34" i="83" a="1"/>
  <c r="G34" i="83" s="1"/>
  <c r="G105" i="83" s="1"/>
  <c r="F34" i="83" a="1"/>
  <c r="F34" i="83" s="1"/>
  <c r="E34" i="83" a="1"/>
  <c r="E34" i="83" s="1"/>
  <c r="D34" i="83" a="1"/>
  <c r="D34" i="83" s="1"/>
  <c r="M33" i="83" a="1"/>
  <c r="M33" i="83" s="1"/>
  <c r="L33" i="83" a="1"/>
  <c r="L33" i="83" s="1"/>
  <c r="M104" i="83" s="1"/>
  <c r="K33" i="83" a="1"/>
  <c r="K33" i="83" s="1"/>
  <c r="J33" i="83" a="1"/>
  <c r="J33" i="83" s="1"/>
  <c r="J104" i="83" s="1"/>
  <c r="I33" i="83" a="1"/>
  <c r="I33" i="83" s="1"/>
  <c r="I104" i="83" s="1"/>
  <c r="H33" i="83" a="1"/>
  <c r="H33" i="83" s="1"/>
  <c r="H104" i="83" s="1"/>
  <c r="G33" i="83" a="1"/>
  <c r="G33" i="83" s="1"/>
  <c r="G104" i="83" s="1"/>
  <c r="F33" i="83" a="1"/>
  <c r="F33" i="83" s="1"/>
  <c r="E33" i="83" a="1"/>
  <c r="E33" i="83" s="1"/>
  <c r="D33" i="83" a="1"/>
  <c r="D33" i="83" s="1"/>
  <c r="M32" i="83" a="1"/>
  <c r="M32" i="83" s="1"/>
  <c r="L32" i="83" a="1"/>
  <c r="L32" i="83" s="1"/>
  <c r="M103" i="83" s="1"/>
  <c r="K32" i="83" a="1"/>
  <c r="K32" i="83" s="1"/>
  <c r="J32" i="83" a="1"/>
  <c r="J32" i="83" s="1"/>
  <c r="J103" i="83" s="1"/>
  <c r="I32" i="83" a="1"/>
  <c r="I32" i="83" s="1"/>
  <c r="I103" i="83" s="1"/>
  <c r="H32" i="83" a="1"/>
  <c r="H32" i="83" s="1"/>
  <c r="H103" i="83" s="1"/>
  <c r="G32" i="83" a="1"/>
  <c r="G32" i="83" s="1"/>
  <c r="G103" i="83" s="1"/>
  <c r="F32" i="83" a="1"/>
  <c r="F32" i="83" s="1"/>
  <c r="E32" i="83" a="1"/>
  <c r="E32" i="83" s="1"/>
  <c r="D32" i="83" a="1"/>
  <c r="D32" i="83" s="1"/>
  <c r="M31" i="83" a="1"/>
  <c r="M31" i="83" s="1"/>
  <c r="L31" i="83" a="1"/>
  <c r="L31" i="83" s="1"/>
  <c r="M102" i="83" s="1"/>
  <c r="K31" i="83" a="1"/>
  <c r="K31" i="83" s="1"/>
  <c r="J31" i="83" a="1"/>
  <c r="J31" i="83" s="1"/>
  <c r="J102" i="83" s="1"/>
  <c r="I31" i="83" a="1"/>
  <c r="I31" i="83" s="1"/>
  <c r="I102" i="83" s="1"/>
  <c r="H31" i="83" a="1"/>
  <c r="H31" i="83" s="1"/>
  <c r="H102" i="83" s="1"/>
  <c r="G31" i="83" a="1"/>
  <c r="G31" i="83" s="1"/>
  <c r="G102" i="83" s="1"/>
  <c r="F31" i="83" a="1"/>
  <c r="F31" i="83" s="1"/>
  <c r="F98" i="83" s="1"/>
  <c r="E31" i="83" a="1"/>
  <c r="E31" i="83" s="1"/>
  <c r="D31" i="83" a="1"/>
  <c r="D31" i="83" s="1"/>
  <c r="M30" i="83" a="1"/>
  <c r="M30" i="83" s="1"/>
  <c r="L30" i="83" a="1"/>
  <c r="L30" i="83" s="1"/>
  <c r="M101" i="83" s="1"/>
  <c r="K30" i="83" a="1"/>
  <c r="K30" i="83" s="1"/>
  <c r="J30" i="83" a="1"/>
  <c r="J30" i="83" s="1"/>
  <c r="J101" i="83" s="1"/>
  <c r="I30" i="83" a="1"/>
  <c r="I30" i="83" s="1"/>
  <c r="I101" i="83" s="1"/>
  <c r="H30" i="83" a="1"/>
  <c r="H30" i="83" s="1"/>
  <c r="H101" i="83" s="1"/>
  <c r="G30" i="83" a="1"/>
  <c r="G30" i="83" s="1"/>
  <c r="G101" i="83" s="1"/>
  <c r="F30" i="83" a="1"/>
  <c r="F30" i="83" s="1"/>
  <c r="E30" i="83" a="1"/>
  <c r="E30" i="83" s="1"/>
  <c r="D30" i="83" a="1"/>
  <c r="D30" i="83" s="1"/>
  <c r="M29" i="83" a="1"/>
  <c r="M29" i="83" s="1"/>
  <c r="L29" i="83" a="1"/>
  <c r="L29" i="83" s="1"/>
  <c r="M100" i="83" s="1"/>
  <c r="K29" i="83" a="1"/>
  <c r="K29" i="83" s="1"/>
  <c r="J29" i="83" a="1"/>
  <c r="J29" i="83" s="1"/>
  <c r="J100" i="83" s="1"/>
  <c r="I29" i="83" a="1"/>
  <c r="I29" i="83" s="1"/>
  <c r="I100" i="83" s="1"/>
  <c r="H29" i="83" a="1"/>
  <c r="H29" i="83" s="1"/>
  <c r="H100" i="83" s="1"/>
  <c r="G29" i="83" a="1"/>
  <c r="G29" i="83" s="1"/>
  <c r="G100" i="83" s="1"/>
  <c r="F29" i="83" a="1"/>
  <c r="F29" i="83" s="1"/>
  <c r="E29" i="83" a="1"/>
  <c r="E29" i="83" s="1"/>
  <c r="D29" i="83" a="1"/>
  <c r="D29" i="83" s="1"/>
  <c r="M28" i="83" a="1"/>
  <c r="M28" i="83" s="1"/>
  <c r="L28" i="83" a="1"/>
  <c r="L28" i="83" s="1"/>
  <c r="M99" i="83" s="1"/>
  <c r="K28" i="83" a="1"/>
  <c r="K28" i="83" s="1"/>
  <c r="J28" i="83" a="1"/>
  <c r="J28" i="83" s="1"/>
  <c r="J99" i="83" s="1"/>
  <c r="I28" i="83" a="1"/>
  <c r="I28" i="83" s="1"/>
  <c r="I99" i="83" s="1"/>
  <c r="H28" i="83" a="1"/>
  <c r="H28" i="83" s="1"/>
  <c r="H99" i="83" s="1"/>
  <c r="G28" i="83" a="1"/>
  <c r="G28" i="83" s="1"/>
  <c r="G99" i="83" s="1"/>
  <c r="F28" i="83" a="1"/>
  <c r="F28" i="83" s="1"/>
  <c r="E28" i="83" a="1"/>
  <c r="E28" i="83" s="1"/>
  <c r="D28" i="83" a="1"/>
  <c r="D28" i="83" s="1"/>
  <c r="M27" i="83" a="1"/>
  <c r="M27" i="83" s="1"/>
  <c r="L27" i="83" a="1"/>
  <c r="L27" i="83" s="1"/>
  <c r="M98" i="83" s="1"/>
  <c r="K27" i="83" a="1"/>
  <c r="K27" i="83" s="1"/>
  <c r="J27" i="83" a="1"/>
  <c r="J27" i="83" s="1"/>
  <c r="J98" i="83" s="1"/>
  <c r="I27" i="83" a="1"/>
  <c r="I27" i="83" s="1"/>
  <c r="I98" i="83" s="1"/>
  <c r="H27" i="83" a="1"/>
  <c r="H27" i="83" s="1"/>
  <c r="H98" i="83" s="1"/>
  <c r="G27" i="83" a="1"/>
  <c r="G27" i="83" s="1"/>
  <c r="G98" i="83" s="1"/>
  <c r="F27" i="83" a="1"/>
  <c r="F27" i="83" s="1"/>
  <c r="F94" i="83" s="1"/>
  <c r="E27" i="83" a="1"/>
  <c r="E27" i="83" s="1"/>
  <c r="D27" i="83" a="1"/>
  <c r="D27" i="83" s="1"/>
  <c r="M26" i="83" a="1"/>
  <c r="M26" i="83" s="1"/>
  <c r="L26" i="83" a="1"/>
  <c r="L26" i="83" s="1"/>
  <c r="M97" i="83" s="1"/>
  <c r="K26" i="83" a="1"/>
  <c r="K26" i="83" s="1"/>
  <c r="J26" i="83" a="1"/>
  <c r="J26" i="83" s="1"/>
  <c r="J97" i="83" s="1"/>
  <c r="I26" i="83" a="1"/>
  <c r="I26" i="83" s="1"/>
  <c r="I97" i="83" s="1"/>
  <c r="H26" i="83" a="1"/>
  <c r="H26" i="83" s="1"/>
  <c r="H97" i="83" s="1"/>
  <c r="G26" i="83" a="1"/>
  <c r="G26" i="83" s="1"/>
  <c r="G97" i="83" s="1"/>
  <c r="F26" i="83" a="1"/>
  <c r="F26" i="83" s="1"/>
  <c r="E26" i="83" a="1"/>
  <c r="E26" i="83" s="1"/>
  <c r="D26" i="83" a="1"/>
  <c r="D26" i="83" s="1"/>
  <c r="M25" i="83" a="1"/>
  <c r="M25" i="83" s="1"/>
  <c r="L25" i="83" a="1"/>
  <c r="L25" i="83" s="1"/>
  <c r="M96" i="83" s="1"/>
  <c r="K25" i="83" a="1"/>
  <c r="K25" i="83" s="1"/>
  <c r="J25" i="83" a="1"/>
  <c r="J25" i="83" s="1"/>
  <c r="J96" i="83" s="1"/>
  <c r="I25" i="83" a="1"/>
  <c r="I25" i="83" s="1"/>
  <c r="I96" i="83" s="1"/>
  <c r="H25" i="83" a="1"/>
  <c r="H25" i="83" s="1"/>
  <c r="H96" i="83" s="1"/>
  <c r="G25" i="83" a="1"/>
  <c r="G25" i="83" s="1"/>
  <c r="G96" i="83" s="1"/>
  <c r="F25" i="83" a="1"/>
  <c r="F25" i="83" s="1"/>
  <c r="E25" i="83" a="1"/>
  <c r="E25" i="83" s="1"/>
  <c r="D25" i="83" a="1"/>
  <c r="D25" i="83" s="1"/>
  <c r="M24" i="83" a="1"/>
  <c r="M24" i="83" s="1"/>
  <c r="L24" i="83" a="1"/>
  <c r="L24" i="83" s="1"/>
  <c r="M95" i="83" s="1"/>
  <c r="K24" i="83" a="1"/>
  <c r="K24" i="83" s="1"/>
  <c r="J24" i="83" a="1"/>
  <c r="J24" i="83" s="1"/>
  <c r="J95" i="83" s="1"/>
  <c r="I24" i="83" a="1"/>
  <c r="I24" i="83" s="1"/>
  <c r="I95" i="83" s="1"/>
  <c r="H24" i="83" a="1"/>
  <c r="H24" i="83" s="1"/>
  <c r="H95" i="83" s="1"/>
  <c r="G24" i="83" a="1"/>
  <c r="G24" i="83" s="1"/>
  <c r="G95" i="83" s="1"/>
  <c r="F24" i="83" a="1"/>
  <c r="F24" i="83" s="1"/>
  <c r="E24" i="83" a="1"/>
  <c r="E24" i="83" s="1"/>
  <c r="D24" i="83" a="1"/>
  <c r="D24" i="83" s="1"/>
  <c r="M23" i="83" a="1"/>
  <c r="M23" i="83" s="1"/>
  <c r="L23" i="83" a="1"/>
  <c r="L23" i="83" s="1"/>
  <c r="M94" i="83" s="1"/>
  <c r="K23" i="83" a="1"/>
  <c r="K23" i="83" s="1"/>
  <c r="J23" i="83" a="1"/>
  <c r="J23" i="83" s="1"/>
  <c r="J94" i="83" s="1"/>
  <c r="I23" i="83" a="1"/>
  <c r="I23" i="83" s="1"/>
  <c r="I94" i="83" s="1"/>
  <c r="H23" i="83" a="1"/>
  <c r="H23" i="83" s="1"/>
  <c r="H94" i="83" s="1"/>
  <c r="G23" i="83" a="1"/>
  <c r="G23" i="83" s="1"/>
  <c r="G94" i="83" s="1"/>
  <c r="F23" i="83" a="1"/>
  <c r="F23" i="83" s="1"/>
  <c r="F90" i="83" s="1"/>
  <c r="E23" i="83" a="1"/>
  <c r="E23" i="83" s="1"/>
  <c r="D23" i="83" a="1"/>
  <c r="D23" i="83" s="1"/>
  <c r="M22" i="83" a="1"/>
  <c r="M22" i="83" s="1"/>
  <c r="L22" i="83" a="1"/>
  <c r="L22" i="83" s="1"/>
  <c r="K22" i="83" a="1"/>
  <c r="K22" i="83" s="1"/>
  <c r="J22" i="83" a="1"/>
  <c r="J22" i="83" s="1"/>
  <c r="I22" i="83" a="1"/>
  <c r="I22" i="83" s="1"/>
  <c r="H22" i="83" a="1"/>
  <c r="H22" i="83" s="1"/>
  <c r="G22" i="83" a="1"/>
  <c r="G22" i="83" s="1"/>
  <c r="F22" i="83" a="1"/>
  <c r="F22" i="83" s="1"/>
  <c r="E22" i="83" a="1"/>
  <c r="E22" i="83" s="1"/>
  <c r="D22" i="83" a="1"/>
  <c r="D22" i="83" s="1"/>
  <c r="M21" i="83" a="1"/>
  <c r="M21" i="83" s="1"/>
  <c r="L21" i="83" a="1"/>
  <c r="L21" i="83" s="1"/>
  <c r="M88" i="83" s="1"/>
  <c r="K21" i="83" a="1"/>
  <c r="K21" i="83" s="1"/>
  <c r="J21" i="83" a="1"/>
  <c r="J21" i="83" s="1"/>
  <c r="I21" i="83" a="1"/>
  <c r="I21" i="83" s="1"/>
  <c r="H21" i="83" a="1"/>
  <c r="H21" i="83" s="1"/>
  <c r="G21" i="83" a="1"/>
  <c r="G21" i="83" s="1"/>
  <c r="F21" i="83" a="1"/>
  <c r="F21" i="83" s="1"/>
  <c r="E21" i="83" a="1"/>
  <c r="E21" i="83" s="1"/>
  <c r="D21" i="83" a="1"/>
  <c r="D21" i="83" s="1"/>
  <c r="M20" i="83" a="1"/>
  <c r="M20" i="83" s="1"/>
  <c r="L20" i="83" a="1"/>
  <c r="L20" i="83" s="1"/>
  <c r="K20" i="83" a="1"/>
  <c r="K20" i="83" s="1"/>
  <c r="J20" i="83" a="1"/>
  <c r="J20" i="83" s="1"/>
  <c r="I20" i="83" a="1"/>
  <c r="I20" i="83" s="1"/>
  <c r="H20" i="83" a="1"/>
  <c r="H20" i="83" s="1"/>
  <c r="G20" i="83" a="1"/>
  <c r="G20" i="83" s="1"/>
  <c r="F20" i="83" a="1"/>
  <c r="F20" i="83" s="1"/>
  <c r="E20" i="83" a="1"/>
  <c r="E20" i="83" s="1"/>
  <c r="D20" i="83" a="1"/>
  <c r="D20" i="83" s="1"/>
  <c r="M19" i="83" a="1"/>
  <c r="M19" i="83" s="1"/>
  <c r="L19" i="83" a="1"/>
  <c r="L19" i="83" s="1"/>
  <c r="M86" i="83" s="1"/>
  <c r="K19" i="83" a="1"/>
  <c r="K19" i="83" s="1"/>
  <c r="J19" i="83" a="1"/>
  <c r="J19" i="83" s="1"/>
  <c r="I19" i="83" a="1"/>
  <c r="I19" i="83" s="1"/>
  <c r="H19" i="83" a="1"/>
  <c r="H19" i="83" s="1"/>
  <c r="G19" i="83" a="1"/>
  <c r="G19" i="83" s="1"/>
  <c r="F19" i="83" a="1"/>
  <c r="F19" i="83" s="1"/>
  <c r="F86" i="83" s="1"/>
  <c r="E19" i="83" a="1"/>
  <c r="E19" i="83" s="1"/>
  <c r="D19" i="83" a="1"/>
  <c r="D19" i="83" s="1"/>
  <c r="D17" i="83" a="1"/>
  <c r="D17" i="83" s="1"/>
  <c r="D16" i="83" a="1"/>
  <c r="D16" i="83" s="1"/>
  <c r="D15" i="83" a="1"/>
  <c r="D15" i="83" s="1"/>
  <c r="D14" i="83" a="1"/>
  <c r="D14" i="83" s="1"/>
  <c r="O41" i="82" a="1"/>
  <c r="O41" i="82" s="1"/>
  <c r="F41" i="82" a="1"/>
  <c r="F41" i="82" s="1"/>
  <c r="M38" i="82" a="1"/>
  <c r="M38" i="82" s="1"/>
  <c r="D38" i="82" a="1"/>
  <c r="D38" i="82" s="1"/>
  <c r="P32" i="82" a="1"/>
  <c r="P32" i="82" s="1"/>
  <c r="M32" i="82" a="1"/>
  <c r="M32" i="82" s="1"/>
  <c r="G32" i="82" a="1"/>
  <c r="G32" i="82" s="1"/>
  <c r="D32" i="82" a="1"/>
  <c r="D32" i="82" s="1"/>
  <c r="E30" i="82" a="1"/>
  <c r="E30" i="82" s="1"/>
  <c r="E29" i="82" a="1"/>
  <c r="E29" i="82" s="1"/>
  <c r="D25" i="82" a="1"/>
  <c r="D25" i="82" s="1"/>
  <c r="D24" i="82" a="1"/>
  <c r="D24" i="82" s="1"/>
  <c r="I18" i="82"/>
  <c r="I17" i="82"/>
  <c r="I16" i="82"/>
  <c r="P13" i="82" a="1"/>
  <c r="P13" i="82" s="1"/>
  <c r="M13" i="82" a="1"/>
  <c r="M13" i="82" s="1"/>
  <c r="G13" i="82" a="1"/>
  <c r="G13" i="82" s="1"/>
  <c r="D13" i="82" a="1"/>
  <c r="D13" i="82" s="1"/>
  <c r="E11" i="82" a="1"/>
  <c r="E11" i="82" s="1"/>
  <c r="O20" i="82" s="1"/>
  <c r="E10" i="82" a="1"/>
  <c r="E10" i="82" s="1"/>
  <c r="D6" i="82" a="1"/>
  <c r="D6" i="82" s="1"/>
  <c r="D5" i="82" a="1"/>
  <c r="D5" i="82" s="1"/>
  <c r="P40" i="81" a="1"/>
  <c r="P40" i="81" s="1"/>
  <c r="F40" i="81" a="1"/>
  <c r="F40" i="81" s="1"/>
  <c r="N37" i="81" a="1"/>
  <c r="N37" i="81" s="1"/>
  <c r="D37" i="81" a="1"/>
  <c r="D37" i="81" s="1"/>
  <c r="I32" i="81"/>
  <c r="I31" i="81"/>
  <c r="Q28" i="81" a="1"/>
  <c r="Q28" i="81" s="1"/>
  <c r="N28" i="81" a="1"/>
  <c r="N28" i="81" s="1"/>
  <c r="G28" i="81" a="1"/>
  <c r="G28" i="81" s="1"/>
  <c r="D28" i="81" a="1"/>
  <c r="D28" i="81" s="1"/>
  <c r="E26" i="81" a="1"/>
  <c r="E26" i="81" s="1"/>
  <c r="E25" i="81" a="1"/>
  <c r="E25" i="81" s="1"/>
  <c r="D21" i="81" a="1"/>
  <c r="D21" i="81" s="1"/>
  <c r="D20" i="81" a="1"/>
  <c r="D20" i="81" s="1"/>
  <c r="P16" i="81"/>
  <c r="R13" i="81" a="1"/>
  <c r="R13" i="81" s="1"/>
  <c r="N13" i="81" a="1"/>
  <c r="N13" i="81" s="1"/>
  <c r="H13" i="81" a="1"/>
  <c r="H13" i="81" s="1"/>
  <c r="D13" i="81" a="1"/>
  <c r="D13" i="81" s="1"/>
  <c r="E11" i="81" a="1"/>
  <c r="E11" i="81" s="1"/>
  <c r="F16" i="81" s="1"/>
  <c r="E10" i="81" a="1"/>
  <c r="E10" i="81" s="1"/>
  <c r="D6" i="81" a="1"/>
  <c r="D6" i="81" s="1"/>
  <c r="D5" i="81" a="1"/>
  <c r="D5" i="81" s="1"/>
  <c r="W272" i="80" a="1"/>
  <c r="W272" i="80" s="1"/>
  <c r="U269" i="80" a="1"/>
  <c r="U269" i="80" s="1"/>
  <c r="U265" i="80" a="1"/>
  <c r="U265" i="80" s="1"/>
  <c r="U259" i="80"/>
  <c r="U258" i="80"/>
  <c r="U257" i="80"/>
  <c r="U256" i="80"/>
  <c r="U255" i="80"/>
  <c r="U254" i="80"/>
  <c r="U253" i="80"/>
  <c r="U252" i="80"/>
  <c r="U251" i="80"/>
  <c r="U250" i="80"/>
  <c r="U249" i="80"/>
  <c r="U248" i="80"/>
  <c r="U243" i="80"/>
  <c r="U242" i="80"/>
  <c r="U241" i="80"/>
  <c r="U240" i="80"/>
  <c r="U239" i="80"/>
  <c r="U238" i="80"/>
  <c r="U237" i="80"/>
  <c r="U236" i="80"/>
  <c r="U235" i="80"/>
  <c r="U234" i="80"/>
  <c r="F234" i="80" a="1"/>
  <c r="F234" i="80" s="1"/>
  <c r="U233" i="80"/>
  <c r="U232" i="80"/>
  <c r="D231" i="80" a="1"/>
  <c r="D231" i="80" s="1"/>
  <c r="U227" i="80"/>
  <c r="U226" i="80"/>
  <c r="U225" i="80"/>
  <c r="U224" i="80"/>
  <c r="H224" i="80"/>
  <c r="D224" i="80" a="1"/>
  <c r="D224" i="80" s="1"/>
  <c r="U223" i="80"/>
  <c r="U222" i="80"/>
  <c r="E222" i="80" a="1"/>
  <c r="E222" i="80" s="1"/>
  <c r="U221" i="80"/>
  <c r="E221" i="80" a="1"/>
  <c r="E221" i="80" s="1"/>
  <c r="U220" i="80"/>
  <c r="U219" i="80"/>
  <c r="U218" i="80"/>
  <c r="U217" i="80"/>
  <c r="D217" i="80" a="1"/>
  <c r="D217" i="80" s="1"/>
  <c r="V216" i="80" a="1"/>
  <c r="U216" i="80"/>
  <c r="D216" i="80" a="1"/>
  <c r="D216" i="80" s="1"/>
  <c r="U211" i="80" a="1"/>
  <c r="U211" i="80" s="1"/>
  <c r="U207" i="80"/>
  <c r="U206" i="80"/>
  <c r="U205" i="80"/>
  <c r="U204" i="80"/>
  <c r="U203" i="80"/>
  <c r="U202" i="80"/>
  <c r="U201" i="80"/>
  <c r="U200" i="80"/>
  <c r="U199" i="80"/>
  <c r="E199" i="80" a="1"/>
  <c r="E199" i="80" s="1"/>
  <c r="U198" i="80"/>
  <c r="U197" i="80"/>
  <c r="U196" i="80"/>
  <c r="U191" i="80"/>
  <c r="E191" i="80" a="1"/>
  <c r="E191" i="80" s="1"/>
  <c r="U190" i="80"/>
  <c r="U189" i="80"/>
  <c r="U188" i="80"/>
  <c r="U187" i="80"/>
  <c r="U186" i="80"/>
  <c r="I186" i="80" a="1"/>
  <c r="I186" i="80" s="1"/>
  <c r="U185" i="80"/>
  <c r="I185" i="80" a="1"/>
  <c r="I185" i="80" s="1"/>
  <c r="U184" i="80"/>
  <c r="I184" i="80" a="1"/>
  <c r="I184" i="80" s="1"/>
  <c r="G184" i="80" a="1"/>
  <c r="G184" i="80" s="1"/>
  <c r="D184" i="80" a="1"/>
  <c r="D184" i="80" s="1"/>
  <c r="U183" i="80"/>
  <c r="U182" i="80"/>
  <c r="E182" i="80" a="1"/>
  <c r="E182" i="80" s="1"/>
  <c r="U181" i="80"/>
  <c r="E181" i="80" a="1"/>
  <c r="E181" i="80" s="1"/>
  <c r="U180" i="80"/>
  <c r="D177" i="80" a="1"/>
  <c r="D177" i="80" s="1"/>
  <c r="D176" i="80" a="1"/>
  <c r="D176" i="80" s="1"/>
  <c r="U175" i="80"/>
  <c r="U174" i="80"/>
  <c r="U173" i="80"/>
  <c r="U172" i="80"/>
  <c r="U171" i="80"/>
  <c r="U170" i="80"/>
  <c r="U169" i="80"/>
  <c r="U168" i="80"/>
  <c r="U167" i="80"/>
  <c r="U166" i="80"/>
  <c r="U165" i="80"/>
  <c r="U164" i="80"/>
  <c r="E164" i="80" a="1"/>
  <c r="E164" i="80" s="1"/>
  <c r="E162" i="80" a="1"/>
  <c r="E162" i="80" s="1"/>
  <c r="U151" i="80" a="1"/>
  <c r="U151" i="80" s="1"/>
  <c r="U147" i="80"/>
  <c r="I147" i="80"/>
  <c r="U146" i="80"/>
  <c r="I146" i="80" a="1"/>
  <c r="I146" i="80" s="1"/>
  <c r="U145" i="80"/>
  <c r="I145" i="80" a="1"/>
  <c r="I145" i="80" s="1"/>
  <c r="U144" i="80"/>
  <c r="I144" i="80" a="1"/>
  <c r="I144" i="80" s="1"/>
  <c r="U143" i="80"/>
  <c r="I143" i="80" a="1"/>
  <c r="I143" i="80" s="1"/>
  <c r="U142" i="80"/>
  <c r="I142" i="80" a="1"/>
  <c r="I142" i="80" s="1"/>
  <c r="G142" i="80" a="1"/>
  <c r="G142" i="80" s="1"/>
  <c r="D142" i="80" a="1"/>
  <c r="D142" i="80" s="1"/>
  <c r="U141" i="80"/>
  <c r="U140" i="80"/>
  <c r="E140" i="80" a="1"/>
  <c r="E140" i="80" s="1"/>
  <c r="U139" i="80"/>
  <c r="E139" i="80" a="1"/>
  <c r="E139" i="80" s="1"/>
  <c r="U138" i="80"/>
  <c r="U137" i="80"/>
  <c r="U136" i="80"/>
  <c r="D135" i="80" a="1"/>
  <c r="D135" i="80" s="1"/>
  <c r="D134" i="80" a="1"/>
  <c r="D134" i="80" s="1"/>
  <c r="U131" i="80"/>
  <c r="U130" i="80"/>
  <c r="U129" i="80"/>
  <c r="U128" i="80"/>
  <c r="U127" i="80"/>
  <c r="U126" i="80"/>
  <c r="U125" i="80"/>
  <c r="U124" i="80"/>
  <c r="U123" i="80"/>
  <c r="U122" i="80"/>
  <c r="D122" i="80"/>
  <c r="U121" i="80"/>
  <c r="D121" i="80"/>
  <c r="U120" i="80"/>
  <c r="D120" i="80"/>
  <c r="D119" i="80"/>
  <c r="U115" i="80" a="1"/>
  <c r="U115" i="80" s="1"/>
  <c r="I114" i="80" a="1"/>
  <c r="I114" i="80" s="1"/>
  <c r="I113" i="80" a="1"/>
  <c r="I113" i="80" s="1"/>
  <c r="I112" i="80" a="1"/>
  <c r="I112" i="80" s="1"/>
  <c r="U111" i="80"/>
  <c r="I111" i="80" a="1"/>
  <c r="I111" i="80" s="1"/>
  <c r="G111" i="80" a="1"/>
  <c r="G111" i="80" s="1"/>
  <c r="D111" i="80" a="1"/>
  <c r="D111" i="80" s="1"/>
  <c r="U110" i="80"/>
  <c r="U109" i="80"/>
  <c r="E109" i="80" a="1"/>
  <c r="E109" i="80" s="1"/>
  <c r="U108" i="80"/>
  <c r="E108" i="80" a="1"/>
  <c r="E108" i="80" s="1"/>
  <c r="U107" i="80"/>
  <c r="U106" i="80"/>
  <c r="U105" i="80"/>
  <c r="U104" i="80"/>
  <c r="U103" i="80"/>
  <c r="D103" i="80" a="1"/>
  <c r="D103" i="80" s="1"/>
  <c r="U102" i="80"/>
  <c r="D102" i="80" a="1"/>
  <c r="D102" i="80" s="1"/>
  <c r="U101" i="80"/>
  <c r="U100" i="80"/>
  <c r="D98" i="80"/>
  <c r="D97" i="80"/>
  <c r="D96" i="80"/>
  <c r="D95" i="80"/>
  <c r="U87" i="80" a="1"/>
  <c r="U87" i="80" s="1"/>
  <c r="U83" i="80"/>
  <c r="U82" i="80"/>
  <c r="I82" i="80"/>
  <c r="U81" i="80"/>
  <c r="U80" i="80"/>
  <c r="U79" i="80"/>
  <c r="I79" i="80" a="1"/>
  <c r="I79" i="80" s="1"/>
  <c r="U78" i="80"/>
  <c r="I78" i="80" a="1"/>
  <c r="I78" i="80" s="1"/>
  <c r="G78" i="80" a="1"/>
  <c r="G78" i="80" s="1"/>
  <c r="D78" i="80" a="1"/>
  <c r="D78" i="80" s="1"/>
  <c r="U77" i="80"/>
  <c r="U76" i="80"/>
  <c r="E76" i="80" a="1"/>
  <c r="E76" i="80" s="1"/>
  <c r="U75" i="80"/>
  <c r="E75" i="80" a="1"/>
  <c r="E75" i="80" s="1"/>
  <c r="U74" i="80"/>
  <c r="U73" i="80"/>
  <c r="U72" i="80"/>
  <c r="D70" i="80" a="1"/>
  <c r="D70" i="80" s="1"/>
  <c r="D69" i="80" a="1"/>
  <c r="D69" i="80" s="1"/>
  <c r="U67" i="80"/>
  <c r="U66" i="80"/>
  <c r="U65" i="80"/>
  <c r="U64" i="80"/>
  <c r="U63" i="80"/>
  <c r="U62" i="80"/>
  <c r="U61" i="80"/>
  <c r="U60" i="80"/>
  <c r="U59" i="80"/>
  <c r="U58" i="80"/>
  <c r="U57" i="80"/>
  <c r="U56" i="80"/>
  <c r="U51" i="80" a="1"/>
  <c r="U51" i="80" s="1"/>
  <c r="I49" i="80" a="1"/>
  <c r="I49" i="80" s="1"/>
  <c r="I48" i="80" a="1"/>
  <c r="I48" i="80" s="1"/>
  <c r="G48" i="80" a="1"/>
  <c r="G48" i="80" s="1"/>
  <c r="D48" i="80" a="1"/>
  <c r="D48" i="80" s="1"/>
  <c r="U47" i="80"/>
  <c r="U46" i="80"/>
  <c r="E46" i="80" a="1"/>
  <c r="E46" i="80" s="1"/>
  <c r="U45" i="80"/>
  <c r="E45" i="80" a="1"/>
  <c r="E45" i="80" s="1"/>
  <c r="U44" i="80"/>
  <c r="U43" i="80"/>
  <c r="U42" i="80"/>
  <c r="U41" i="80"/>
  <c r="D41" i="80" a="1"/>
  <c r="D41" i="80" s="1"/>
  <c r="U40" i="80"/>
  <c r="D40" i="80" a="1"/>
  <c r="D40" i="80" s="1"/>
  <c r="U39" i="80"/>
  <c r="U38" i="80"/>
  <c r="U37" i="80"/>
  <c r="U36" i="80"/>
  <c r="D36" i="80"/>
  <c r="D35" i="80"/>
  <c r="D34" i="80"/>
  <c r="D33" i="80"/>
  <c r="U31" i="80"/>
  <c r="U30" i="80"/>
  <c r="U29" i="80"/>
  <c r="U28" i="80"/>
  <c r="U27" i="80"/>
  <c r="U26" i="80"/>
  <c r="U25" i="80"/>
  <c r="U24" i="80"/>
  <c r="U23" i="80"/>
  <c r="D23" i="80"/>
  <c r="U22" i="80"/>
  <c r="D22" i="80"/>
  <c r="U21" i="80"/>
  <c r="D21" i="80"/>
  <c r="U20" i="80"/>
  <c r="D20" i="80"/>
  <c r="H15" i="80"/>
  <c r="H14" i="80" a="1"/>
  <c r="H14" i="80" s="1"/>
  <c r="H13" i="80" a="1"/>
  <c r="H13" i="80" s="1"/>
  <c r="F13" i="80" a="1"/>
  <c r="F13" i="80" s="1"/>
  <c r="D13" i="80" a="1"/>
  <c r="D13" i="80" s="1"/>
  <c r="E11" i="80" a="1"/>
  <c r="E11" i="80" s="1"/>
  <c r="E10" i="80" a="1"/>
  <c r="E10" i="80" s="1"/>
  <c r="D6" i="80" a="1"/>
  <c r="D6" i="80" s="1"/>
  <c r="D5" i="80" a="1"/>
  <c r="D5" i="80" s="1"/>
  <c r="Y281" i="79" a="1"/>
  <c r="Y281" i="79" s="1"/>
  <c r="W278" i="79" a="1"/>
  <c r="W278" i="79" s="1"/>
  <c r="F249" i="79" a="1"/>
  <c r="F249" i="79" s="1"/>
  <c r="W246" i="79"/>
  <c r="X274" i="79" s="1"/>
  <c r="D246" i="79" a="1"/>
  <c r="D246" i="79" s="1"/>
  <c r="W245" i="79"/>
  <c r="X273" i="79" s="1"/>
  <c r="W244" i="79"/>
  <c r="W243" i="79"/>
  <c r="W242" i="79"/>
  <c r="X258" i="79" s="1"/>
  <c r="W241" i="79"/>
  <c r="X257" i="79" s="1"/>
  <c r="W240" i="79"/>
  <c r="X268" i="79" s="1"/>
  <c r="W239" i="79"/>
  <c r="X267" i="79" s="1"/>
  <c r="W238" i="79"/>
  <c r="W237" i="79"/>
  <c r="W236" i="79"/>
  <c r="W235" i="79"/>
  <c r="W230" i="79"/>
  <c r="W229" i="79"/>
  <c r="W228" i="79"/>
  <c r="W227" i="79"/>
  <c r="E227" i="79" a="1"/>
  <c r="E227" i="79" s="1"/>
  <c r="W226" i="79"/>
  <c r="W225" i="79"/>
  <c r="W224" i="79"/>
  <c r="W223" i="79"/>
  <c r="W222" i="79"/>
  <c r="W221" i="79"/>
  <c r="W220" i="79"/>
  <c r="X219" i="79" a="1"/>
  <c r="W219" i="79"/>
  <c r="E219" i="79" a="1"/>
  <c r="I214" i="79" a="1"/>
  <c r="I214" i="79" s="1"/>
  <c r="I213" i="79" a="1"/>
  <c r="I213" i="79" s="1"/>
  <c r="I212" i="79" a="1"/>
  <c r="I212" i="79" s="1"/>
  <c r="G212" i="79" a="1"/>
  <c r="G212" i="79" s="1"/>
  <c r="D212" i="79" a="1"/>
  <c r="D212" i="79" s="1"/>
  <c r="E210" i="79" a="1"/>
  <c r="E210" i="79" s="1"/>
  <c r="E209" i="79" a="1"/>
  <c r="E209" i="79" s="1"/>
  <c r="D205" i="79" a="1"/>
  <c r="D205" i="79" s="1"/>
  <c r="D204" i="79" a="1"/>
  <c r="D204" i="79" s="1"/>
  <c r="I160" i="79"/>
  <c r="AB159" i="79"/>
  <c r="I159" i="79"/>
  <c r="I157" i="79" a="1"/>
  <c r="I157" i="79" s="1"/>
  <c r="I156" i="79" a="1"/>
  <c r="I156" i="79" s="1"/>
  <c r="Z154" i="79" a="1"/>
  <c r="Z154" i="79" s="1"/>
  <c r="W154" i="79" a="1"/>
  <c r="W154" i="79" s="1"/>
  <c r="I154" i="79" a="1"/>
  <c r="I154" i="79" s="1"/>
  <c r="G154" i="79" a="1"/>
  <c r="G154" i="79" s="1"/>
  <c r="D154" i="79" a="1"/>
  <c r="D154" i="79" s="1"/>
  <c r="E152" i="79" a="1"/>
  <c r="E152" i="79" s="1"/>
  <c r="AI198" i="79" s="1"/>
  <c r="E151" i="79" a="1"/>
  <c r="E151" i="79" s="1"/>
  <c r="D147" i="79" a="1"/>
  <c r="D147" i="79" s="1"/>
  <c r="D146" i="79" a="1"/>
  <c r="D146" i="79" s="1"/>
  <c r="W126" i="79"/>
  <c r="W142" i="79" s="1"/>
  <c r="X188" i="79" s="1"/>
  <c r="W125" i="79"/>
  <c r="W141" i="79" s="1"/>
  <c r="W124" i="79"/>
  <c r="W140" i="79" s="1"/>
  <c r="X186" i="79" s="1"/>
  <c r="W123" i="79"/>
  <c r="W139" i="79" s="1"/>
  <c r="X185" i="79" s="1"/>
  <c r="W122" i="79"/>
  <c r="W138" i="79" s="1"/>
  <c r="W121" i="79"/>
  <c r="W137" i="79" s="1"/>
  <c r="X195" i="79" s="1"/>
  <c r="W120" i="79"/>
  <c r="W136" i="79" s="1"/>
  <c r="W119" i="79"/>
  <c r="W135" i="79" s="1"/>
  <c r="W118" i="79"/>
  <c r="W134" i="79" s="1"/>
  <c r="W117" i="79"/>
  <c r="W133" i="79" s="1"/>
  <c r="W116" i="79"/>
  <c r="W132" i="79" s="1"/>
  <c r="X190" i="79" s="1"/>
  <c r="W115" i="79"/>
  <c r="W131" i="79" s="1"/>
  <c r="I109" i="79" a="1"/>
  <c r="I109" i="79" s="1"/>
  <c r="I108" i="79" a="1"/>
  <c r="I108" i="79" s="1"/>
  <c r="G108" i="79" a="1"/>
  <c r="G108" i="79" s="1"/>
  <c r="D108" i="79" a="1"/>
  <c r="D108" i="79" s="1"/>
  <c r="E106" i="79" a="1"/>
  <c r="E106" i="79" s="1"/>
  <c r="AH132" i="79" s="1"/>
  <c r="E105" i="79" a="1"/>
  <c r="E105" i="79" s="1"/>
  <c r="D100" i="79" a="1"/>
  <c r="D100" i="79" s="1"/>
  <c r="D99" i="79" a="1"/>
  <c r="D99" i="79" s="1"/>
  <c r="W87" i="79"/>
  <c r="W86" i="79"/>
  <c r="W85" i="79"/>
  <c r="W84" i="79"/>
  <c r="W83" i="79"/>
  <c r="W82" i="79"/>
  <c r="W81" i="79"/>
  <c r="W80" i="79"/>
  <c r="W79" i="79"/>
  <c r="W78" i="79"/>
  <c r="W77" i="79"/>
  <c r="W76" i="79"/>
  <c r="W71" i="79"/>
  <c r="D71" i="79"/>
  <c r="W70" i="79"/>
  <c r="D70" i="79"/>
  <c r="W69" i="79"/>
  <c r="D69" i="79"/>
  <c r="W68" i="79"/>
  <c r="D68" i="79"/>
  <c r="W67" i="79"/>
  <c r="W66" i="79"/>
  <c r="W65" i="79"/>
  <c r="W64" i="79"/>
  <c r="W63" i="79"/>
  <c r="W62" i="79"/>
  <c r="W61" i="79"/>
  <c r="W60" i="79"/>
  <c r="W55" i="79"/>
  <c r="D55" i="79"/>
  <c r="W54" i="79"/>
  <c r="D54" i="79"/>
  <c r="W53" i="79"/>
  <c r="D53" i="79"/>
  <c r="W52" i="79"/>
  <c r="D52" i="79"/>
  <c r="W51" i="79"/>
  <c r="W50" i="79"/>
  <c r="W49" i="79"/>
  <c r="W48" i="79"/>
  <c r="W47" i="79"/>
  <c r="I47" i="79" a="1"/>
  <c r="I47" i="79" s="1"/>
  <c r="W46" i="79"/>
  <c r="I46" i="79" a="1"/>
  <c r="I46" i="79" s="1"/>
  <c r="W45" i="79"/>
  <c r="I45" i="79" a="1"/>
  <c r="I45" i="79" s="1"/>
  <c r="G45" i="79" a="1"/>
  <c r="G45" i="79" s="1"/>
  <c r="D45" i="79" a="1"/>
  <c r="D45" i="79" s="1"/>
  <c r="W44" i="79"/>
  <c r="E43" i="79" a="1"/>
  <c r="E43" i="79" s="1"/>
  <c r="E42" i="79" a="1"/>
  <c r="E42" i="79" s="1"/>
  <c r="W39" i="79"/>
  <c r="W38" i="79"/>
  <c r="D38" i="79" a="1"/>
  <c r="D38" i="79" s="1"/>
  <c r="W37" i="79"/>
  <c r="D37" i="79" a="1"/>
  <c r="D37" i="79" s="1"/>
  <c r="W36" i="79"/>
  <c r="W35" i="79"/>
  <c r="W34" i="79"/>
  <c r="W33" i="79"/>
  <c r="H33" i="79"/>
  <c r="W32" i="79"/>
  <c r="G32" i="79"/>
  <c r="W31" i="79"/>
  <c r="W30" i="79"/>
  <c r="W29" i="79"/>
  <c r="W28" i="79"/>
  <c r="J16" i="79"/>
  <c r="J13" i="79" a="1"/>
  <c r="J13" i="79" s="1"/>
  <c r="H13" i="79" a="1"/>
  <c r="H13" i="79" s="1"/>
  <c r="D13" i="79" a="1"/>
  <c r="D13" i="79" s="1"/>
  <c r="E11" i="79" a="1"/>
  <c r="E11" i="79" s="1"/>
  <c r="S33" i="79" s="1"/>
  <c r="E10" i="79" a="1"/>
  <c r="E10" i="79" s="1"/>
  <c r="D6" i="79" a="1"/>
  <c r="D6" i="79" s="1"/>
  <c r="D5" i="79" a="1"/>
  <c r="D5" i="79" s="1"/>
  <c r="G185" i="78"/>
  <c r="Z22" i="79" s="1"/>
  <c r="F185" i="78"/>
  <c r="Y22" i="79" s="1"/>
  <c r="E185" i="78"/>
  <c r="D182" i="78"/>
  <c r="K181" i="78"/>
  <c r="J181" i="78"/>
  <c r="K180" i="78"/>
  <c r="L180" i="78" s="1"/>
  <c r="J180" i="78"/>
  <c r="K179" i="78"/>
  <c r="M180" i="78" s="1"/>
  <c r="J179" i="78"/>
  <c r="K178" i="78"/>
  <c r="J178" i="78"/>
  <c r="E178" i="78"/>
  <c r="D184" i="78" s="1"/>
  <c r="W23" i="79" s="1"/>
  <c r="E177" i="78"/>
  <c r="D183" i="78" s="1"/>
  <c r="M171" i="78"/>
  <c r="L171" i="78"/>
  <c r="M170" i="78"/>
  <c r="L170" i="78"/>
  <c r="M169" i="78"/>
  <c r="L169" i="78"/>
  <c r="M168" i="78"/>
  <c r="L168" i="78"/>
  <c r="D168" i="78"/>
  <c r="D144" i="78"/>
  <c r="D143" i="78"/>
  <c r="D142" i="78"/>
  <c r="D141" i="78"/>
  <c r="D140" i="78"/>
  <c r="D139" i="78"/>
  <c r="D138" i="78"/>
  <c r="D137" i="78"/>
  <c r="D136" i="78"/>
  <c r="D135" i="78"/>
  <c r="D134" i="78"/>
  <c r="D133" i="78"/>
  <c r="D122" i="78"/>
  <c r="D121" i="78"/>
  <c r="D120" i="78"/>
  <c r="D119" i="78"/>
  <c r="D118" i="78"/>
  <c r="D117" i="78"/>
  <c r="D116" i="78"/>
  <c r="D115" i="78"/>
  <c r="D114" i="78"/>
  <c r="D113" i="78"/>
  <c r="D112" i="78"/>
  <c r="D111" i="78"/>
  <c r="D100" i="78"/>
  <c r="D99" i="78"/>
  <c r="D98" i="78"/>
  <c r="D97" i="78"/>
  <c r="D96" i="78"/>
  <c r="D95" i="78"/>
  <c r="D94" i="78"/>
  <c r="D93" i="78"/>
  <c r="D92" i="78"/>
  <c r="D91" i="78"/>
  <c r="D90" i="78"/>
  <c r="D89" i="78"/>
  <c r="D78" i="78"/>
  <c r="D77" i="78"/>
  <c r="D76" i="78"/>
  <c r="D75" i="78"/>
  <c r="D74" i="78"/>
  <c r="D73" i="78"/>
  <c r="D72" i="78"/>
  <c r="D71" i="78"/>
  <c r="D70" i="78"/>
  <c r="D69" i="78"/>
  <c r="D68" i="78"/>
  <c r="D67" i="78"/>
  <c r="D56" i="78"/>
  <c r="D55" i="78"/>
  <c r="D54" i="78"/>
  <c r="D53" i="78"/>
  <c r="D52" i="78"/>
  <c r="D51" i="78"/>
  <c r="D50" i="78"/>
  <c r="D49" i="78"/>
  <c r="D48" i="78"/>
  <c r="D47" i="78"/>
  <c r="D46" i="78"/>
  <c r="D45" i="78"/>
  <c r="D34" i="78"/>
  <c r="E34" i="78" s="1"/>
  <c r="D33" i="78"/>
  <c r="G33" i="78" s="1"/>
  <c r="D32" i="78"/>
  <c r="D31" i="78"/>
  <c r="L31" i="78" s="1"/>
  <c r="D30" i="78"/>
  <c r="L30" i="78" s="1"/>
  <c r="D29" i="78"/>
  <c r="F29" i="78" s="1"/>
  <c r="D28" i="78"/>
  <c r="F28" i="78" s="1"/>
  <c r="D27" i="78"/>
  <c r="K27" i="78" s="1"/>
  <c r="D26" i="78"/>
  <c r="D25" i="78"/>
  <c r="E25" i="78" s="1"/>
  <c r="D24" i="78"/>
  <c r="E24" i="78" s="1"/>
  <c r="D23" i="78"/>
  <c r="J23" i="78" s="1"/>
  <c r="E7" i="78"/>
  <c r="O42" i="113"/>
  <c r="E203" i="112" a="1"/>
  <c r="E27" i="105"/>
  <c r="E118" i="91" a="1"/>
  <c r="E7" i="82" a="1"/>
  <c r="E42" i="113"/>
  <c r="E151" i="112" a="1"/>
  <c r="E7" i="102" a="1"/>
  <c r="E43" i="91" a="1"/>
  <c r="E22" i="81"/>
  <c r="E7" i="89" a="1"/>
  <c r="E508" i="112"/>
  <c r="E43" i="88" a="1"/>
  <c r="E7" i="88" a="1"/>
  <c r="E7" i="87" a="1"/>
  <c r="O79" i="113"/>
  <c r="E100" i="112" a="1"/>
  <c r="L8" i="99" a="1"/>
  <c r="E218" i="80"/>
  <c r="O7" i="113"/>
  <c r="E418" i="112" a="1"/>
  <c r="E7" i="98" a="1"/>
  <c r="E42" i="80" a="1"/>
  <c r="O61" i="113" a="1"/>
  <c r="E385" i="112" a="1"/>
  <c r="E99" i="102" a="1"/>
  <c r="E7" i="90" a="1"/>
  <c r="E7" i="81" a="1"/>
  <c r="E79" i="113"/>
  <c r="L7" i="98" a="1"/>
  <c r="E136" i="80" a="1"/>
  <c r="E561" i="112" a="1"/>
  <c r="E25" i="95"/>
  <c r="E7" i="80" a="1"/>
  <c r="E174" i="112" a="1"/>
  <c r="E73" i="85" a="1"/>
  <c r="E61" i="113" a="1"/>
  <c r="E355" i="112" a="1"/>
  <c r="E7" i="99" a="1"/>
  <c r="E38" i="89" a="1"/>
  <c r="E178" i="80" a="1"/>
  <c r="E523" i="112"/>
  <c r="E49" i="92" a="1"/>
  <c r="E594" i="112" a="1"/>
  <c r="E8" i="95"/>
  <c r="E104" i="80" a="1"/>
  <c r="E290" i="112" a="1"/>
  <c r="E7" i="92" a="1"/>
  <c r="E148" i="79" a="1"/>
  <c r="E7" i="112" a="1"/>
  <c r="N60" i="87" a="1"/>
  <c r="E30" i="106" a="1"/>
  <c r="E206" i="79" a="1"/>
  <c r="E540" i="112"/>
  <c r="E42" i="87" a="1"/>
  <c r="E323" i="112" a="1"/>
  <c r="E188" i="112" a="1"/>
  <c r="O27" i="105"/>
  <c r="E90" i="91" a="1"/>
  <c r="E7" i="91" a="1"/>
  <c r="E83" i="92"/>
  <c r="E26" i="113" a="1"/>
  <c r="E258" i="112" a="1"/>
  <c r="E94" i="85" a="1"/>
  <c r="E35" i="85" a="1"/>
  <c r="E7" i="105" a="1"/>
  <c r="E101" i="79" a="1"/>
  <c r="O26" i="113" a="1"/>
  <c r="E26" i="82"/>
  <c r="E7" i="113"/>
  <c r="E39" i="79" a="1"/>
  <c r="E7" i="106" a="1"/>
  <c r="D19" i="88" l="1" a="1"/>
  <c r="M27" i="98" a="1"/>
  <c r="M27" i="98" s="1"/>
  <c r="M32" i="98" a="1"/>
  <c r="M32" i="98" s="1"/>
  <c r="E72" i="92"/>
  <c r="E109" i="91"/>
  <c r="M35" i="99" a="1"/>
  <c r="M35" i="99" s="1"/>
  <c r="M33" i="98" a="1"/>
  <c r="M33" i="98" s="1"/>
  <c r="M36" i="99" a="1"/>
  <c r="M36" i="99" s="1"/>
  <c r="L36" i="99" a="1"/>
  <c r="L36" i="99" s="1"/>
  <c r="E20" i="104"/>
  <c r="T14" i="105"/>
  <c r="D51" i="109"/>
  <c r="D162" i="112" s="1"/>
  <c r="F162" i="112" s="1" a="1"/>
  <c r="F162" i="112" s="1"/>
  <c r="D164" i="112"/>
  <c r="F164" i="112" s="1" a="1"/>
  <c r="F164" i="112" s="1"/>
  <c r="D163" i="112"/>
  <c r="F163" i="112" s="1" a="1"/>
  <c r="F163" i="112" s="1"/>
  <c r="L181" i="78"/>
  <c r="M178" i="78"/>
  <c r="E73" i="92"/>
  <c r="E110" i="91"/>
  <c r="W244" i="112" a="1"/>
  <c r="W244" i="112" s="1"/>
  <c r="G39" i="98" a="1"/>
  <c r="G39" i="98" s="1"/>
  <c r="M30" i="99" a="1"/>
  <c r="M30" i="99" s="1"/>
  <c r="M33" i="99" a="1"/>
  <c r="M33" i="99" s="1"/>
  <c r="E76" i="112" a="1"/>
  <c r="E76" i="112" s="1"/>
  <c r="L181" i="84"/>
  <c r="M178" i="84"/>
  <c r="N178" i="84" s="1"/>
  <c r="O178" i="84" s="1"/>
  <c r="L30" i="98" a="1"/>
  <c r="L30" i="98" s="1"/>
  <c r="M30" i="98" a="1"/>
  <c r="M30" i="98" s="1"/>
  <c r="D56" i="109"/>
  <c r="D136" i="112" s="1"/>
  <c r="F136" i="112" s="1" a="1"/>
  <c r="F136" i="112" s="1"/>
  <c r="D139" i="112"/>
  <c r="F139" i="112" s="1" a="1"/>
  <c r="F139" i="112" s="1"/>
  <c r="D138" i="112"/>
  <c r="F138" i="112" s="1" a="1"/>
  <c r="F138" i="112" s="1"/>
  <c r="D137" i="112"/>
  <c r="F137" i="112" s="1" a="1"/>
  <c r="F137" i="112" s="1"/>
  <c r="I174" i="114"/>
  <c r="H194" i="114"/>
  <c r="W22" i="79"/>
  <c r="X33" i="79" s="1" a="1"/>
  <c r="X33" i="79" s="1"/>
  <c r="Y33" i="79" s="1" a="1"/>
  <c r="Y33" i="79" s="1"/>
  <c r="AD33" i="79" s="1" a="1"/>
  <c r="AD33" i="79" s="1"/>
  <c r="U92" i="80"/>
  <c r="M27" i="99" a="1"/>
  <c r="M27" i="99" s="1"/>
  <c r="L27" i="99" a="1"/>
  <c r="L27" i="99" s="1"/>
  <c r="M38" i="99" a="1"/>
  <c r="M38" i="99" s="1"/>
  <c r="X22" i="79"/>
  <c r="V92" i="80"/>
  <c r="L36" i="98" a="1"/>
  <c r="L36" i="98" s="1"/>
  <c r="M36" i="98" a="1"/>
  <c r="M36" i="98" s="1"/>
  <c r="M35" i="98" a="1"/>
  <c r="M35" i="98" s="1"/>
  <c r="L35" i="98" a="1"/>
  <c r="L35" i="98" s="1"/>
  <c r="F13" i="86"/>
  <c r="P14" i="86" a="1"/>
  <c r="P14" i="86" s="1"/>
  <c r="F16" i="86"/>
  <c r="G30" i="98" a="1"/>
  <c r="G30" i="98" s="1"/>
  <c r="H33" i="98" a="1"/>
  <c r="H33" i="98" s="1"/>
  <c r="I36" i="98" a="1"/>
  <c r="I36" i="98" s="1"/>
  <c r="I39" i="98" a="1"/>
  <c r="I39" i="98" s="1"/>
  <c r="I28" i="99"/>
  <c r="E35" i="99"/>
  <c r="G39" i="99"/>
  <c r="I31" i="112" a="1"/>
  <c r="I31" i="112" s="1"/>
  <c r="F367" i="112" a="1"/>
  <c r="I33" i="113"/>
  <c r="N13" i="86" a="1"/>
  <c r="N13" i="86" s="1"/>
  <c r="Q14" i="86" a="1"/>
  <c r="Q14" i="86" s="1"/>
  <c r="G16" i="86"/>
  <c r="H30" i="98" a="1"/>
  <c r="H30" i="98" s="1"/>
  <c r="I33" i="98" a="1"/>
  <c r="I33" i="98" s="1"/>
  <c r="J36" i="98" a="1"/>
  <c r="J36" i="98" s="1"/>
  <c r="J28" i="99"/>
  <c r="H39" i="99"/>
  <c r="I32" i="112" a="1"/>
  <c r="I32" i="112" s="1"/>
  <c r="Y119" i="112"/>
  <c r="L38" i="98" a="1"/>
  <c r="L38" i="98" s="1"/>
  <c r="O13" i="86" a="1"/>
  <c r="O13" i="86" s="1"/>
  <c r="S14" i="86" a="1"/>
  <c r="S14" i="86" s="1"/>
  <c r="J16" i="86" a="1"/>
  <c r="J16" i="86" s="1"/>
  <c r="E111" i="91"/>
  <c r="I30" i="98" a="1"/>
  <c r="I30" i="98" s="1"/>
  <c r="J33" i="98" a="1"/>
  <c r="J33" i="98" s="1"/>
  <c r="H25" i="99"/>
  <c r="I39" i="99"/>
  <c r="E58" i="112" a="1"/>
  <c r="E58" i="112" s="1"/>
  <c r="Q237" i="112"/>
  <c r="H28" i="99"/>
  <c r="G28" i="99"/>
  <c r="P13" i="86" a="1"/>
  <c r="P13" i="86" s="1"/>
  <c r="F15" i="86"/>
  <c r="K16" i="86" a="1"/>
  <c r="K16" i="86" s="1"/>
  <c r="G27" i="98" a="1"/>
  <c r="G27" i="98" s="1"/>
  <c r="J30" i="98" a="1"/>
  <c r="J30" i="98" s="1"/>
  <c r="I25" i="99"/>
  <c r="E32" i="99"/>
  <c r="G36" i="99"/>
  <c r="E367" i="112"/>
  <c r="G367" i="112" s="1" a="1"/>
  <c r="G367" i="112" s="1"/>
  <c r="G370" i="112" a="1"/>
  <c r="G370" i="112" s="1"/>
  <c r="G369" i="112" a="1"/>
  <c r="G369" i="112" s="1"/>
  <c r="G376" i="112" a="1"/>
  <c r="G376" i="112" s="1"/>
  <c r="G375" i="112" a="1"/>
  <c r="G375" i="112" s="1"/>
  <c r="G374" i="112" a="1"/>
  <c r="G374" i="112" s="1"/>
  <c r="G373" i="112" a="1"/>
  <c r="G373" i="112" s="1"/>
  <c r="G372" i="112" a="1"/>
  <c r="G372" i="112" s="1"/>
  <c r="G371" i="112" a="1"/>
  <c r="G371" i="112" s="1"/>
  <c r="G448" i="112" a="1"/>
  <c r="G448" i="112" s="1"/>
  <c r="I69" i="113"/>
  <c r="F12" i="86"/>
  <c r="Q13" i="86" a="1"/>
  <c r="Q13" i="86" s="1"/>
  <c r="G15" i="86"/>
  <c r="S16" i="86" a="1"/>
  <c r="S16" i="86" s="1"/>
  <c r="H27" i="98" a="1"/>
  <c r="H27" i="98" s="1"/>
  <c r="J31" i="98" a="1"/>
  <c r="J31" i="98" s="1"/>
  <c r="I34" i="98" a="1"/>
  <c r="I34" i="98" s="1"/>
  <c r="J25" i="99"/>
  <c r="E33" i="99"/>
  <c r="H36" i="99"/>
  <c r="P123" i="112" a="1"/>
  <c r="P123" i="112" s="1"/>
  <c r="U237" i="112"/>
  <c r="W242" i="112" a="1"/>
  <c r="W242" i="112" s="1"/>
  <c r="D183" i="84"/>
  <c r="V22" i="85"/>
  <c r="J37" i="99"/>
  <c r="I37" i="99"/>
  <c r="H37" i="99"/>
  <c r="G37" i="99"/>
  <c r="L14" i="109"/>
  <c r="F470" i="112" a="1"/>
  <c r="F470" i="112" s="1"/>
  <c r="G12" i="86"/>
  <c r="R13" i="86" a="1"/>
  <c r="R13" i="86" s="1"/>
  <c r="J15" i="86" a="1"/>
  <c r="J15" i="86" s="1"/>
  <c r="T16" i="86" a="1"/>
  <c r="T16" i="86" s="1"/>
  <c r="I21" i="97"/>
  <c r="L39" i="98" s="1" a="1"/>
  <c r="L39" i="98" s="1"/>
  <c r="I27" i="98" a="1"/>
  <c r="I27" i="98" s="1"/>
  <c r="K31" i="98" a="1"/>
  <c r="K31" i="98" s="1"/>
  <c r="J34" i="98" a="1"/>
  <c r="J34" i="98" s="1"/>
  <c r="E29" i="99"/>
  <c r="I36" i="99"/>
  <c r="G368" i="112" a="1"/>
  <c r="G368" i="112" s="1"/>
  <c r="O14" i="109"/>
  <c r="J87" i="113"/>
  <c r="K12" i="86" a="1"/>
  <c r="K12" i="86" s="1"/>
  <c r="R221" i="112" s="1" a="1"/>
  <c r="R221" i="112" s="1"/>
  <c r="S13" i="86" a="1"/>
  <c r="S13" i="86" s="1"/>
  <c r="K15" i="86" a="1"/>
  <c r="K15" i="86" s="1"/>
  <c r="U16" i="86" a="1"/>
  <c r="U16" i="86" s="1"/>
  <c r="E69" i="92"/>
  <c r="I28" i="98" a="1"/>
  <c r="I28" i="98" s="1"/>
  <c r="K34" i="98" a="1"/>
  <c r="K34" i="98" s="1"/>
  <c r="L37" i="98" a="1"/>
  <c r="L37" i="98" s="1"/>
  <c r="L25" i="99" a="1"/>
  <c r="L25" i="99" s="1"/>
  <c r="E30" i="99"/>
  <c r="J36" i="99"/>
  <c r="Y237" i="112"/>
  <c r="AA245" i="112" a="1"/>
  <c r="AA245" i="112" s="1"/>
  <c r="P22" i="86"/>
  <c r="G183" i="114"/>
  <c r="P21" i="86"/>
  <c r="D19" i="91" a="1"/>
  <c r="D60" i="87" a="1"/>
  <c r="D60" i="87" s="1"/>
  <c r="D58" i="88" a="1"/>
  <c r="D58" i="88" s="1"/>
  <c r="D23" i="92" a="1"/>
  <c r="D23" i="92" s="1"/>
  <c r="D59" i="91" a="1"/>
  <c r="D59" i="91" s="1"/>
  <c r="D19" i="87" a="1"/>
  <c r="K26" i="99"/>
  <c r="J26" i="99"/>
  <c r="I26" i="99"/>
  <c r="H26" i="99"/>
  <c r="G26" i="99"/>
  <c r="I31" i="99"/>
  <c r="H31" i="99"/>
  <c r="G31" i="99"/>
  <c r="M32" i="99" a="1"/>
  <c r="M32" i="99" s="1"/>
  <c r="M40" i="99" a="1"/>
  <c r="M40" i="99" s="1"/>
  <c r="K90" i="114"/>
  <c r="M89" i="114" s="1"/>
  <c r="P126" i="112" a="1"/>
  <c r="P126" i="112" s="1"/>
  <c r="P128" i="112" a="1"/>
  <c r="P128" i="112" s="1"/>
  <c r="P122" i="112" a="1"/>
  <c r="P122" i="112" s="1"/>
  <c r="P121" i="112" a="1"/>
  <c r="P121" i="112" s="1"/>
  <c r="P119" i="112" a="1"/>
  <c r="P119" i="112" s="1"/>
  <c r="P127" i="112" a="1"/>
  <c r="P127" i="112" s="1"/>
  <c r="P120" i="112" a="1"/>
  <c r="P120" i="112" s="1"/>
  <c r="D270" i="112" a="1"/>
  <c r="Q12" i="86" a="1"/>
  <c r="Q12" i="86" s="1"/>
  <c r="T13" i="86" a="1"/>
  <c r="T13" i="86" s="1"/>
  <c r="L15" i="86" a="1"/>
  <c r="L15" i="86" s="1"/>
  <c r="J28" i="98" a="1"/>
  <c r="J28" i="98" s="1"/>
  <c r="L34" i="98" a="1"/>
  <c r="L34" i="98" s="1"/>
  <c r="P125" i="112" a="1"/>
  <c r="P125" i="112" s="1"/>
  <c r="R12" i="86" a="1"/>
  <c r="R12" i="86" s="1"/>
  <c r="M15" i="86" a="1"/>
  <c r="M15" i="86" s="1"/>
  <c r="W16" i="86"/>
  <c r="E70" i="92"/>
  <c r="K28" i="98" a="1"/>
  <c r="K28" i="98" s="1"/>
  <c r="E38" i="98"/>
  <c r="K37" i="99"/>
  <c r="G25" i="99"/>
  <c r="E300" i="112" a="1"/>
  <c r="E300" i="112" s="1"/>
  <c r="E302" i="112" a="1"/>
  <c r="E302" i="112" s="1"/>
  <c r="E301" i="112" a="1"/>
  <c r="E301" i="112" s="1"/>
  <c r="S12" i="86" a="1"/>
  <c r="S12" i="86" s="1"/>
  <c r="K14" i="86" a="1"/>
  <c r="K14" i="86" s="1"/>
  <c r="N15" i="86" a="1"/>
  <c r="N15" i="86" s="1"/>
  <c r="X16" i="86"/>
  <c r="M38" i="98" a="1"/>
  <c r="M38" i="98" s="1"/>
  <c r="E27" i="99"/>
  <c r="L162" i="80" a="1"/>
  <c r="L162" i="80" s="1"/>
  <c r="I81" i="80" a="1"/>
  <c r="I81" i="80" s="1"/>
  <c r="H162" i="80" a="1"/>
  <c r="H162" i="80" s="1"/>
  <c r="I80" i="80" a="1"/>
  <c r="I80" i="80" s="1"/>
  <c r="F162" i="80" a="1"/>
  <c r="F162" i="80" s="1"/>
  <c r="I176" i="114"/>
  <c r="H196" i="114"/>
  <c r="L179" i="78"/>
  <c r="M29" i="99" a="1"/>
  <c r="M29" i="99" s="1"/>
  <c r="L29" i="99" a="1"/>
  <c r="L29" i="99" s="1"/>
  <c r="I530" i="112" a="1"/>
  <c r="I530" i="112" s="1"/>
  <c r="T12" i="86" a="1"/>
  <c r="T12" i="86" s="1"/>
  <c r="L14" i="86" a="1"/>
  <c r="L14" i="86" s="1"/>
  <c r="P15" i="86" a="1"/>
  <c r="P15" i="86" s="1"/>
  <c r="P20" i="86"/>
  <c r="O50" i="87" s="1" a="1"/>
  <c r="W92" i="80"/>
  <c r="E71" i="92"/>
  <c r="J25" i="98" a="1"/>
  <c r="J25" i="98" s="1"/>
  <c r="E430" i="112"/>
  <c r="G430" i="112" s="1" a="1"/>
  <c r="G430" i="112" s="1"/>
  <c r="G431" i="112" a="1"/>
  <c r="G431" i="112" s="1"/>
  <c r="G437" i="112" a="1"/>
  <c r="G437" i="112" s="1"/>
  <c r="G436" i="112" a="1"/>
  <c r="G436" i="112" s="1"/>
  <c r="G435" i="112" a="1"/>
  <c r="G435" i="112" s="1"/>
  <c r="H435" i="112" s="1" a="1"/>
  <c r="H435" i="112" s="1"/>
  <c r="G434" i="112" a="1"/>
  <c r="G434" i="112" s="1"/>
  <c r="H434" i="112" s="1" a="1"/>
  <c r="H434" i="112" s="1"/>
  <c r="G433" i="112" a="1"/>
  <c r="G433" i="112" s="1"/>
  <c r="G432" i="112" a="1"/>
  <c r="G432" i="112" s="1"/>
  <c r="H432" i="112" s="1" a="1"/>
  <c r="H432" i="112" s="1"/>
  <c r="I177" i="114"/>
  <c r="D185" i="78"/>
  <c r="L178" i="78"/>
  <c r="L178" i="84"/>
  <c r="F106" i="91" a="1"/>
  <c r="F106" i="91" s="1"/>
  <c r="E138" i="91" s="1"/>
  <c r="H195" i="114"/>
  <c r="I175" i="114"/>
  <c r="I34" i="99"/>
  <c r="H34" i="99"/>
  <c r="G34" i="99"/>
  <c r="U12" i="86" a="1"/>
  <c r="U12" i="86" s="1"/>
  <c r="M14" i="86" a="1"/>
  <c r="M14" i="86" s="1"/>
  <c r="X92" i="80"/>
  <c r="K25" i="98" a="1"/>
  <c r="K25" i="98" s="1"/>
  <c r="E33" i="98"/>
  <c r="M39" i="98" a="1"/>
  <c r="M39" i="98" s="1"/>
  <c r="K34" i="99"/>
  <c r="E38" i="99"/>
  <c r="W241" i="112" a="1"/>
  <c r="W241" i="112" s="1"/>
  <c r="G174" i="114"/>
  <c r="AB120" i="112" s="1" a="1"/>
  <c r="AB120" i="112" s="1"/>
  <c r="G177" i="114"/>
  <c r="G176" i="114"/>
  <c r="G175" i="114"/>
  <c r="X34" i="79" a="1"/>
  <c r="X34" i="79" s="1"/>
  <c r="Y34" i="79" s="1" a="1"/>
  <c r="Y34" i="79" s="1"/>
  <c r="M179" i="84"/>
  <c r="E105" i="91"/>
  <c r="E68" i="92"/>
  <c r="J15" i="85" a="1"/>
  <c r="J15" i="85" s="1"/>
  <c r="G196" i="114"/>
  <c r="AA244" i="112" s="1" a="1"/>
  <c r="AA244" i="112" s="1"/>
  <c r="G194" i="114"/>
  <c r="G197" i="114"/>
  <c r="I15" i="95" a="1"/>
  <c r="I15" i="95" s="1"/>
  <c r="J40" i="99"/>
  <c r="I40" i="99"/>
  <c r="H40" i="99"/>
  <c r="G40" i="99"/>
  <c r="M29" i="98" a="1"/>
  <c r="M29" i="98" s="1"/>
  <c r="J138" i="102" a="1"/>
  <c r="J138" i="102" s="1"/>
  <c r="J121" i="102" a="1"/>
  <c r="J121" i="102" s="1"/>
  <c r="D59" i="102" a="1"/>
  <c r="J126" i="102" a="1"/>
  <c r="J126" i="102" s="1"/>
  <c r="D21" i="102" a="1"/>
  <c r="J122" i="102" a="1"/>
  <c r="J122" i="102" s="1"/>
  <c r="D116" i="102" a="1"/>
  <c r="D116" i="102" s="1"/>
  <c r="N14" i="86" a="1"/>
  <c r="N14" i="86" s="1"/>
  <c r="U93" i="80"/>
  <c r="V102" i="80" s="1" a="1"/>
  <c r="V102" i="80" s="1"/>
  <c r="W102" i="80" s="1" a="1"/>
  <c r="W102" i="80" s="1"/>
  <c r="AC102" i="80" s="1" a="1"/>
  <c r="AC102" i="80" s="1"/>
  <c r="L25" i="98" a="1"/>
  <c r="L25" i="98" s="1"/>
  <c r="G36" i="98" a="1"/>
  <c r="G36" i="98" s="1"/>
  <c r="J31" i="99"/>
  <c r="L34" i="99" a="1"/>
  <c r="L34" i="99" s="1"/>
  <c r="U119" i="112"/>
  <c r="S242" i="112" a="1"/>
  <c r="S242" i="112" s="1"/>
  <c r="G438" i="112" a="1"/>
  <c r="G438" i="112" s="1"/>
  <c r="J118" i="102" a="1"/>
  <c r="J118" i="102" s="1"/>
  <c r="D157" i="102" a="1"/>
  <c r="J164" i="102" s="1" a="1"/>
  <c r="J164" i="102" s="1"/>
  <c r="E112" i="91"/>
  <c r="E75" i="92"/>
  <c r="M16" i="86" a="1"/>
  <c r="M16" i="86" s="1"/>
  <c r="L16" i="86" a="1"/>
  <c r="L16" i="86" s="1"/>
  <c r="O15" i="86" a="1"/>
  <c r="O15" i="86" s="1"/>
  <c r="R14" i="86" a="1"/>
  <c r="R14" i="86" s="1"/>
  <c r="U13" i="86" a="1"/>
  <c r="U13" i="86" s="1"/>
  <c r="X12" i="86"/>
  <c r="J12" i="86" a="1"/>
  <c r="J12" i="86" s="1"/>
  <c r="R16" i="86" a="1"/>
  <c r="R16" i="86" s="1"/>
  <c r="U15" i="86" a="1"/>
  <c r="U15" i="86" s="1"/>
  <c r="X14" i="86"/>
  <c r="J14" i="86" a="1"/>
  <c r="J14" i="86" s="1"/>
  <c r="M13" i="86" a="1"/>
  <c r="M13" i="86" s="1"/>
  <c r="P12" i="86" a="1"/>
  <c r="P12" i="86" s="1"/>
  <c r="AC221" i="112" s="1" a="1"/>
  <c r="Q16" i="86" a="1"/>
  <c r="Q16" i="86" s="1"/>
  <c r="T15" i="86" a="1"/>
  <c r="T15" i="86" s="1"/>
  <c r="W14" i="86"/>
  <c r="G14" i="86"/>
  <c r="L13" i="86" a="1"/>
  <c r="L13" i="86" s="1"/>
  <c r="O12" i="86" a="1"/>
  <c r="O12" i="86" s="1"/>
  <c r="P16" i="86" a="1"/>
  <c r="P16" i="86" s="1"/>
  <c r="S15" i="86" a="1"/>
  <c r="S15" i="86" s="1"/>
  <c r="F14" i="86"/>
  <c r="K13" i="86" a="1"/>
  <c r="K13" i="86" s="1"/>
  <c r="N12" i="86" a="1"/>
  <c r="N12" i="86" s="1"/>
  <c r="O16" i="86" a="1"/>
  <c r="O16" i="86" s="1"/>
  <c r="R15" i="86" a="1"/>
  <c r="R15" i="86" s="1"/>
  <c r="U14" i="86" a="1"/>
  <c r="U14" i="86" s="1"/>
  <c r="X13" i="86"/>
  <c r="J13" i="86" a="1"/>
  <c r="J13" i="86" s="1"/>
  <c r="M12" i="86" a="1"/>
  <c r="M12" i="86" s="1"/>
  <c r="N16" i="86" a="1"/>
  <c r="N16" i="86" s="1"/>
  <c r="Q15" i="86" a="1"/>
  <c r="Q15" i="86" s="1"/>
  <c r="T14" i="86" a="1"/>
  <c r="T14" i="86" s="1"/>
  <c r="W13" i="86"/>
  <c r="G13" i="86"/>
  <c r="L12" i="86" a="1"/>
  <c r="L12" i="86" s="1"/>
  <c r="M179" i="78"/>
  <c r="J15" i="79" a="1"/>
  <c r="J15" i="79" s="1"/>
  <c r="X28" i="79" a="1"/>
  <c r="X28" i="79" s="1"/>
  <c r="I23" i="112" a="1"/>
  <c r="I23" i="112" s="1"/>
  <c r="E39" i="112" a="1"/>
  <c r="E39" i="112" s="1"/>
  <c r="I29" i="112" a="1"/>
  <c r="I29" i="112" s="1"/>
  <c r="I28" i="112" a="1"/>
  <c r="I28" i="112" s="1"/>
  <c r="I27" i="112" a="1"/>
  <c r="I27" i="112" s="1"/>
  <c r="I26" i="112" a="1"/>
  <c r="I26" i="112" s="1"/>
  <c r="I25" i="112" a="1"/>
  <c r="I25" i="112" s="1"/>
  <c r="I24" i="112" a="1"/>
  <c r="I24" i="112" s="1"/>
  <c r="M181" i="84"/>
  <c r="K39" i="98" a="1"/>
  <c r="K39" i="98" s="1"/>
  <c r="G38" i="98" a="1"/>
  <c r="G38" i="98" s="1"/>
  <c r="G35" i="98" a="1"/>
  <c r="G35" i="98" s="1"/>
  <c r="H32" i="98" a="1"/>
  <c r="H32" i="98" s="1"/>
  <c r="G29" i="98" a="1"/>
  <c r="G29" i="98" s="1"/>
  <c r="K27" i="98" a="1"/>
  <c r="K27" i="98" s="1"/>
  <c r="J39" i="98" a="1"/>
  <c r="J39" i="98" s="1"/>
  <c r="K36" i="98" a="1"/>
  <c r="K36" i="98" s="1"/>
  <c r="K33" i="98" a="1"/>
  <c r="K33" i="98" s="1"/>
  <c r="G32" i="98" a="1"/>
  <c r="G32" i="98" s="1"/>
  <c r="K30" i="98" a="1"/>
  <c r="K30" i="98" s="1"/>
  <c r="J27" i="98" a="1"/>
  <c r="J27" i="98" s="1"/>
  <c r="H34" i="98" a="1"/>
  <c r="H34" i="98" s="1"/>
  <c r="I31" i="98" a="1"/>
  <c r="I31" i="98" s="1"/>
  <c r="H28" i="98" a="1"/>
  <c r="H28" i="98" s="1"/>
  <c r="G25" i="98" a="1"/>
  <c r="G25" i="98" s="1"/>
  <c r="K38" i="98" a="1"/>
  <c r="K38" i="98" s="1"/>
  <c r="G37" i="98" a="1"/>
  <c r="G37" i="98" s="1"/>
  <c r="G34" i="98" a="1"/>
  <c r="G34" i="98" s="1"/>
  <c r="H31" i="98" a="1"/>
  <c r="H31" i="98" s="1"/>
  <c r="G28" i="98" a="1"/>
  <c r="G28" i="98" s="1"/>
  <c r="K26" i="98" a="1"/>
  <c r="K26" i="98" s="1"/>
  <c r="K35" i="98" a="1"/>
  <c r="K35" i="98" s="1"/>
  <c r="G31" i="98" a="1"/>
  <c r="G31" i="98" s="1"/>
  <c r="K29" i="98" a="1"/>
  <c r="K29" i="98" s="1"/>
  <c r="J26" i="98" a="1"/>
  <c r="J26" i="98" s="1"/>
  <c r="E25" i="98"/>
  <c r="I25" i="98" s="1" a="1"/>
  <c r="I25" i="98" s="1"/>
  <c r="I38" i="98" a="1"/>
  <c r="I38" i="98" s="1"/>
  <c r="E37" i="98"/>
  <c r="J35" i="98" a="1"/>
  <c r="J35" i="98" s="1"/>
  <c r="K32" i="98" a="1"/>
  <c r="K32" i="98" s="1"/>
  <c r="J29" i="98" a="1"/>
  <c r="J29" i="98" s="1"/>
  <c r="I26" i="98" a="1"/>
  <c r="I26" i="98" s="1"/>
  <c r="I35" i="98" a="1"/>
  <c r="I35" i="98" s="1"/>
  <c r="J32" i="98" a="1"/>
  <c r="J32" i="98" s="1"/>
  <c r="I29" i="98" a="1"/>
  <c r="I29" i="98" s="1"/>
  <c r="H26" i="98" a="1"/>
  <c r="H26" i="98" s="1"/>
  <c r="H35" i="98" a="1"/>
  <c r="H35" i="98" s="1"/>
  <c r="I32" i="98" a="1"/>
  <c r="I32" i="98" s="1"/>
  <c r="H29" i="98" a="1"/>
  <c r="H29" i="98" s="1"/>
  <c r="G26" i="98" a="1"/>
  <c r="G26" i="98" s="1"/>
  <c r="I17" i="103"/>
  <c r="E157" i="102" a="1"/>
  <c r="E157" i="102" s="1"/>
  <c r="E21" i="102" a="1"/>
  <c r="E116" i="102" a="1"/>
  <c r="E59" i="102" a="1"/>
  <c r="F469" i="112" a="1"/>
  <c r="F469" i="112" s="1"/>
  <c r="W12" i="86"/>
  <c r="O14" i="86" a="1"/>
  <c r="O14" i="86" s="1"/>
  <c r="X15" i="86"/>
  <c r="G33" i="98" a="1"/>
  <c r="G33" i="98" s="1"/>
  <c r="H36" i="98" a="1"/>
  <c r="H36" i="98" s="1"/>
  <c r="H39" i="98" a="1"/>
  <c r="H39" i="98" s="1"/>
  <c r="K31" i="99"/>
  <c r="I30" i="112" a="1"/>
  <c r="I30" i="112" s="1"/>
  <c r="G439" i="112" a="1"/>
  <c r="G439" i="112" s="1"/>
  <c r="H439" i="112" s="1" a="1"/>
  <c r="H439" i="112" s="1"/>
  <c r="G451" i="112" a="1"/>
  <c r="G451" i="112" s="1"/>
  <c r="AE245" i="112" a="1"/>
  <c r="AE245" i="112" s="1"/>
  <c r="G452" i="112" a="1"/>
  <c r="G452" i="112" s="1"/>
  <c r="AE238" i="112" a="1"/>
  <c r="AE238" i="112" s="1"/>
  <c r="G453" i="112" a="1"/>
  <c r="G453" i="112" s="1"/>
  <c r="G454" i="112" a="1"/>
  <c r="G454" i="112" s="1"/>
  <c r="I19" i="97"/>
  <c r="G455" i="112" a="1"/>
  <c r="G455" i="112" s="1"/>
  <c r="G456" i="112" a="1"/>
  <c r="G456" i="112" s="1"/>
  <c r="G449" i="112" a="1"/>
  <c r="G449" i="112" s="1"/>
  <c r="G450" i="112" a="1"/>
  <c r="G450" i="112" s="1"/>
  <c r="K39" i="99" a="1"/>
  <c r="K39" i="99" s="1"/>
  <c r="F164" i="80" a="1"/>
  <c r="F164" i="80" s="1"/>
  <c r="H164" i="80" a="1"/>
  <c r="H164" i="80" s="1"/>
  <c r="L164" i="80" a="1"/>
  <c r="L164" i="80" s="1"/>
  <c r="J14" i="79" a="1"/>
  <c r="J14" i="79" s="1"/>
  <c r="G30" i="79" s="1"/>
  <c r="J14" i="85" a="1"/>
  <c r="J14" i="85" s="1"/>
  <c r="J14" i="105" a="1"/>
  <c r="J14" i="105" s="1"/>
  <c r="J15" i="105" a="1"/>
  <c r="J15" i="105" s="1"/>
  <c r="J16" i="105" a="1"/>
  <c r="J16" i="105" s="1"/>
  <c r="J17" i="105" a="1"/>
  <c r="J17" i="105" s="1"/>
  <c r="K40" i="99" a="1"/>
  <c r="K40" i="99" s="1"/>
  <c r="W240" i="112" a="1"/>
  <c r="W240" i="112" s="1"/>
  <c r="AE243" i="112" a="1"/>
  <c r="AE243" i="112" s="1"/>
  <c r="X122" i="112" a="1"/>
  <c r="X122" i="112" s="1"/>
  <c r="S238" i="112" a="1"/>
  <c r="S238" i="112" s="1"/>
  <c r="AA241" i="112" a="1"/>
  <c r="AA241" i="112" s="1"/>
  <c r="S245" i="112" a="1"/>
  <c r="S245" i="112" s="1"/>
  <c r="T120" i="112" a="1"/>
  <c r="T120" i="112" s="1"/>
  <c r="W238" i="112" a="1"/>
  <c r="W238" i="112" s="1"/>
  <c r="W245" i="112" a="1"/>
  <c r="W245" i="112" s="1"/>
  <c r="X124" i="112" a="1"/>
  <c r="X124" i="112" s="1"/>
  <c r="T128" i="112" a="1"/>
  <c r="T128" i="112" s="1"/>
  <c r="W239" i="112" a="1"/>
  <c r="W239" i="112" s="1"/>
  <c r="AE242" i="112" a="1"/>
  <c r="AE242" i="112" s="1"/>
  <c r="W246" i="112" a="1"/>
  <c r="W246" i="112" s="1"/>
  <c r="S243" i="112" a="1"/>
  <c r="S243" i="112" s="1"/>
  <c r="AA246" i="112" a="1"/>
  <c r="AA246" i="112" s="1"/>
  <c r="AB121" i="112" a="1"/>
  <c r="AB121" i="112" s="1"/>
  <c r="T125" i="112" a="1"/>
  <c r="T125" i="112" s="1"/>
  <c r="AB128" i="112" a="1"/>
  <c r="AB128" i="112" s="1"/>
  <c r="J609" i="112" a="1"/>
  <c r="J609" i="112" s="1"/>
  <c r="G468" i="112" a="1"/>
  <c r="G468" i="112" s="1"/>
  <c r="E533" i="112" a="1"/>
  <c r="E533" i="112" s="1"/>
  <c r="G481" i="112" a="1"/>
  <c r="G481" i="112" s="1"/>
  <c r="I469" i="112" a="1"/>
  <c r="I469" i="112" s="1"/>
  <c r="E35" i="113" a="1"/>
  <c r="E35" i="113" s="1"/>
  <c r="I48" i="113" s="1"/>
  <c r="O35" i="113" a="1"/>
  <c r="O35" i="113" s="1"/>
  <c r="S48" i="113" s="1"/>
  <c r="G136" i="112" a="1"/>
  <c r="G136" i="112" s="1"/>
  <c r="P74" i="113"/>
  <c r="F74" i="113"/>
  <c r="E167" i="112"/>
  <c r="G139" i="112" a="1"/>
  <c r="G139" i="112" s="1"/>
  <c r="G469" i="112" a="1"/>
  <c r="G469" i="112" s="1"/>
  <c r="G470" i="112" a="1"/>
  <c r="G470" i="112" s="1"/>
  <c r="E61" i="113"/>
  <c r="O61" i="113"/>
  <c r="E26" i="113"/>
  <c r="O26" i="113"/>
  <c r="P90" i="113"/>
  <c r="F90" i="113"/>
  <c r="P55" i="113"/>
  <c r="F55" i="113"/>
  <c r="G480" i="112" a="1"/>
  <c r="G480" i="112" s="1"/>
  <c r="G466" i="112" a="1"/>
  <c r="G466" i="112" s="1"/>
  <c r="G164" i="112" a="1"/>
  <c r="G164" i="112" s="1"/>
  <c r="F296" i="112"/>
  <c r="F19" i="113"/>
  <c r="G479" i="112" a="1"/>
  <c r="G479" i="112" s="1"/>
  <c r="E174" i="112"/>
  <c r="E7" i="112"/>
  <c r="E418" i="112"/>
  <c r="E355" i="112"/>
  <c r="E100" i="112"/>
  <c r="E385" i="112"/>
  <c r="E151" i="112"/>
  <c r="E203" i="112"/>
  <c r="E188" i="112"/>
  <c r="E323" i="112"/>
  <c r="E258" i="112"/>
  <c r="E290" i="112"/>
  <c r="E561" i="112"/>
  <c r="E594" i="112"/>
  <c r="F93" i="112"/>
  <c r="F73" i="112"/>
  <c r="F53" i="112"/>
  <c r="F91" i="112"/>
  <c r="F72" i="112"/>
  <c r="F35" i="112"/>
  <c r="F90" i="112"/>
  <c r="F34" i="112"/>
  <c r="F94" i="112"/>
  <c r="F54" i="112"/>
  <c r="G162" i="112" a="1"/>
  <c r="G162" i="112" s="1"/>
  <c r="G68" i="112" a="1"/>
  <c r="G68" i="112" s="1"/>
  <c r="I138" i="112" a="1"/>
  <c r="I138" i="112" s="1"/>
  <c r="G138" i="112" a="1"/>
  <c r="G138" i="112" s="1"/>
  <c r="I139" i="112" a="1"/>
  <c r="I139" i="112" s="1"/>
  <c r="F642" i="112"/>
  <c r="F641" i="112"/>
  <c r="F639" i="112"/>
  <c r="F621" i="112"/>
  <c r="F638" i="112"/>
  <c r="F620" i="112"/>
  <c r="F131" i="112"/>
  <c r="F145" i="112"/>
  <c r="F130" i="112"/>
  <c r="F144" i="112"/>
  <c r="F142" i="112"/>
  <c r="F141" i="112"/>
  <c r="J88" i="112" a="1"/>
  <c r="J88" i="112" s="1"/>
  <c r="J81" i="112" a="1"/>
  <c r="J81" i="112" s="1"/>
  <c r="J87" i="112" a="1"/>
  <c r="J87" i="112" s="1"/>
  <c r="G84" i="112" a="1"/>
  <c r="G84" i="112" s="1"/>
  <c r="J80" i="112" a="1"/>
  <c r="J80" i="112" s="1"/>
  <c r="G87" i="112" a="1"/>
  <c r="G87" i="112" s="1"/>
  <c r="J83" i="112" a="1"/>
  <c r="J83" i="112" s="1"/>
  <c r="G80" i="112" a="1"/>
  <c r="G80" i="112" s="1"/>
  <c r="M27" i="112" a="1"/>
  <c r="M27" i="112" s="1"/>
  <c r="G43" i="112" a="1"/>
  <c r="G43" i="112" s="1"/>
  <c r="J86" i="112" a="1"/>
  <c r="J86" i="112" s="1"/>
  <c r="F484" i="112"/>
  <c r="F473" i="112"/>
  <c r="F317" i="112"/>
  <c r="F501" i="112"/>
  <c r="F378" i="112"/>
  <c r="F348" i="112"/>
  <c r="F249" i="112"/>
  <c r="F483" i="112"/>
  <c r="F472" i="112"/>
  <c r="F460" i="112"/>
  <c r="F442" i="112"/>
  <c r="F411" i="112"/>
  <c r="F316" i="112"/>
  <c r="F533" i="112"/>
  <c r="F459" i="112"/>
  <c r="F441" i="112"/>
  <c r="F410" i="112"/>
  <c r="F555" i="112"/>
  <c r="F284" i="112"/>
  <c r="F518" i="112"/>
  <c r="F347" i="112"/>
  <c r="F248" i="112"/>
  <c r="F502" i="112"/>
  <c r="F379" i="112"/>
  <c r="F283" i="112"/>
  <c r="F167" i="112"/>
  <c r="F166" i="112"/>
  <c r="F252" i="112"/>
  <c r="F251" i="112"/>
  <c r="J79" i="112" a="1"/>
  <c r="J79" i="112" s="1"/>
  <c r="H457" i="112" a="1"/>
  <c r="H457" i="112" s="1"/>
  <c r="J457" i="112" a="1"/>
  <c r="J457" i="112" s="1"/>
  <c r="G69" i="112" a="1"/>
  <c r="G69" i="112" s="1"/>
  <c r="J65" i="112" a="1"/>
  <c r="J65" i="112" s="1"/>
  <c r="G62" i="112" a="1"/>
  <c r="G62" i="112" s="1"/>
  <c r="J68" i="112" a="1"/>
  <c r="J68" i="112" s="1"/>
  <c r="G65" i="112" a="1"/>
  <c r="G65" i="112" s="1"/>
  <c r="H448" i="112" a="1"/>
  <c r="H448" i="112" s="1"/>
  <c r="J45" i="112" a="1"/>
  <c r="J45" i="112" s="1"/>
  <c r="J451" i="112" a="1"/>
  <c r="J451" i="112" s="1"/>
  <c r="J453" i="112" a="1"/>
  <c r="J453" i="112" s="1"/>
  <c r="J452" i="112" a="1"/>
  <c r="J452" i="112" s="1"/>
  <c r="K493" i="112" a="1"/>
  <c r="K493" i="112" s="1"/>
  <c r="K499" i="112" a="1"/>
  <c r="K499" i="112" s="1"/>
  <c r="K492" i="112" a="1"/>
  <c r="K492" i="112" s="1"/>
  <c r="K498" i="112" a="1"/>
  <c r="K498" i="112" s="1"/>
  <c r="K491" i="112" a="1"/>
  <c r="K491" i="112" s="1"/>
  <c r="K496" i="112" a="1"/>
  <c r="K496" i="112" s="1"/>
  <c r="J631" i="112" a="1"/>
  <c r="J631" i="112" s="1"/>
  <c r="J630" i="112" a="1"/>
  <c r="J630" i="112" s="1"/>
  <c r="J635" i="112" a="1"/>
  <c r="J635" i="112" s="1"/>
  <c r="J628" i="112" a="1"/>
  <c r="J628" i="112" s="1"/>
  <c r="M26" i="112" a="1"/>
  <c r="M26" i="112" s="1"/>
  <c r="J448" i="112" a="1"/>
  <c r="J448" i="112" s="1"/>
  <c r="H453" i="112" a="1"/>
  <c r="H453" i="112" s="1"/>
  <c r="K490" i="112" a="1"/>
  <c r="K490" i="112" s="1"/>
  <c r="J627" i="112" a="1"/>
  <c r="J627" i="112" s="1"/>
  <c r="M32" i="112" a="1"/>
  <c r="M32" i="112" s="1"/>
  <c r="H368" i="112" a="1"/>
  <c r="H368" i="112" s="1"/>
  <c r="J370" i="112" a="1"/>
  <c r="J370" i="112" s="1"/>
  <c r="J62" i="112" a="1"/>
  <c r="J62" i="112" s="1"/>
  <c r="G66" i="112" a="1"/>
  <c r="G66" i="112" s="1"/>
  <c r="J69" i="112" a="1"/>
  <c r="J69" i="112" s="1"/>
  <c r="G81" i="112" a="1"/>
  <c r="G81" i="112" s="1"/>
  <c r="J84" i="112" a="1"/>
  <c r="J84" i="112" s="1"/>
  <c r="G88" i="112" a="1"/>
  <c r="G88" i="112" s="1"/>
  <c r="I120" i="112" a="1"/>
  <c r="I120" i="112" s="1"/>
  <c r="J376" i="112" a="1"/>
  <c r="J376" i="112" s="1"/>
  <c r="J449" i="112" a="1"/>
  <c r="J449" i="112" s="1"/>
  <c r="M31" i="112" a="1"/>
  <c r="M31" i="112" s="1"/>
  <c r="G63" i="112" a="1"/>
  <c r="G63" i="112" s="1"/>
  <c r="J66" i="112" a="1"/>
  <c r="J66" i="112" s="1"/>
  <c r="G70" i="112" a="1"/>
  <c r="G70" i="112" s="1"/>
  <c r="G85" i="112" a="1"/>
  <c r="G85" i="112" s="1"/>
  <c r="G163" i="112" a="1"/>
  <c r="G163" i="112" s="1"/>
  <c r="K494" i="112" a="1"/>
  <c r="K494" i="112" s="1"/>
  <c r="J629" i="112" a="1"/>
  <c r="J629" i="112" s="1"/>
  <c r="H450" i="112" a="1"/>
  <c r="H450" i="112" s="1"/>
  <c r="I480" i="112" a="1"/>
  <c r="I480" i="112" s="1"/>
  <c r="E484" i="112" s="1"/>
  <c r="J633" i="112" a="1"/>
  <c r="J633" i="112" s="1"/>
  <c r="J63" i="112" a="1"/>
  <c r="J63" i="112" s="1"/>
  <c r="G67" i="112" a="1"/>
  <c r="G67" i="112" s="1"/>
  <c r="J70" i="112" a="1"/>
  <c r="J70" i="112" s="1"/>
  <c r="G79" i="112" a="1"/>
  <c r="G79" i="112" s="1"/>
  <c r="G82" i="112" a="1"/>
  <c r="G82" i="112" s="1"/>
  <c r="J85" i="112" a="1"/>
  <c r="J85" i="112" s="1"/>
  <c r="G137" i="112" a="1"/>
  <c r="G137" i="112" s="1"/>
  <c r="J373" i="112" a="1"/>
  <c r="J373" i="112" s="1"/>
  <c r="K495" i="112" a="1"/>
  <c r="K495" i="112" s="1"/>
  <c r="N573" i="112"/>
  <c r="F573" i="112"/>
  <c r="J401" i="112" a="1"/>
  <c r="J401" i="112" s="1"/>
  <c r="J405" i="112" a="1"/>
  <c r="J405" i="112" s="1"/>
  <c r="J404" i="112" a="1"/>
  <c r="J404" i="112" s="1"/>
  <c r="J399" i="112" a="1"/>
  <c r="J399" i="112" s="1"/>
  <c r="J407" i="112" a="1"/>
  <c r="J407" i="112" s="1"/>
  <c r="I467" i="112" a="1"/>
  <c r="I467" i="112" s="1"/>
  <c r="G467" i="112" a="1"/>
  <c r="G467" i="112" s="1"/>
  <c r="J634" i="112" a="1"/>
  <c r="J634" i="112" s="1"/>
  <c r="G64" i="112" a="1"/>
  <c r="G64" i="112" s="1"/>
  <c r="J67" i="112" a="1"/>
  <c r="J67" i="112" s="1"/>
  <c r="J82" i="112" a="1"/>
  <c r="J82" i="112" s="1"/>
  <c r="G86" i="112" a="1"/>
  <c r="G86" i="112" s="1"/>
  <c r="K405" i="112"/>
  <c r="K400" i="112"/>
  <c r="K408" i="112"/>
  <c r="K403" i="112"/>
  <c r="K402" i="112"/>
  <c r="K407" i="112"/>
  <c r="H431" i="112" a="1"/>
  <c r="H431" i="112" s="1"/>
  <c r="H433" i="112" a="1"/>
  <c r="H433" i="112" s="1"/>
  <c r="J450" i="112" a="1"/>
  <c r="J450" i="112" s="1"/>
  <c r="L337" i="112"/>
  <c r="L341" i="112"/>
  <c r="L345" i="112"/>
  <c r="L340" i="112"/>
  <c r="L336" i="112"/>
  <c r="J369" i="112" a="1"/>
  <c r="J369" i="112" s="1"/>
  <c r="K399" i="112"/>
  <c r="J408" i="112" a="1"/>
  <c r="J408" i="112" s="1"/>
  <c r="H430" i="112" a="1"/>
  <c r="H430" i="112" s="1"/>
  <c r="J439" i="112" a="1"/>
  <c r="J439" i="112" s="1"/>
  <c r="H452" i="112" a="1"/>
  <c r="H452" i="112" s="1"/>
  <c r="K497" i="112" a="1"/>
  <c r="K497" i="112" s="1"/>
  <c r="J64" i="112" a="1"/>
  <c r="J64" i="112" s="1"/>
  <c r="G83" i="112" a="1"/>
  <c r="G83" i="112" s="1"/>
  <c r="O237" i="112"/>
  <c r="L344" i="112"/>
  <c r="J400" i="112" a="1"/>
  <c r="J400" i="112" s="1"/>
  <c r="J433" i="112" a="1"/>
  <c r="J433" i="112" s="1"/>
  <c r="J435" i="112" a="1"/>
  <c r="J435" i="112" s="1"/>
  <c r="J434" i="112" a="1"/>
  <c r="J434" i="112" s="1"/>
  <c r="J636" i="112" a="1"/>
  <c r="J636" i="112" s="1"/>
  <c r="H449" i="112" a="1"/>
  <c r="H449" i="112" s="1"/>
  <c r="H451" i="112" a="1"/>
  <c r="H451" i="112" s="1"/>
  <c r="K344" i="112" a="1"/>
  <c r="K344" i="112" s="1"/>
  <c r="K345" i="112" a="1"/>
  <c r="K345" i="112" s="1"/>
  <c r="K341" i="112" a="1"/>
  <c r="K341" i="112" s="1"/>
  <c r="J614" i="112" a="1"/>
  <c r="J614" i="112" s="1"/>
  <c r="J632" i="112" a="1"/>
  <c r="J632" i="112" s="1"/>
  <c r="L17" i="109"/>
  <c r="L20" i="109"/>
  <c r="O12" i="109"/>
  <c r="L15" i="109"/>
  <c r="O17" i="109"/>
  <c r="R12" i="109"/>
  <c r="O15" i="109"/>
  <c r="L18" i="109"/>
  <c r="R20" i="109"/>
  <c r="O18" i="109"/>
  <c r="L13" i="109"/>
  <c r="O13" i="109"/>
  <c r="L16" i="109"/>
  <c r="O16" i="109"/>
  <c r="O19" i="109"/>
  <c r="E7" i="106"/>
  <c r="E30" i="106"/>
  <c r="P48" i="106"/>
  <c r="F48" i="106"/>
  <c r="E7" i="105"/>
  <c r="E99" i="102"/>
  <c r="E7" i="102"/>
  <c r="F192" i="102"/>
  <c r="F151" i="102"/>
  <c r="E7" i="99"/>
  <c r="L8" i="99"/>
  <c r="F58" i="99"/>
  <c r="F49" i="99"/>
  <c r="F57" i="99"/>
  <c r="F46" i="99"/>
  <c r="F56" i="99"/>
  <c r="F45" i="99"/>
  <c r="F55" i="99"/>
  <c r="F44" i="99"/>
  <c r="F52" i="99"/>
  <c r="F43" i="99"/>
  <c r="F51" i="99"/>
  <c r="F50" i="99"/>
  <c r="D39" i="99"/>
  <c r="L39" i="99" s="1" a="1"/>
  <c r="L39" i="99" s="1"/>
  <c r="D42" i="99"/>
  <c r="D30" i="99"/>
  <c r="L30" i="99" s="1" a="1"/>
  <c r="L30" i="99" s="1"/>
  <c r="D37" i="99"/>
  <c r="L37" i="99" s="1" a="1"/>
  <c r="L37" i="99" s="1"/>
  <c r="D28" i="99"/>
  <c r="D35" i="99"/>
  <c r="L35" i="99" s="1" a="1"/>
  <c r="L35" i="99" s="1"/>
  <c r="D26" i="99"/>
  <c r="L26" i="99" s="1" a="1"/>
  <c r="L26" i="99" s="1"/>
  <c r="D33" i="99"/>
  <c r="Q34" i="99" a="1"/>
  <c r="Q34" i="99" s="1"/>
  <c r="D40" i="99"/>
  <c r="D31" i="99"/>
  <c r="L31" i="99" s="1" a="1"/>
  <c r="L31" i="99" s="1"/>
  <c r="D38" i="99"/>
  <c r="L38" i="99" s="1" a="1"/>
  <c r="L38" i="99" s="1"/>
  <c r="D48" i="99"/>
  <c r="E7" i="98"/>
  <c r="L7" i="98"/>
  <c r="F70" i="98"/>
  <c r="F61" i="98"/>
  <c r="F51" i="98"/>
  <c r="F69" i="98"/>
  <c r="F50" i="98"/>
  <c r="F58" i="98"/>
  <c r="F68" i="98"/>
  <c r="F49" i="98"/>
  <c r="F57" i="98"/>
  <c r="F67" i="98"/>
  <c r="F56" i="98"/>
  <c r="F46" i="98"/>
  <c r="F64" i="98"/>
  <c r="F55" i="98"/>
  <c r="F45" i="98"/>
  <c r="F63" i="98"/>
  <c r="F44" i="98"/>
  <c r="F62" i="98"/>
  <c r="F52" i="98"/>
  <c r="F43" i="98"/>
  <c r="N33" i="98" a="1"/>
  <c r="N33" i="98" s="1"/>
  <c r="E49" i="98" s="1"/>
  <c r="Q33" i="98" a="1"/>
  <c r="Q33" i="98" s="1"/>
  <c r="E52" i="98" s="1"/>
  <c r="D54" i="98"/>
  <c r="D29" i="98"/>
  <c r="L29" i="98" s="1" a="1"/>
  <c r="L29" i="98" s="1"/>
  <c r="Q25" i="98" a="1"/>
  <c r="Q25" i="98" s="1"/>
  <c r="P39" i="98" a="1"/>
  <c r="P39" i="98" s="1"/>
  <c r="Q34" i="98" a="1"/>
  <c r="Q34" i="98" s="1"/>
  <c r="D28" i="98"/>
  <c r="L28" i="98" s="1" a="1"/>
  <c r="L28" i="98" s="1"/>
  <c r="D32" i="98"/>
  <c r="L32" i="98" s="1" a="1"/>
  <c r="L32" i="98" s="1"/>
  <c r="I18" i="97"/>
  <c r="L32" i="99" s="1" a="1"/>
  <c r="L32" i="99" s="1"/>
  <c r="D27" i="98"/>
  <c r="L27" i="98" s="1" a="1"/>
  <c r="L27" i="98" s="1"/>
  <c r="D36" i="98"/>
  <c r="D31" i="98"/>
  <c r="L31" i="98" s="1" a="1"/>
  <c r="L31" i="98" s="1"/>
  <c r="D26" i="98"/>
  <c r="L26" i="98" s="1" a="1"/>
  <c r="L26" i="98" s="1"/>
  <c r="I17" i="97"/>
  <c r="I20" i="97"/>
  <c r="L33" i="98" s="1" a="1"/>
  <c r="L33" i="98" s="1"/>
  <c r="I48" i="94"/>
  <c r="E18" i="95" a="1"/>
  <c r="E18" i="95" s="1"/>
  <c r="I38" i="94"/>
  <c r="I39" i="94"/>
  <c r="I46" i="94"/>
  <c r="I47" i="94"/>
  <c r="F112" i="91" a="1"/>
  <c r="F112" i="91" s="1"/>
  <c r="E144" i="91" s="1"/>
  <c r="K32" i="84"/>
  <c r="I15" i="92"/>
  <c r="F107" i="91" a="1"/>
  <c r="F107" i="91" s="1"/>
  <c r="E139" i="91" s="1"/>
  <c r="F108" i="91" a="1"/>
  <c r="F108" i="91" s="1"/>
  <c r="E140" i="91" s="1"/>
  <c r="E49" i="92"/>
  <c r="E7" i="92"/>
  <c r="F109" i="91" a="1"/>
  <c r="F109" i="91" s="1"/>
  <c r="E141" i="91" s="1"/>
  <c r="F110" i="91" a="1"/>
  <c r="F110" i="91" s="1"/>
  <c r="E142" i="91" s="1"/>
  <c r="F111" i="91" a="1"/>
  <c r="F111" i="91" s="1"/>
  <c r="E143" i="91" s="1"/>
  <c r="E43" i="91"/>
  <c r="E118" i="91"/>
  <c r="E7" i="91"/>
  <c r="E90" i="91"/>
  <c r="K30" i="84"/>
  <c r="L30" i="84"/>
  <c r="F105" i="91" a="1"/>
  <c r="F105" i="91" s="1"/>
  <c r="E137" i="91" s="1"/>
  <c r="G59" i="91"/>
  <c r="E7" i="90"/>
  <c r="F31" i="84"/>
  <c r="E38" i="89"/>
  <c r="E7" i="89"/>
  <c r="L29" i="85" a="1"/>
  <c r="L29" i="85" s="1"/>
  <c r="E7" i="88"/>
  <c r="E43" i="88"/>
  <c r="F78" i="88"/>
  <c r="F58" i="88"/>
  <c r="L32" i="84"/>
  <c r="E30" i="84"/>
  <c r="I30" i="84"/>
  <c r="E7" i="87"/>
  <c r="E42" i="87"/>
  <c r="N60" i="87"/>
  <c r="F80" i="87"/>
  <c r="F60" i="87"/>
  <c r="O88" i="87"/>
  <c r="E26" i="84"/>
  <c r="V36" i="85" a="1"/>
  <c r="V36" i="85" s="1"/>
  <c r="W36" i="85" s="1" a="1"/>
  <c r="W36" i="85" s="1"/>
  <c r="AA36" i="85" s="1" a="1"/>
  <c r="AA36" i="85" s="1"/>
  <c r="M26" i="84"/>
  <c r="N26" i="84"/>
  <c r="R52" i="87" a="1"/>
  <c r="R52" i="87" s="1"/>
  <c r="T52" i="87"/>
  <c r="V52" i="87" s="1" a="1"/>
  <c r="V52" i="87" s="1"/>
  <c r="H30" i="84"/>
  <c r="AF97" i="85"/>
  <c r="O85" i="85"/>
  <c r="AF84" i="85"/>
  <c r="O64" i="85"/>
  <c r="O65" i="85"/>
  <c r="K27" i="84"/>
  <c r="G100" i="85"/>
  <c r="O115" i="85" s="1"/>
  <c r="O107" i="85"/>
  <c r="D29" i="86"/>
  <c r="M27" i="84"/>
  <c r="M30" i="84"/>
  <c r="V31" i="85" a="1"/>
  <c r="V31" i="85" s="1"/>
  <c r="W31" i="85" s="1" a="1"/>
  <c r="W31" i="85" s="1"/>
  <c r="AC31" i="85" s="1" a="1"/>
  <c r="AC31" i="85" s="1"/>
  <c r="N27" i="84"/>
  <c r="F26" i="84"/>
  <c r="E28" i="84"/>
  <c r="G31" i="84"/>
  <c r="G26" i="84"/>
  <c r="F28" i="84"/>
  <c r="H31" i="84"/>
  <c r="H26" i="84"/>
  <c r="L28" i="84"/>
  <c r="I31" i="84"/>
  <c r="I26" i="84"/>
  <c r="K31" i="84"/>
  <c r="J26" i="84"/>
  <c r="M31" i="84"/>
  <c r="K26" i="84"/>
  <c r="N31" i="84"/>
  <c r="G30" i="84"/>
  <c r="E35" i="85"/>
  <c r="E94" i="85"/>
  <c r="E73" i="85"/>
  <c r="K26" i="85" a="1"/>
  <c r="K26" i="85" s="1"/>
  <c r="J26" i="85" a="1"/>
  <c r="J26" i="85" s="1"/>
  <c r="L27" i="85" a="1"/>
  <c r="L27" i="85" s="1"/>
  <c r="K27" i="85" a="1"/>
  <c r="K27" i="85" s="1"/>
  <c r="J27" i="85" a="1"/>
  <c r="J27" i="85" s="1"/>
  <c r="K29" i="85" a="1"/>
  <c r="K29" i="85" s="1"/>
  <c r="J29" i="85" a="1"/>
  <c r="J29" i="85" s="1"/>
  <c r="L28" i="85" a="1"/>
  <c r="L28" i="85" s="1"/>
  <c r="J28" i="85" a="1"/>
  <c r="J28" i="85" s="1"/>
  <c r="AH39" i="85"/>
  <c r="AH38" i="85"/>
  <c r="AH37" i="85"/>
  <c r="AH36" i="85"/>
  <c r="AH34" i="85"/>
  <c r="AH29" i="85"/>
  <c r="AH35" i="85"/>
  <c r="Q27" i="85"/>
  <c r="AH30" i="85"/>
  <c r="AH31" i="85"/>
  <c r="Q28" i="85"/>
  <c r="AH28" i="85"/>
  <c r="AH32" i="85"/>
  <c r="AH33" i="85"/>
  <c r="Q29" i="85"/>
  <c r="Q26" i="85"/>
  <c r="AF77" i="85"/>
  <c r="AC35" i="85" a="1"/>
  <c r="AC35" i="85" s="1"/>
  <c r="AC34" i="85" a="1"/>
  <c r="AC34" i="85" s="1"/>
  <c r="AC33" i="85" a="1"/>
  <c r="AC33" i="85" s="1"/>
  <c r="AC28" i="85" a="1"/>
  <c r="AC28" i="85" s="1"/>
  <c r="V29" i="85" a="1"/>
  <c r="V29" i="85" s="1"/>
  <c r="W29" i="85" s="1" a="1"/>
  <c r="W29" i="85" s="1"/>
  <c r="AB29" i="85" s="1" a="1"/>
  <c r="AB29" i="85" s="1"/>
  <c r="AA30" i="85" a="1"/>
  <c r="AA30" i="85" s="1"/>
  <c r="AF78" i="85"/>
  <c r="AF87" i="85"/>
  <c r="AF86" i="85"/>
  <c r="AF85" i="85"/>
  <c r="AF82" i="85"/>
  <c r="O66" i="85"/>
  <c r="AF80" i="85"/>
  <c r="AF79" i="85"/>
  <c r="AF76" i="85"/>
  <c r="O67" i="85"/>
  <c r="AF83" i="85"/>
  <c r="G28" i="84"/>
  <c r="M32" i="84"/>
  <c r="AB30" i="85" a="1"/>
  <c r="AB30" i="85" s="1"/>
  <c r="AF81" i="85"/>
  <c r="H28" i="84"/>
  <c r="N32" i="84"/>
  <c r="AA35" i="85" a="1"/>
  <c r="AA35" i="85" s="1"/>
  <c r="AF149" i="85"/>
  <c r="O123" i="85"/>
  <c r="F128" i="85"/>
  <c r="AB35" i="85" a="1"/>
  <c r="AB35" i="85" s="1"/>
  <c r="L23" i="84"/>
  <c r="M28" i="84"/>
  <c r="N33" i="84"/>
  <c r="V32" i="85" a="1"/>
  <c r="V32" i="85" s="1"/>
  <c r="W32" i="85" s="1" a="1"/>
  <c r="W32" i="85" s="1"/>
  <c r="AB32" i="85" s="1" a="1"/>
  <c r="AB32" i="85" s="1"/>
  <c r="AA34" i="85" a="1"/>
  <c r="AA34" i="85" s="1"/>
  <c r="V38" i="85" a="1"/>
  <c r="V38" i="85" s="1"/>
  <c r="W38" i="85" s="1" a="1"/>
  <c r="W38" i="85" s="1"/>
  <c r="M23" i="84"/>
  <c r="N28" i="84"/>
  <c r="AB34" i="85" a="1"/>
  <c r="AB34" i="85" s="1"/>
  <c r="AA39" i="85" a="1"/>
  <c r="AA39" i="85" s="1"/>
  <c r="N23" i="84"/>
  <c r="AA33" i="85" a="1"/>
  <c r="AA33" i="85" s="1"/>
  <c r="V37" i="85" a="1"/>
  <c r="V37" i="85" s="1"/>
  <c r="W37" i="85" s="1" a="1"/>
  <c r="W37" i="85" s="1"/>
  <c r="AC37" i="85" s="1" a="1"/>
  <c r="AC37" i="85" s="1"/>
  <c r="J27" i="84"/>
  <c r="J31" i="84"/>
  <c r="K28" i="85" a="1"/>
  <c r="K28" i="85" s="1"/>
  <c r="AB33" i="85" a="1"/>
  <c r="AB33" i="85" s="1"/>
  <c r="AB39" i="85" a="1"/>
  <c r="AB39" i="85" s="1"/>
  <c r="H32" i="79"/>
  <c r="N32" i="79" s="1" a="1"/>
  <c r="N32" i="79" s="1"/>
  <c r="L26" i="85" a="1"/>
  <c r="L26" i="85" s="1"/>
  <c r="AA28" i="85" a="1"/>
  <c r="AA28" i="85" s="1"/>
  <c r="AC39" i="85" a="1"/>
  <c r="AC39" i="85" s="1"/>
  <c r="E115" i="85"/>
  <c r="L27" i="84"/>
  <c r="F30" i="84"/>
  <c r="L31" i="84"/>
  <c r="N180" i="84"/>
  <c r="O180" i="84"/>
  <c r="M365" i="83"/>
  <c r="L365" i="83"/>
  <c r="N181" i="84"/>
  <c r="O181" i="84" s="1"/>
  <c r="D185" i="84"/>
  <c r="E25" i="84"/>
  <c r="F25" i="84"/>
  <c r="E34" i="84"/>
  <c r="G25" i="84"/>
  <c r="E29" i="84"/>
  <c r="F34" i="84"/>
  <c r="E24" i="84"/>
  <c r="H25" i="84"/>
  <c r="F29" i="84"/>
  <c r="G34" i="84"/>
  <c r="F24" i="84"/>
  <c r="I25" i="84"/>
  <c r="G29" i="84"/>
  <c r="J30" i="84"/>
  <c r="E33" i="84"/>
  <c r="H34" i="84"/>
  <c r="L179" i="84"/>
  <c r="G24" i="84"/>
  <c r="J25" i="84"/>
  <c r="H29" i="84"/>
  <c r="F33" i="84"/>
  <c r="I34" i="84"/>
  <c r="J363" i="83"/>
  <c r="E23" i="84"/>
  <c r="H24" i="84"/>
  <c r="K25" i="84"/>
  <c r="I29" i="84"/>
  <c r="G33" i="84"/>
  <c r="J34" i="84"/>
  <c r="F23" i="84"/>
  <c r="I24" i="84"/>
  <c r="L25" i="84"/>
  <c r="J29" i="84"/>
  <c r="E32" i="84"/>
  <c r="H33" i="84"/>
  <c r="K34" i="84"/>
  <c r="J364" i="83"/>
  <c r="G23" i="84"/>
  <c r="J24" i="84"/>
  <c r="M25" i="84"/>
  <c r="E27" i="84"/>
  <c r="K29" i="84"/>
  <c r="F32" i="84"/>
  <c r="I33" i="84"/>
  <c r="L34" i="84"/>
  <c r="H23" i="84"/>
  <c r="K24" i="84"/>
  <c r="F27" i="84"/>
  <c r="I28" i="84"/>
  <c r="L29" i="84"/>
  <c r="G32" i="84"/>
  <c r="J33" i="84"/>
  <c r="M34" i="84"/>
  <c r="I23" i="84"/>
  <c r="L24" i="84"/>
  <c r="G27" i="84"/>
  <c r="J28" i="84"/>
  <c r="M29" i="84"/>
  <c r="H32" i="84"/>
  <c r="K33" i="84"/>
  <c r="J23" i="84"/>
  <c r="M24" i="84"/>
  <c r="H27" i="84"/>
  <c r="I32" i="84"/>
  <c r="L33" i="84"/>
  <c r="K33" i="78"/>
  <c r="AJ32" i="79"/>
  <c r="M368" i="83"/>
  <c r="L368" i="83"/>
  <c r="O62" i="80"/>
  <c r="AF77" i="80"/>
  <c r="J365" i="83"/>
  <c r="L366" i="83"/>
  <c r="N366" i="83"/>
  <c r="N367" i="83"/>
  <c r="L362" i="83"/>
  <c r="M362" i="83"/>
  <c r="X31" i="79" a="1"/>
  <c r="X31" i="79" s="1"/>
  <c r="Y31" i="79" s="1" a="1"/>
  <c r="Y31" i="79" s="1"/>
  <c r="AD31" i="79" s="1" a="1"/>
  <c r="AD31" i="79" s="1"/>
  <c r="J91" i="83"/>
  <c r="J87" i="83"/>
  <c r="J93" i="83"/>
  <c r="J89" i="83"/>
  <c r="L91" i="83"/>
  <c r="K91" i="83"/>
  <c r="L87" i="83"/>
  <c r="K87" i="83"/>
  <c r="P97" i="83"/>
  <c r="N97" i="83"/>
  <c r="O97" i="83"/>
  <c r="N104" i="83"/>
  <c r="P104" i="83"/>
  <c r="O104" i="83"/>
  <c r="N115" i="83"/>
  <c r="P115" i="83"/>
  <c r="O115" i="83"/>
  <c r="M89" i="83"/>
  <c r="M93" i="83"/>
  <c r="L111" i="83"/>
  <c r="K111" i="83"/>
  <c r="P91" i="83"/>
  <c r="O91" i="83"/>
  <c r="N91" i="83"/>
  <c r="P87" i="83"/>
  <c r="O87" i="83"/>
  <c r="N87" i="83"/>
  <c r="O93" i="83"/>
  <c r="P93" i="83"/>
  <c r="N89" i="83"/>
  <c r="N93" i="83"/>
  <c r="P89" i="83"/>
  <c r="O89" i="83"/>
  <c r="F106" i="83"/>
  <c r="F102" i="83"/>
  <c r="P111" i="83"/>
  <c r="O111" i="83"/>
  <c r="N111" i="83"/>
  <c r="P101" i="83"/>
  <c r="O101" i="83"/>
  <c r="N101" i="83"/>
  <c r="L107" i="83"/>
  <c r="K107" i="83"/>
  <c r="L100" i="83"/>
  <c r="K100" i="83"/>
  <c r="P108" i="83"/>
  <c r="O108" i="83"/>
  <c r="N108" i="83"/>
  <c r="G90" i="83"/>
  <c r="G86" i="83"/>
  <c r="G92" i="83"/>
  <c r="G88" i="83"/>
  <c r="N99" i="83"/>
  <c r="O99" i="83"/>
  <c r="P99" i="83"/>
  <c r="H90" i="83"/>
  <c r="H86" i="83"/>
  <c r="H88" i="83"/>
  <c r="H92" i="83"/>
  <c r="P106" i="83"/>
  <c r="O106" i="83"/>
  <c r="N106" i="83"/>
  <c r="L97" i="83"/>
  <c r="K97" i="83"/>
  <c r="L104" i="83"/>
  <c r="K104" i="83"/>
  <c r="K114" i="83"/>
  <c r="L114" i="83"/>
  <c r="K103" i="83"/>
  <c r="L103" i="83"/>
  <c r="N230" i="83"/>
  <c r="P226" i="83"/>
  <c r="O226" i="83"/>
  <c r="N226" i="83"/>
  <c r="P230" i="83"/>
  <c r="O230" i="83"/>
  <c r="P239" i="83"/>
  <c r="O239" i="83"/>
  <c r="N239" i="83"/>
  <c r="N228" i="83"/>
  <c r="P224" i="83"/>
  <c r="O224" i="83"/>
  <c r="N224" i="83"/>
  <c r="P228" i="83"/>
  <c r="O228" i="83"/>
  <c r="O225" i="83"/>
  <c r="N225" i="83"/>
  <c r="P229" i="83"/>
  <c r="O229" i="83"/>
  <c r="N229" i="83"/>
  <c r="P225" i="83"/>
  <c r="P109" i="83"/>
  <c r="O109" i="83"/>
  <c r="N109" i="83"/>
  <c r="N110" i="83"/>
  <c r="P110" i="83"/>
  <c r="O110" i="83"/>
  <c r="F225" i="83"/>
  <c r="F229" i="83"/>
  <c r="G225" i="83"/>
  <c r="G229" i="83"/>
  <c r="K92" i="83"/>
  <c r="L88" i="83"/>
  <c r="K88" i="83"/>
  <c r="L92" i="83"/>
  <c r="I93" i="83"/>
  <c r="I89" i="83"/>
  <c r="L105" i="83"/>
  <c r="K105" i="83"/>
  <c r="L106" i="83"/>
  <c r="K106" i="83"/>
  <c r="K252" i="83"/>
  <c r="L252" i="83"/>
  <c r="L254" i="83"/>
  <c r="K254" i="83"/>
  <c r="P102" i="83"/>
  <c r="O102" i="83"/>
  <c r="N102" i="83"/>
  <c r="P103" i="83"/>
  <c r="O103" i="83"/>
  <c r="N103" i="83"/>
  <c r="F224" i="83"/>
  <c r="F228" i="83"/>
  <c r="L245" i="83"/>
  <c r="K245" i="83"/>
  <c r="L246" i="83"/>
  <c r="K246" i="83"/>
  <c r="L249" i="83"/>
  <c r="K249" i="83"/>
  <c r="H227" i="83"/>
  <c r="H223" i="83"/>
  <c r="G228" i="83"/>
  <c r="G224" i="83"/>
  <c r="H230" i="83"/>
  <c r="H226" i="83"/>
  <c r="L233" i="83"/>
  <c r="K233" i="83"/>
  <c r="L242" i="83"/>
  <c r="K242" i="83"/>
  <c r="L251" i="83"/>
  <c r="K251" i="83"/>
  <c r="O254" i="83"/>
  <c r="N254" i="83"/>
  <c r="P254" i="83"/>
  <c r="P112" i="83"/>
  <c r="O112" i="83"/>
  <c r="N112" i="83"/>
  <c r="I90" i="83"/>
  <c r="I86" i="83"/>
  <c r="G91" i="83"/>
  <c r="G87" i="83"/>
  <c r="O88" i="83"/>
  <c r="N88" i="83"/>
  <c r="P92" i="83"/>
  <c r="O92" i="83"/>
  <c r="N92" i="83"/>
  <c r="P88" i="83"/>
  <c r="L89" i="83"/>
  <c r="L93" i="83"/>
  <c r="K93" i="83"/>
  <c r="K89" i="83"/>
  <c r="P114" i="83"/>
  <c r="O114" i="83"/>
  <c r="N114" i="83"/>
  <c r="I227" i="83"/>
  <c r="I223" i="83"/>
  <c r="L238" i="83"/>
  <c r="K238" i="83"/>
  <c r="L112" i="83"/>
  <c r="K112" i="83"/>
  <c r="K113" i="83"/>
  <c r="L113" i="83"/>
  <c r="L115" i="83"/>
  <c r="K115" i="83"/>
  <c r="L101" i="83"/>
  <c r="K101" i="83"/>
  <c r="P233" i="83"/>
  <c r="O233" i="83"/>
  <c r="N233" i="83"/>
  <c r="P251" i="83"/>
  <c r="O251" i="83"/>
  <c r="N251" i="83"/>
  <c r="J88" i="83"/>
  <c r="J92" i="83"/>
  <c r="H93" i="83"/>
  <c r="H89" i="83"/>
  <c r="P95" i="83"/>
  <c r="O95" i="83"/>
  <c r="N95" i="83"/>
  <c r="O96" i="83"/>
  <c r="N96" i="83"/>
  <c r="P96" i="83"/>
  <c r="L98" i="83"/>
  <c r="K98" i="83"/>
  <c r="L99" i="83"/>
  <c r="K99" i="83"/>
  <c r="P113" i="83"/>
  <c r="O113" i="83"/>
  <c r="N113" i="83"/>
  <c r="L109" i="83"/>
  <c r="K109" i="83"/>
  <c r="L117" i="83"/>
  <c r="K117" i="83"/>
  <c r="L232" i="83"/>
  <c r="K232" i="83"/>
  <c r="O235" i="83"/>
  <c r="N235" i="83"/>
  <c r="P235" i="83"/>
  <c r="M91" i="83"/>
  <c r="M87" i="83"/>
  <c r="I88" i="83"/>
  <c r="I92" i="83"/>
  <c r="G93" i="83"/>
  <c r="G89" i="83"/>
  <c r="P94" i="83"/>
  <c r="O94" i="83"/>
  <c r="N94" i="83"/>
  <c r="L95" i="83"/>
  <c r="K95" i="83"/>
  <c r="J90" i="83"/>
  <c r="J86" i="83"/>
  <c r="H87" i="83"/>
  <c r="H91" i="83"/>
  <c r="K90" i="83"/>
  <c r="L86" i="83"/>
  <c r="K86" i="83"/>
  <c r="L90" i="83"/>
  <c r="I91" i="83"/>
  <c r="I87" i="83"/>
  <c r="P98" i="83"/>
  <c r="O98" i="83"/>
  <c r="N98" i="83"/>
  <c r="L108" i="83"/>
  <c r="K108" i="83"/>
  <c r="L116" i="83"/>
  <c r="K116" i="83"/>
  <c r="P86" i="83"/>
  <c r="P90" i="83"/>
  <c r="O86" i="83"/>
  <c r="O90" i="83"/>
  <c r="N86" i="83"/>
  <c r="N90" i="83"/>
  <c r="L102" i="83"/>
  <c r="K102" i="83"/>
  <c r="P116" i="83"/>
  <c r="O116" i="83"/>
  <c r="N116" i="83"/>
  <c r="N117" i="83"/>
  <c r="P117" i="83"/>
  <c r="O117" i="83"/>
  <c r="J224" i="83"/>
  <c r="J228" i="83"/>
  <c r="L226" i="83"/>
  <c r="K226" i="83"/>
  <c r="L230" i="83"/>
  <c r="K230" i="83"/>
  <c r="P236" i="83"/>
  <c r="O236" i="83"/>
  <c r="N236" i="83"/>
  <c r="N244" i="83"/>
  <c r="P244" i="83"/>
  <c r="O244" i="83"/>
  <c r="L96" i="83"/>
  <c r="K96" i="83"/>
  <c r="P105" i="83"/>
  <c r="O105" i="83"/>
  <c r="N105" i="83"/>
  <c r="L94" i="83"/>
  <c r="K94" i="83"/>
  <c r="P107" i="83"/>
  <c r="O107" i="83"/>
  <c r="N107" i="83"/>
  <c r="P100" i="83"/>
  <c r="O100" i="83"/>
  <c r="N100" i="83"/>
  <c r="L110" i="83"/>
  <c r="K110" i="83"/>
  <c r="M230" i="83"/>
  <c r="M226" i="83"/>
  <c r="P232" i="83"/>
  <c r="O232" i="83"/>
  <c r="N232" i="83"/>
  <c r="P241" i="83"/>
  <c r="O241" i="83"/>
  <c r="N241" i="83"/>
  <c r="I224" i="83"/>
  <c r="I228" i="83"/>
  <c r="P243" i="83"/>
  <c r="O243" i="83"/>
  <c r="N243" i="83"/>
  <c r="M90" i="83"/>
  <c r="M146" i="83" s="1"/>
  <c r="M92" i="83"/>
  <c r="M148" i="83" s="1"/>
  <c r="M223" i="83"/>
  <c r="M227" i="83"/>
  <c r="H225" i="83"/>
  <c r="H229" i="83"/>
  <c r="F230" i="83"/>
  <c r="F226" i="83"/>
  <c r="P231" i="83"/>
  <c r="O231" i="83"/>
  <c r="N231" i="83"/>
  <c r="L240" i="83"/>
  <c r="K240" i="83"/>
  <c r="L244" i="83"/>
  <c r="K244" i="83"/>
  <c r="P247" i="83"/>
  <c r="O247" i="83"/>
  <c r="N247" i="83"/>
  <c r="L253" i="83"/>
  <c r="K253" i="83"/>
  <c r="G230" i="83"/>
  <c r="G226" i="83"/>
  <c r="P223" i="83"/>
  <c r="O223" i="83"/>
  <c r="N223" i="83"/>
  <c r="P227" i="83"/>
  <c r="O227" i="83"/>
  <c r="N227" i="83"/>
  <c r="L228" i="83"/>
  <c r="K228" i="83"/>
  <c r="L224" i="83"/>
  <c r="K224" i="83"/>
  <c r="L236" i="83"/>
  <c r="K236" i="83"/>
  <c r="L241" i="83"/>
  <c r="K241" i="83"/>
  <c r="P248" i="83"/>
  <c r="O248" i="83"/>
  <c r="N248" i="83"/>
  <c r="M228" i="83"/>
  <c r="M224" i="83"/>
  <c r="P253" i="83"/>
  <c r="O253" i="83"/>
  <c r="N253" i="83"/>
  <c r="F223" i="83"/>
  <c r="F227" i="83"/>
  <c r="J229" i="83"/>
  <c r="J225" i="83"/>
  <c r="I226" i="83"/>
  <c r="I230" i="83"/>
  <c r="L237" i="83"/>
  <c r="K237" i="83"/>
  <c r="P240" i="83"/>
  <c r="O240" i="83"/>
  <c r="N240" i="83"/>
  <c r="G223" i="83"/>
  <c r="G227" i="83"/>
  <c r="N249" i="83"/>
  <c r="O249" i="83"/>
  <c r="P249" i="83"/>
  <c r="K229" i="83"/>
  <c r="L225" i="83"/>
  <c r="K225" i="83"/>
  <c r="L229" i="83"/>
  <c r="J226" i="83"/>
  <c r="J230" i="83"/>
  <c r="P245" i="83"/>
  <c r="O245" i="83"/>
  <c r="N245" i="83"/>
  <c r="L250" i="83"/>
  <c r="K250" i="83"/>
  <c r="M225" i="83"/>
  <c r="M229" i="83"/>
  <c r="L234" i="83"/>
  <c r="K234" i="83"/>
  <c r="P237" i="83"/>
  <c r="O237" i="83"/>
  <c r="N237" i="83"/>
  <c r="P246" i="83"/>
  <c r="O246" i="83"/>
  <c r="N246" i="83"/>
  <c r="P250" i="83"/>
  <c r="O250" i="83"/>
  <c r="N250" i="83"/>
  <c r="P238" i="83"/>
  <c r="O238" i="83"/>
  <c r="N238" i="83"/>
  <c r="L247" i="83"/>
  <c r="K247" i="83"/>
  <c r="J223" i="83"/>
  <c r="J227" i="83"/>
  <c r="H228" i="83"/>
  <c r="H224" i="83"/>
  <c r="L235" i="83"/>
  <c r="K235" i="83"/>
  <c r="L239" i="83"/>
  <c r="K239" i="83"/>
  <c r="N242" i="83"/>
  <c r="P242" i="83"/>
  <c r="O242" i="83"/>
  <c r="K243" i="83"/>
  <c r="L243" i="83"/>
  <c r="L223" i="83"/>
  <c r="K223" i="83"/>
  <c r="L227" i="83"/>
  <c r="K227" i="83"/>
  <c r="L231" i="83"/>
  <c r="K231" i="83"/>
  <c r="N234" i="83"/>
  <c r="P234" i="83"/>
  <c r="O234" i="83"/>
  <c r="L248" i="83"/>
  <c r="K248" i="83"/>
  <c r="I369" i="83"/>
  <c r="J369" i="83"/>
  <c r="I225" i="83"/>
  <c r="I229" i="83"/>
  <c r="P252" i="83"/>
  <c r="O252" i="83"/>
  <c r="N252" i="83"/>
  <c r="I362" i="83"/>
  <c r="J362" i="83"/>
  <c r="M363" i="83"/>
  <c r="L363" i="83"/>
  <c r="L369" i="83"/>
  <c r="M369" i="83"/>
  <c r="L364" i="83"/>
  <c r="J367" i="83"/>
  <c r="I367" i="83"/>
  <c r="N364" i="83"/>
  <c r="I368" i="83"/>
  <c r="N368" i="83"/>
  <c r="N363" i="83"/>
  <c r="J366" i="83"/>
  <c r="M367" i="83"/>
  <c r="N365" i="83"/>
  <c r="E7" i="82"/>
  <c r="O36" i="82"/>
  <c r="F36" i="82"/>
  <c r="AF39" i="80"/>
  <c r="AF38" i="80"/>
  <c r="AF43" i="80"/>
  <c r="P238" i="79"/>
  <c r="AI255" i="79"/>
  <c r="F20" i="82"/>
  <c r="X197" i="79"/>
  <c r="X255" i="79"/>
  <c r="E7" i="81"/>
  <c r="Q96" i="80"/>
  <c r="Q95" i="80"/>
  <c r="AH107" i="80"/>
  <c r="AF145" i="80"/>
  <c r="AF140" i="80"/>
  <c r="AF138" i="80"/>
  <c r="AF254" i="80"/>
  <c r="AF249" i="80"/>
  <c r="F212" i="80"/>
  <c r="W261" i="80"/>
  <c r="O210" i="80"/>
  <c r="AF256" i="80"/>
  <c r="AF204" i="80"/>
  <c r="AF202" i="80"/>
  <c r="O169" i="80"/>
  <c r="AF200" i="80"/>
  <c r="O172" i="80"/>
  <c r="O170" i="80"/>
  <c r="P35" i="81"/>
  <c r="F35" i="81"/>
  <c r="E97" i="80" a="1"/>
  <c r="E97" i="80" s="1"/>
  <c r="F97" i="80" s="1" a="1"/>
  <c r="F97" i="80" s="1"/>
  <c r="J97" i="80" s="1" a="1"/>
  <c r="J97" i="80" s="1"/>
  <c r="X256" i="79"/>
  <c r="AF45" i="80"/>
  <c r="K23" i="78"/>
  <c r="X270" i="79"/>
  <c r="AF40" i="80"/>
  <c r="O35" i="80"/>
  <c r="AF46" i="80"/>
  <c r="G31" i="79"/>
  <c r="V109" i="80" a="1"/>
  <c r="V109" i="80" s="1"/>
  <c r="W109" i="80" s="1" a="1"/>
  <c r="W109" i="80" s="1"/>
  <c r="AC109" i="80" s="1" a="1"/>
  <c r="AC109" i="80" s="1"/>
  <c r="H24" i="78"/>
  <c r="AF74" i="80"/>
  <c r="AA102" i="80" a="1"/>
  <c r="AA102" i="80" s="1"/>
  <c r="X183" i="79"/>
  <c r="AF36" i="80"/>
  <c r="E7" i="80"/>
  <c r="E104" i="80"/>
  <c r="E42" i="80"/>
  <c r="E136" i="80"/>
  <c r="E178" i="80"/>
  <c r="X252" i="79"/>
  <c r="X264" i="79"/>
  <c r="G27" i="78"/>
  <c r="AF73" i="80"/>
  <c r="AI274" i="79"/>
  <c r="AI259" i="79"/>
  <c r="AI266" i="79"/>
  <c r="AI252" i="79"/>
  <c r="P241" i="79"/>
  <c r="P235" i="79"/>
  <c r="AI257" i="79"/>
  <c r="AF80" i="80"/>
  <c r="I27" i="78"/>
  <c r="N34" i="78"/>
  <c r="F23" i="78"/>
  <c r="J27" i="78"/>
  <c r="AI268" i="79"/>
  <c r="X271" i="79"/>
  <c r="X259" i="79"/>
  <c r="O85" i="79"/>
  <c r="O55" i="80" s="1"/>
  <c r="O86" i="79"/>
  <c r="O56" i="80" s="1"/>
  <c r="AH77" i="79"/>
  <c r="AF57" i="80" s="1"/>
  <c r="AH84" i="79"/>
  <c r="AF64" i="80" s="1"/>
  <c r="AH76" i="79"/>
  <c r="AF56" i="80" s="1"/>
  <c r="O84" i="79"/>
  <c r="O54" i="80" s="1"/>
  <c r="O87" i="79"/>
  <c r="O57" i="80" s="1"/>
  <c r="X191" i="79"/>
  <c r="X179" i="79"/>
  <c r="H27" i="78"/>
  <c r="I23" i="78"/>
  <c r="AH79" i="79"/>
  <c r="AF59" i="80" s="1"/>
  <c r="AI260" i="79"/>
  <c r="E96" i="80" a="1"/>
  <c r="E96" i="80" s="1"/>
  <c r="F96" i="80" s="1" a="1"/>
  <c r="F96" i="80" s="1"/>
  <c r="J96" i="80" s="1" a="1"/>
  <c r="J96" i="80" s="1"/>
  <c r="AF81" i="80"/>
  <c r="AF83" i="80"/>
  <c r="O63" i="80"/>
  <c r="AF76" i="80"/>
  <c r="AF79" i="80"/>
  <c r="O64" i="80"/>
  <c r="AF82" i="80"/>
  <c r="O65" i="80"/>
  <c r="AF75" i="80"/>
  <c r="AF78" i="80"/>
  <c r="N28" i="78"/>
  <c r="G28" i="78"/>
  <c r="AF72" i="80"/>
  <c r="X265" i="79"/>
  <c r="X253" i="79"/>
  <c r="X261" i="79"/>
  <c r="AH82" i="79"/>
  <c r="AF62" i="80" s="1"/>
  <c r="AI254" i="79"/>
  <c r="X262" i="79"/>
  <c r="AI271" i="79"/>
  <c r="V182" i="80" a="1"/>
  <c r="V182" i="80" s="1"/>
  <c r="V187" i="80" a="1"/>
  <c r="V187" i="80" s="1"/>
  <c r="V190" i="80" a="1"/>
  <c r="V190" i="80" s="1"/>
  <c r="V191" i="80" a="1"/>
  <c r="V191" i="80" s="1"/>
  <c r="V183" i="80" a="1"/>
  <c r="V183" i="80" s="1"/>
  <c r="V105" i="80" a="1"/>
  <c r="V105" i="80" s="1"/>
  <c r="W105" i="80" s="1" a="1"/>
  <c r="W105" i="80" s="1"/>
  <c r="AA105" i="80" s="1" a="1"/>
  <c r="AA105" i="80" s="1"/>
  <c r="V111" i="80" a="1"/>
  <c r="V111" i="80" s="1"/>
  <c r="V106" i="80" a="1"/>
  <c r="V106" i="80" s="1"/>
  <c r="W106" i="80" s="1" a="1"/>
  <c r="W106" i="80" s="1"/>
  <c r="AB106" i="80" s="1" a="1"/>
  <c r="AB106" i="80" s="1"/>
  <c r="V189" i="80" a="1"/>
  <c r="V189" i="80" s="1"/>
  <c r="V181" i="80" a="1"/>
  <c r="V181" i="80" s="1"/>
  <c r="V186" i="80" a="1"/>
  <c r="V186" i="80" s="1"/>
  <c r="V184" i="80" a="1"/>
  <c r="V184" i="80" s="1"/>
  <c r="V188" i="80" a="1"/>
  <c r="V188" i="80" s="1"/>
  <c r="V185" i="80" a="1"/>
  <c r="V185" i="80" s="1"/>
  <c r="V107" i="80" a="1"/>
  <c r="V107" i="80" s="1"/>
  <c r="W107" i="80" s="1" a="1"/>
  <c r="W107" i="80" s="1"/>
  <c r="V103" i="80" a="1"/>
  <c r="V103" i="80" s="1"/>
  <c r="W103" i="80" s="1" a="1"/>
  <c r="W103" i="80" s="1"/>
  <c r="V108" i="80" a="1"/>
  <c r="V108" i="80" s="1"/>
  <c r="W108" i="80" s="1" a="1"/>
  <c r="W108" i="80" s="1"/>
  <c r="AB108" i="80" s="1" a="1"/>
  <c r="AB108" i="80" s="1"/>
  <c r="V104" i="80" a="1"/>
  <c r="V104" i="80" s="1"/>
  <c r="W104" i="80" s="1" a="1"/>
  <c r="W104" i="80" s="1"/>
  <c r="AC104" i="80" s="1" a="1"/>
  <c r="AC104" i="80" s="1"/>
  <c r="V180" i="80" a="1"/>
  <c r="V180" i="80" s="1"/>
  <c r="V101" i="80" a="1"/>
  <c r="V101" i="80" s="1"/>
  <c r="W101" i="80" s="1" a="1"/>
  <c r="W101" i="80" s="1"/>
  <c r="AB101" i="80" s="1" a="1"/>
  <c r="AB101" i="80" s="1"/>
  <c r="V110" i="80" a="1"/>
  <c r="V110" i="80" s="1"/>
  <c r="AI262" i="79"/>
  <c r="AH83" i="79"/>
  <c r="AF63" i="80" s="1"/>
  <c r="AB102" i="80" a="1"/>
  <c r="AB102" i="80" s="1"/>
  <c r="O34" i="80"/>
  <c r="F229" i="80"/>
  <c r="W267" i="80"/>
  <c r="X200" i="79"/>
  <c r="O36" i="80"/>
  <c r="O127" i="80"/>
  <c r="AF41" i="80"/>
  <c r="AH100" i="80"/>
  <c r="AH104" i="80"/>
  <c r="AH103" i="80"/>
  <c r="AH102" i="80"/>
  <c r="AH101" i="80"/>
  <c r="AH105" i="80"/>
  <c r="AH109" i="80"/>
  <c r="Q97" i="80"/>
  <c r="AH111" i="80"/>
  <c r="AH106" i="80"/>
  <c r="AH110" i="80"/>
  <c r="E98" i="80" a="1"/>
  <c r="E98" i="80" s="1"/>
  <c r="F98" i="80" s="1" a="1"/>
  <c r="F98" i="80" s="1"/>
  <c r="J98" i="80" s="1" a="1"/>
  <c r="J98" i="80" s="1"/>
  <c r="AF37" i="80"/>
  <c r="AH108" i="80"/>
  <c r="O129" i="80"/>
  <c r="AJ30" i="79"/>
  <c r="Q98" i="80"/>
  <c r="AF47" i="80"/>
  <c r="AF44" i="80"/>
  <c r="AF42" i="80"/>
  <c r="O33" i="80"/>
  <c r="AF137" i="80"/>
  <c r="AF144" i="80"/>
  <c r="O128" i="80"/>
  <c r="AF139" i="80"/>
  <c r="AF147" i="80"/>
  <c r="AF143" i="80"/>
  <c r="AF141" i="80"/>
  <c r="AF146" i="80"/>
  <c r="AF136" i="80"/>
  <c r="O130" i="80"/>
  <c r="AF142" i="80"/>
  <c r="AF259" i="80"/>
  <c r="AF252" i="80"/>
  <c r="O207" i="80"/>
  <c r="AF257" i="80"/>
  <c r="AF250" i="80"/>
  <c r="AF255" i="80"/>
  <c r="AF248" i="80"/>
  <c r="AF253" i="80"/>
  <c r="O209" i="80"/>
  <c r="AF258" i="80"/>
  <c r="O208" i="80"/>
  <c r="E95" i="80" a="1"/>
  <c r="E95" i="80" s="1"/>
  <c r="AF251" i="80"/>
  <c r="AF206" i="80"/>
  <c r="E163" i="80" a="1"/>
  <c r="E163" i="80" s="1"/>
  <c r="H163" i="80" s="1" a="1"/>
  <c r="H163" i="80" s="1"/>
  <c r="E161" i="80" a="1"/>
  <c r="E161" i="80" s="1"/>
  <c r="H161" i="80" s="1" a="1"/>
  <c r="H161" i="80" s="1"/>
  <c r="AF197" i="80"/>
  <c r="AF199" i="80"/>
  <c r="AF205" i="80"/>
  <c r="O171" i="80"/>
  <c r="AF203" i="80"/>
  <c r="AF198" i="80"/>
  <c r="AF201" i="80"/>
  <c r="AF207" i="80"/>
  <c r="AF196" i="80"/>
  <c r="V216" i="80"/>
  <c r="E101" i="79"/>
  <c r="E39" i="79"/>
  <c r="E206" i="79"/>
  <c r="E148" i="79"/>
  <c r="AD34" i="79" a="1"/>
  <c r="AD34" i="79" s="1"/>
  <c r="AC34" i="79" a="1"/>
  <c r="AC34" i="79" s="1"/>
  <c r="J24" i="78"/>
  <c r="M24" i="78"/>
  <c r="L24" i="78"/>
  <c r="E28" i="78"/>
  <c r="J28" i="78"/>
  <c r="I28" i="78"/>
  <c r="H28" i="78"/>
  <c r="X196" i="79"/>
  <c r="X184" i="79"/>
  <c r="N31" i="78"/>
  <c r="H31" i="78"/>
  <c r="G31" i="78"/>
  <c r="F31" i="78"/>
  <c r="J31" i="78"/>
  <c r="M32" i="78"/>
  <c r="L32" i="78"/>
  <c r="AJ28" i="79"/>
  <c r="X199" i="79"/>
  <c r="X187" i="79"/>
  <c r="AH136" i="79"/>
  <c r="AH141" i="79"/>
  <c r="AH139" i="79"/>
  <c r="AH135" i="79"/>
  <c r="O132" i="79"/>
  <c r="AH142" i="79"/>
  <c r="AH140" i="79"/>
  <c r="O131" i="79"/>
  <c r="AH131" i="79"/>
  <c r="O134" i="79"/>
  <c r="AH134" i="79"/>
  <c r="AH137" i="79"/>
  <c r="AH133" i="79"/>
  <c r="O133" i="79"/>
  <c r="AH138" i="79"/>
  <c r="E31" i="78"/>
  <c r="AJ37" i="79"/>
  <c r="AJ33" i="79"/>
  <c r="S31" i="79"/>
  <c r="AJ38" i="79"/>
  <c r="AJ31" i="79"/>
  <c r="S32" i="79"/>
  <c r="AJ29" i="79"/>
  <c r="AI197" i="79"/>
  <c r="AI200" i="79"/>
  <c r="AI189" i="79"/>
  <c r="AI192" i="79"/>
  <c r="P183" i="79"/>
  <c r="AI187" i="79"/>
  <c r="P182" i="79"/>
  <c r="AI179" i="79"/>
  <c r="P177" i="79"/>
  <c r="P184" i="79"/>
  <c r="P181" i="79"/>
  <c r="AI178" i="79"/>
  <c r="AI188" i="79"/>
  <c r="AI185" i="79"/>
  <c r="AI191" i="79"/>
  <c r="AI183" i="79"/>
  <c r="AI182" i="79"/>
  <c r="P180" i="79"/>
  <c r="AI177" i="79"/>
  <c r="AI194" i="79"/>
  <c r="P179" i="79"/>
  <c r="P178" i="79"/>
  <c r="AI195" i="79"/>
  <c r="AI186" i="79"/>
  <c r="AI199" i="79"/>
  <c r="AI193" i="79"/>
  <c r="AI184" i="79"/>
  <c r="AI190" i="79"/>
  <c r="AI181" i="79"/>
  <c r="AI196" i="79"/>
  <c r="X35" i="79" a="1"/>
  <c r="X35" i="79" s="1"/>
  <c r="I24" i="78"/>
  <c r="K28" i="78"/>
  <c r="K32" i="78"/>
  <c r="K24" i="78"/>
  <c r="L28" i="78"/>
  <c r="J33" i="78"/>
  <c r="N33" i="78"/>
  <c r="M33" i="78"/>
  <c r="L33" i="78"/>
  <c r="X36" i="79" a="1"/>
  <c r="X36" i="79" s="1"/>
  <c r="S30" i="79"/>
  <c r="AJ34" i="79"/>
  <c r="J32" i="78"/>
  <c r="N24" i="78"/>
  <c r="M28" i="78"/>
  <c r="AJ39" i="79"/>
  <c r="X189" i="79"/>
  <c r="X177" i="79"/>
  <c r="X192" i="79"/>
  <c r="X180" i="79"/>
  <c r="N26" i="78"/>
  <c r="K26" i="78"/>
  <c r="I26" i="78"/>
  <c r="AE33" i="79" a="1"/>
  <c r="AE33" i="79" s="1"/>
  <c r="AE34" i="79" a="1"/>
  <c r="AE34" i="79" s="1"/>
  <c r="AJ35" i="79"/>
  <c r="X38" i="79" a="1"/>
  <c r="X38" i="79" s="1"/>
  <c r="AJ36" i="79"/>
  <c r="I31" i="78"/>
  <c r="X39" i="79" a="1"/>
  <c r="X39" i="79" s="1"/>
  <c r="X37" i="79" a="1"/>
  <c r="X37" i="79" s="1"/>
  <c r="E23" i="78"/>
  <c r="N23" i="78"/>
  <c r="M23" i="78"/>
  <c r="L23" i="78"/>
  <c r="H23" i="78"/>
  <c r="G23" i="78"/>
  <c r="F27" i="78"/>
  <c r="N27" i="78"/>
  <c r="L27" i="78"/>
  <c r="G30" i="78"/>
  <c r="F30" i="78"/>
  <c r="AI180" i="79"/>
  <c r="X194" i="79"/>
  <c r="X182" i="79"/>
  <c r="AC33" i="79" a="1"/>
  <c r="AC33" i="79" s="1"/>
  <c r="AH87" i="79"/>
  <c r="AF67" i="80" s="1"/>
  <c r="AH80" i="79"/>
  <c r="AF60" i="80" s="1"/>
  <c r="AH86" i="79"/>
  <c r="AF66" i="80" s="1"/>
  <c r="AH85" i="79"/>
  <c r="AF65" i="80" s="1"/>
  <c r="AH78" i="79"/>
  <c r="AF58" i="80" s="1"/>
  <c r="AH81" i="79"/>
  <c r="AF61" i="80" s="1"/>
  <c r="X178" i="79"/>
  <c r="E219" i="79"/>
  <c r="X198" i="79"/>
  <c r="X269" i="79"/>
  <c r="X193" i="79"/>
  <c r="X181" i="79"/>
  <c r="X251" i="79"/>
  <c r="X263" i="79"/>
  <c r="P237" i="79"/>
  <c r="X254" i="79"/>
  <c r="X266" i="79"/>
  <c r="F244" i="79"/>
  <c r="AI272" i="79"/>
  <c r="AI258" i="79"/>
  <c r="AI261" i="79"/>
  <c r="P236" i="79"/>
  <c r="AI264" i="79"/>
  <c r="P239" i="79"/>
  <c r="AI267" i="79"/>
  <c r="AI253" i="79"/>
  <c r="P242" i="79"/>
  <c r="AI270" i="79"/>
  <c r="AI256" i="79"/>
  <c r="AI273" i="79"/>
  <c r="AI265" i="79"/>
  <c r="AI251" i="79"/>
  <c r="P240" i="79"/>
  <c r="X219" i="79"/>
  <c r="X260" i="79"/>
  <c r="X272" i="79"/>
  <c r="AI269" i="79"/>
  <c r="AI263" i="79"/>
  <c r="F25" i="78"/>
  <c r="N180" i="78"/>
  <c r="O180" i="78"/>
  <c r="N25" i="78"/>
  <c r="M25" i="78"/>
  <c r="L25" i="78"/>
  <c r="J25" i="78"/>
  <c r="I25" i="78"/>
  <c r="G25" i="78"/>
  <c r="N178" i="78"/>
  <c r="O178" i="78" s="1"/>
  <c r="H25" i="78"/>
  <c r="M26" i="78"/>
  <c r="L26" i="78"/>
  <c r="J26" i="78"/>
  <c r="I29" i="78"/>
  <c r="E26" i="78"/>
  <c r="M29" i="78"/>
  <c r="M34" i="78"/>
  <c r="L34" i="78"/>
  <c r="K34" i="78"/>
  <c r="J34" i="78"/>
  <c r="I34" i="78"/>
  <c r="H34" i="78"/>
  <c r="G34" i="78"/>
  <c r="F34" i="78"/>
  <c r="K25" i="78"/>
  <c r="G32" i="78"/>
  <c r="F32" i="78"/>
  <c r="E32" i="78"/>
  <c r="N32" i="78"/>
  <c r="L29" i="78"/>
  <c r="K29" i="78"/>
  <c r="J29" i="78"/>
  <c r="H29" i="78"/>
  <c r="G29" i="78"/>
  <c r="E29" i="78"/>
  <c r="F26" i="78"/>
  <c r="N29" i="78"/>
  <c r="G26" i="78"/>
  <c r="N30" i="78"/>
  <c r="M30" i="78"/>
  <c r="K30" i="78"/>
  <c r="I30" i="78"/>
  <c r="J30" i="78"/>
  <c r="H30" i="78"/>
  <c r="H32" i="78"/>
  <c r="H26" i="78"/>
  <c r="E30" i="78"/>
  <c r="I32" i="78"/>
  <c r="M27" i="78"/>
  <c r="K31" i="78"/>
  <c r="M181" i="78"/>
  <c r="M31" i="78"/>
  <c r="E33" i="78"/>
  <c r="F24" i="78"/>
  <c r="G24" i="78"/>
  <c r="F33" i="78"/>
  <c r="N179" i="78"/>
  <c r="O179" i="78" s="1"/>
  <c r="H33" i="78"/>
  <c r="E27" i="78"/>
  <c r="I33" i="78"/>
  <c r="I16" i="77"/>
  <c r="I15" i="77"/>
  <c r="I14" i="77"/>
  <c r="I13" i="77"/>
  <c r="I12" i="77"/>
  <c r="I11" i="77"/>
  <c r="I10" i="77"/>
  <c r="I9" i="77"/>
  <c r="I8" i="77"/>
  <c r="I7" i="77"/>
  <c r="E10" i="76" a="1"/>
  <c r="E10" i="76" s="1"/>
  <c r="E9" i="76" a="1"/>
  <c r="E9" i="76" s="1"/>
  <c r="G33" i="79" l="1"/>
  <c r="N33" i="79" s="1" a="1"/>
  <c r="N33" i="79" s="1"/>
  <c r="Y36" i="79" a="1"/>
  <c r="Y36" i="79" s="1"/>
  <c r="AC36" i="79" s="1" a="1"/>
  <c r="AC36" i="79" s="1"/>
  <c r="K27" i="99"/>
  <c r="J27" i="99"/>
  <c r="I27" i="99"/>
  <c r="H27" i="99"/>
  <c r="G27" i="99"/>
  <c r="G44" i="112" a="1"/>
  <c r="G44" i="112" s="1"/>
  <c r="G45" i="112" a="1"/>
  <c r="G45" i="112" s="1"/>
  <c r="J47" i="112" a="1"/>
  <c r="J47" i="112" s="1"/>
  <c r="J48" i="112" a="1"/>
  <c r="J48" i="112" s="1"/>
  <c r="J43" i="112" a="1"/>
  <c r="J43" i="112" s="1"/>
  <c r="G51" i="112" a="1"/>
  <c r="G51" i="112" s="1"/>
  <c r="J46" i="112" a="1"/>
  <c r="J46" i="112" s="1"/>
  <c r="J49" i="112" a="1"/>
  <c r="J49" i="112" s="1"/>
  <c r="J50" i="112" a="1"/>
  <c r="J50" i="112" s="1"/>
  <c r="J51" i="112" a="1"/>
  <c r="J51" i="112" s="1"/>
  <c r="AC221" i="112"/>
  <c r="J173" i="102" a="1"/>
  <c r="J173" i="102" s="1"/>
  <c r="F161" i="80" a="1"/>
  <c r="F161" i="80" s="1"/>
  <c r="P33" i="98" a="1"/>
  <c r="P33" i="98" s="1"/>
  <c r="E51" i="98" s="1"/>
  <c r="O33" i="98" a="1"/>
  <c r="O33" i="98" s="1"/>
  <c r="E50" i="98" s="1"/>
  <c r="L40" i="99" a="1"/>
  <c r="L40" i="99" s="1"/>
  <c r="Q40" i="99" s="1" a="1"/>
  <c r="Q40" i="99" s="1"/>
  <c r="E59" i="102"/>
  <c r="H59" i="102" s="1" a="1"/>
  <c r="H59" i="102" s="1"/>
  <c r="H92" i="102" a="1"/>
  <c r="H92" i="102" s="1"/>
  <c r="H69" i="102" a="1"/>
  <c r="H69" i="102" s="1"/>
  <c r="H64" i="102" a="1"/>
  <c r="H64" i="102" s="1"/>
  <c r="H84" i="102" a="1"/>
  <c r="H84" i="102" s="1"/>
  <c r="H76" i="102" a="1"/>
  <c r="H76" i="102" s="1"/>
  <c r="H83" i="102" a="1"/>
  <c r="H83" i="102" s="1"/>
  <c r="H90" i="102" a="1"/>
  <c r="H90" i="102" s="1"/>
  <c r="H75" i="102" a="1"/>
  <c r="H75" i="102" s="1"/>
  <c r="H88" i="102" a="1"/>
  <c r="H88" i="102" s="1"/>
  <c r="H73" i="102" a="1"/>
  <c r="H73" i="102" s="1"/>
  <c r="H79" i="102" a="1"/>
  <c r="H79" i="102" s="1"/>
  <c r="H66" i="102" a="1"/>
  <c r="H66" i="102" s="1"/>
  <c r="H60" i="102" a="1"/>
  <c r="H60" i="102" s="1"/>
  <c r="H72" i="102" a="1"/>
  <c r="H72" i="102" s="1"/>
  <c r="H86" i="102" a="1"/>
  <c r="H86" i="102" s="1"/>
  <c r="H78" i="102" a="1"/>
  <c r="H78" i="102" s="1"/>
  <c r="H71" i="102" a="1"/>
  <c r="H71" i="102" s="1"/>
  <c r="H65" i="102" a="1"/>
  <c r="H65" i="102" s="1"/>
  <c r="H85" i="102" a="1"/>
  <c r="H85" i="102" s="1"/>
  <c r="H77" i="102" a="1"/>
  <c r="H77" i="102" s="1"/>
  <c r="H68" i="102" a="1"/>
  <c r="H68" i="102" s="1"/>
  <c r="H91" i="102" a="1"/>
  <c r="H91" i="102" s="1"/>
  <c r="H67" i="102" a="1"/>
  <c r="H67" i="102" s="1"/>
  <c r="H89" i="102" a="1"/>
  <c r="H89" i="102" s="1"/>
  <c r="H63" i="102" a="1"/>
  <c r="H63" i="102" s="1"/>
  <c r="H82" i="102" a="1"/>
  <c r="H82" i="102" s="1"/>
  <c r="H62" i="102" a="1"/>
  <c r="H62" i="102" s="1"/>
  <c r="H80" i="102" a="1"/>
  <c r="H80" i="102" s="1"/>
  <c r="H61" i="102" a="1"/>
  <c r="H61" i="102" s="1"/>
  <c r="H74" i="102" a="1"/>
  <c r="H74" i="102" s="1"/>
  <c r="V15" i="86"/>
  <c r="E116" i="102"/>
  <c r="J116" i="102" s="1" a="1"/>
  <c r="J116" i="102" s="1"/>
  <c r="J135" i="102" a="1"/>
  <c r="J135" i="102" s="1"/>
  <c r="J127" i="102" a="1"/>
  <c r="J127" i="102" s="1"/>
  <c r="J144" i="102" a="1"/>
  <c r="J144" i="102" s="1"/>
  <c r="J124" i="102" a="1"/>
  <c r="J124" i="102" s="1"/>
  <c r="J117" i="102" a="1"/>
  <c r="J117" i="102" s="1"/>
  <c r="J132" i="102" a="1"/>
  <c r="J132" i="102" s="1"/>
  <c r="J119" i="102" a="1"/>
  <c r="J119" i="102" s="1"/>
  <c r="G49" i="112" a="1"/>
  <c r="G49" i="112" s="1"/>
  <c r="AE246" i="112" a="1"/>
  <c r="AE246" i="112" s="1"/>
  <c r="AE31" i="79" a="1"/>
  <c r="AE31" i="79" s="1"/>
  <c r="G46" i="112" a="1"/>
  <c r="G46" i="112" s="1"/>
  <c r="K37" i="98" a="1"/>
  <c r="K37" i="98" s="1"/>
  <c r="J37" i="98" a="1"/>
  <c r="J37" i="98" s="1"/>
  <c r="H37" i="98" a="1"/>
  <c r="H37" i="98" s="1"/>
  <c r="I37" i="98" a="1"/>
  <c r="I37" i="98" s="1"/>
  <c r="D157" i="102"/>
  <c r="J157" i="102" s="1" a="1"/>
  <c r="J157" i="102" s="1"/>
  <c r="J179" i="102" a="1"/>
  <c r="J179" i="102" s="1"/>
  <c r="J162" i="102" a="1"/>
  <c r="J162" i="102" s="1"/>
  <c r="J175" i="102" a="1"/>
  <c r="J175" i="102" s="1"/>
  <c r="J161" i="102" a="1"/>
  <c r="J161" i="102" s="1"/>
  <c r="J178" i="102" a="1"/>
  <c r="J178" i="102" s="1"/>
  <c r="J185" i="102" a="1"/>
  <c r="J185" i="102" s="1"/>
  <c r="J160" i="102" a="1"/>
  <c r="J160" i="102" s="1"/>
  <c r="J177" i="102" a="1"/>
  <c r="J177" i="102" s="1"/>
  <c r="J166" i="102" a="1"/>
  <c r="J166" i="102" s="1"/>
  <c r="J163" i="102" a="1"/>
  <c r="J163" i="102" s="1"/>
  <c r="J159" i="102" a="1"/>
  <c r="J159" i="102" s="1"/>
  <c r="J167" i="102" a="1"/>
  <c r="J167" i="102" s="1"/>
  <c r="J165" i="102" a="1"/>
  <c r="J165" i="102" s="1"/>
  <c r="J168" i="102" a="1"/>
  <c r="J168" i="102" s="1"/>
  <c r="J176" i="102" a="1"/>
  <c r="J176" i="102" s="1"/>
  <c r="L28" i="99" a="1"/>
  <c r="L28" i="99" s="1"/>
  <c r="Q28" i="99" s="1" a="1"/>
  <c r="Q28" i="99" s="1"/>
  <c r="G50" i="112" a="1"/>
  <c r="G50" i="112" s="1"/>
  <c r="J174" i="102" a="1"/>
  <c r="J174" i="102" s="1"/>
  <c r="AA238" i="112" a="1"/>
  <c r="AA238" i="112" s="1"/>
  <c r="H16" i="86"/>
  <c r="I16" i="86" s="1"/>
  <c r="F31" i="86"/>
  <c r="G31" i="86" s="1"/>
  <c r="H43" i="86"/>
  <c r="H15" i="86"/>
  <c r="I15" i="86" s="1"/>
  <c r="H42" i="86"/>
  <c r="H13" i="86"/>
  <c r="I13" i="86" s="1"/>
  <c r="H12" i="86"/>
  <c r="H14" i="86"/>
  <c r="I14" i="86" s="1"/>
  <c r="F33" i="86"/>
  <c r="G33" i="86" s="1"/>
  <c r="F32" i="86"/>
  <c r="G32" i="86" s="1"/>
  <c r="F20" i="86"/>
  <c r="H44" i="86"/>
  <c r="F21" i="86"/>
  <c r="G21" i="86" s="1"/>
  <c r="F22" i="86"/>
  <c r="G22" i="86" s="1"/>
  <c r="W237" i="112" a="1"/>
  <c r="W237" i="112" s="1"/>
  <c r="AE237" i="112" a="1"/>
  <c r="AE237" i="112" s="1"/>
  <c r="S237" i="112" a="1"/>
  <c r="S237" i="112" s="1"/>
  <c r="G48" i="112" a="1"/>
  <c r="G48" i="112" s="1"/>
  <c r="G47" i="112" a="1"/>
  <c r="G47" i="112" s="1"/>
  <c r="J158" i="102" a="1"/>
  <c r="J158" i="102" s="1"/>
  <c r="F163" i="80" a="1"/>
  <c r="F163" i="80" s="1"/>
  <c r="J8" i="108" a="1"/>
  <c r="J8" i="108" s="1"/>
  <c r="H23" i="112" s="1" a="1"/>
  <c r="J9" i="108" a="1"/>
  <c r="J9" i="108" s="1"/>
  <c r="I128" i="91"/>
  <c r="I60" i="92"/>
  <c r="J53" i="91"/>
  <c r="S73" i="87"/>
  <c r="I54" i="87"/>
  <c r="I18" i="92"/>
  <c r="E22" i="72"/>
  <c r="V133" i="85" a="1"/>
  <c r="X235" i="79" a="1"/>
  <c r="V232" i="80" a="1"/>
  <c r="V232" i="80" s="1"/>
  <c r="J44" i="112" a="1"/>
  <c r="J44" i="112" s="1"/>
  <c r="X120" i="112" a="1"/>
  <c r="X120" i="112" s="1"/>
  <c r="F120" i="112" s="1"/>
  <c r="G120" i="112" s="1" a="1"/>
  <c r="G120" i="112" s="1"/>
  <c r="X119" i="112" a="1"/>
  <c r="X119" i="112" s="1"/>
  <c r="T127" i="112" a="1"/>
  <c r="T127" i="112" s="1"/>
  <c r="AA242" i="112" a="1"/>
  <c r="AA242" i="112" s="1"/>
  <c r="X128" i="112" a="1"/>
  <c r="X128" i="112" s="1"/>
  <c r="T122" i="112" a="1"/>
  <c r="T122" i="112" s="1"/>
  <c r="S246" i="112" a="1"/>
  <c r="S246" i="112" s="1"/>
  <c r="AB125" i="112" a="1"/>
  <c r="AB125" i="112" s="1"/>
  <c r="AA240" i="112" a="1"/>
  <c r="AA240" i="112" s="1"/>
  <c r="T119" i="112" a="1"/>
  <c r="T119" i="112" s="1"/>
  <c r="F119" i="112" s="1"/>
  <c r="G119" i="112" s="1" a="1"/>
  <c r="G119" i="112" s="1"/>
  <c r="S244" i="112" a="1"/>
  <c r="S244" i="112" s="1"/>
  <c r="F244" i="112" s="1" a="1"/>
  <c r="F244" i="112" s="1"/>
  <c r="T121" i="112" a="1"/>
  <c r="T121" i="112" s="1"/>
  <c r="AE239" i="112" a="1"/>
  <c r="AE239" i="112" s="1"/>
  <c r="X123" i="112" a="1"/>
  <c r="X123" i="112" s="1"/>
  <c r="AB124" i="112" a="1"/>
  <c r="AB124" i="112" s="1"/>
  <c r="W243" i="112" a="1"/>
  <c r="W243" i="112" s="1"/>
  <c r="AE241" i="112" a="1"/>
  <c r="AE241" i="112" s="1"/>
  <c r="AA239" i="112" a="1"/>
  <c r="AA239" i="112" s="1"/>
  <c r="AE240" i="112" a="1"/>
  <c r="AE240" i="112" s="1"/>
  <c r="AB123" i="112" a="1"/>
  <c r="AB123" i="112" s="1"/>
  <c r="X121" i="112" a="1"/>
  <c r="X121" i="112" s="1"/>
  <c r="L163" i="80" a="1"/>
  <c r="L163" i="80" s="1"/>
  <c r="AA237" i="112" a="1"/>
  <c r="AA237" i="112" s="1"/>
  <c r="F367" i="112"/>
  <c r="H374" i="112" a="1"/>
  <c r="H374" i="112" s="1"/>
  <c r="H371" i="112" a="1"/>
  <c r="H371" i="112" s="1"/>
  <c r="H372" i="112" a="1"/>
  <c r="H372" i="112" s="1"/>
  <c r="Y37" i="79" a="1"/>
  <c r="Y37" i="79" s="1"/>
  <c r="AC37" i="79" s="1" a="1"/>
  <c r="AC37" i="79" s="1"/>
  <c r="Y35" i="79" a="1"/>
  <c r="Y35" i="79" s="1"/>
  <c r="AE35" i="79" s="1" a="1"/>
  <c r="AE35" i="79" s="1"/>
  <c r="L161" i="80" a="1"/>
  <c r="L161" i="80" s="1"/>
  <c r="O221" i="112" a="1"/>
  <c r="AE228" i="112" s="1" a="1"/>
  <c r="AE228" i="112" s="1"/>
  <c r="V14" i="86"/>
  <c r="V221" i="112" a="1"/>
  <c r="V221" i="112" s="1"/>
  <c r="D19" i="87"/>
  <c r="F19" i="87" s="1" a="1"/>
  <c r="F19" i="87" s="1"/>
  <c r="F29" i="87" a="1"/>
  <c r="F29" i="87" s="1"/>
  <c r="F34" i="87" a="1"/>
  <c r="F34" i="87" s="1"/>
  <c r="F21" i="87" a="1"/>
  <c r="F21" i="87" s="1"/>
  <c r="F33" i="87" a="1"/>
  <c r="F33" i="87" s="1"/>
  <c r="F20" i="87" a="1"/>
  <c r="F20" i="87" s="1"/>
  <c r="F32" i="87" a="1"/>
  <c r="F32" i="87" s="1"/>
  <c r="F31" i="87" a="1"/>
  <c r="F31" i="87" s="1"/>
  <c r="F30" i="87" a="1"/>
  <c r="F30" i="87" s="1"/>
  <c r="F28" i="87" a="1"/>
  <c r="F28" i="87" s="1"/>
  <c r="F27" i="87" a="1"/>
  <c r="F27" i="87" s="1"/>
  <c r="F26" i="87" a="1"/>
  <c r="F26" i="87" s="1"/>
  <c r="F25" i="87" a="1"/>
  <c r="F25" i="87" s="1"/>
  <c r="F24" i="87" a="1"/>
  <c r="F24" i="87" s="1"/>
  <c r="F23" i="87" a="1"/>
  <c r="F23" i="87" s="1"/>
  <c r="F22" i="87" a="1"/>
  <c r="F22" i="87" s="1"/>
  <c r="F37" i="87" a="1"/>
  <c r="F37" i="87" s="1"/>
  <c r="F36" i="87" a="1"/>
  <c r="F36" i="87" s="1"/>
  <c r="F35" i="87" a="1"/>
  <c r="F35" i="87" s="1"/>
  <c r="E21" i="102"/>
  <c r="H21" i="102" s="1" a="1"/>
  <c r="H21" i="102" s="1"/>
  <c r="H47" i="102" a="1"/>
  <c r="H47" i="102" s="1"/>
  <c r="H39" i="102" a="1"/>
  <c r="H39" i="102" s="1"/>
  <c r="H31" i="102" a="1"/>
  <c r="H31" i="102" s="1"/>
  <c r="H24" i="102" a="1"/>
  <c r="H24" i="102" s="1"/>
  <c r="H54" i="102" a="1"/>
  <c r="H54" i="102" s="1"/>
  <c r="H45" i="102" a="1"/>
  <c r="H45" i="102" s="1"/>
  <c r="I45" i="102" s="1" a="1"/>
  <c r="I45" i="102" s="1"/>
  <c r="H140" i="102" s="1"/>
  <c r="H37" i="102" a="1"/>
  <c r="H37" i="102" s="1"/>
  <c r="H29" i="102" a="1"/>
  <c r="H29" i="102" s="1"/>
  <c r="H22" i="102" a="1"/>
  <c r="H22" i="102" s="1"/>
  <c r="H51" i="102" a="1"/>
  <c r="H51" i="102" s="1"/>
  <c r="H42" i="102" a="1"/>
  <c r="H42" i="102" s="1"/>
  <c r="H35" i="102" a="1"/>
  <c r="H35" i="102" s="1"/>
  <c r="H27" i="102" a="1"/>
  <c r="H27" i="102" s="1"/>
  <c r="H50" i="102" a="1"/>
  <c r="H50" i="102" s="1"/>
  <c r="H41" i="102" a="1"/>
  <c r="H41" i="102" s="1"/>
  <c r="H34" i="102" a="1"/>
  <c r="H34" i="102" s="1"/>
  <c r="H26" i="102" a="1"/>
  <c r="H26" i="102" s="1"/>
  <c r="H48" i="102" a="1"/>
  <c r="H48" i="102" s="1"/>
  <c r="H40" i="102" a="1"/>
  <c r="H40" i="102" s="1"/>
  <c r="H33" i="102" a="1"/>
  <c r="H33" i="102" s="1"/>
  <c r="H25" i="102" a="1"/>
  <c r="H25" i="102" s="1"/>
  <c r="H52" i="102" a="1"/>
  <c r="H52" i="102" s="1"/>
  <c r="H28" i="102" a="1"/>
  <c r="H28" i="102" s="1"/>
  <c r="H46" i="102" a="1"/>
  <c r="H46" i="102" s="1"/>
  <c r="H23" i="102" a="1"/>
  <c r="H23" i="102" s="1"/>
  <c r="H44" i="102" a="1"/>
  <c r="H44" i="102" s="1"/>
  <c r="H38" i="102" a="1"/>
  <c r="H38" i="102" s="1"/>
  <c r="H36" i="102" a="1"/>
  <c r="H36" i="102" s="1"/>
  <c r="H53" i="102" a="1"/>
  <c r="H53" i="102" s="1"/>
  <c r="H30" i="102" a="1"/>
  <c r="H30" i="102" s="1"/>
  <c r="X32" i="79" a="1"/>
  <c r="X32" i="79" s="1"/>
  <c r="Y32" i="79" s="1" a="1"/>
  <c r="Y32" i="79" s="1"/>
  <c r="K30" i="99"/>
  <c r="J30" i="99"/>
  <c r="I30" i="99"/>
  <c r="H30" i="99"/>
  <c r="G30" i="99"/>
  <c r="Q30" i="99" s="1" a="1"/>
  <c r="Q30" i="99" s="1"/>
  <c r="I38" i="99"/>
  <c r="H38" i="99"/>
  <c r="N38" i="99" s="1" a="1"/>
  <c r="N38" i="99" s="1"/>
  <c r="K38" i="99"/>
  <c r="J38" i="99"/>
  <c r="G38" i="99"/>
  <c r="V16" i="86"/>
  <c r="V12" i="86"/>
  <c r="V100" i="80" a="1"/>
  <c r="V100" i="80" s="1"/>
  <c r="W100" i="80" s="1" a="1"/>
  <c r="W100" i="80" s="1"/>
  <c r="E621" i="112"/>
  <c r="G32" i="99"/>
  <c r="K32" i="99"/>
  <c r="Q32" i="99" s="1" a="1"/>
  <c r="Q32" i="99" s="1"/>
  <c r="J32" i="99"/>
  <c r="I32" i="99"/>
  <c r="O32" i="99" s="1" a="1"/>
  <c r="O32" i="99" s="1"/>
  <c r="H32" i="99"/>
  <c r="X29" i="79" a="1"/>
  <c r="X29" i="79" s="1"/>
  <c r="Y29" i="79" s="1" a="1"/>
  <c r="Y29" i="79" s="1"/>
  <c r="X30" i="79" a="1"/>
  <c r="X30" i="79" s="1"/>
  <c r="Y30" i="79" s="1" a="1"/>
  <c r="Y30" i="79" s="1"/>
  <c r="O50" i="87"/>
  <c r="S52" i="87" a="1"/>
  <c r="S52" i="87" s="1"/>
  <c r="T51" i="87"/>
  <c r="V51" i="87" s="1" a="1"/>
  <c r="V51" i="87" s="1"/>
  <c r="R51" i="87" a="1"/>
  <c r="R51" i="87" s="1"/>
  <c r="S51" i="87" a="1"/>
  <c r="S51" i="87" s="1"/>
  <c r="J38" i="98" a="1"/>
  <c r="J38" i="98" s="1"/>
  <c r="P38" i="98" s="1" a="1"/>
  <c r="P38" i="98" s="1"/>
  <c r="H38" i="98" a="1"/>
  <c r="H38" i="98" s="1"/>
  <c r="Q33" i="99" a="1"/>
  <c r="Q33" i="99" s="1"/>
  <c r="L33" i="99" a="1"/>
  <c r="L33" i="99" s="1"/>
  <c r="Z221" i="112" a="1"/>
  <c r="Z221" i="112" s="1"/>
  <c r="AH221" i="112" a="1"/>
  <c r="AH221" i="112" s="1"/>
  <c r="S240" i="112" a="1"/>
  <c r="S240" i="112" s="1"/>
  <c r="D59" i="102"/>
  <c r="G59" i="102" s="1" a="1"/>
  <c r="G59" i="102" s="1"/>
  <c r="G85" i="102" a="1"/>
  <c r="G85" i="102" s="1"/>
  <c r="I85" i="102" s="1" a="1"/>
  <c r="I85" i="102" s="1"/>
  <c r="H183" i="102" s="1"/>
  <c r="G77" i="102" a="1"/>
  <c r="G77" i="102" s="1"/>
  <c r="I77" i="102" s="1" a="1"/>
  <c r="I77" i="102" s="1"/>
  <c r="H175" i="102" s="1"/>
  <c r="G92" i="102" a="1"/>
  <c r="G92" i="102" s="1"/>
  <c r="G69" i="102" a="1"/>
  <c r="G69" i="102" s="1"/>
  <c r="I69" i="102" s="1" a="1"/>
  <c r="I69" i="102" s="1"/>
  <c r="H167" i="102" s="1"/>
  <c r="G64" i="102" a="1"/>
  <c r="G64" i="102" s="1"/>
  <c r="I64" i="102" s="1" a="1"/>
  <c r="I64" i="102" s="1"/>
  <c r="H162" i="102" s="1"/>
  <c r="G91" i="102" a="1"/>
  <c r="G91" i="102" s="1"/>
  <c r="I91" i="102" s="1" a="1"/>
  <c r="I91" i="102" s="1"/>
  <c r="H189" i="102" s="1"/>
  <c r="G83" i="102" a="1"/>
  <c r="G83" i="102" s="1"/>
  <c r="I83" i="102" s="1" a="1"/>
  <c r="I83" i="102" s="1"/>
  <c r="H181" i="102" s="1"/>
  <c r="G63" i="102" a="1"/>
  <c r="G63" i="102" s="1"/>
  <c r="I63" i="102" s="1" a="1"/>
  <c r="I63" i="102" s="1"/>
  <c r="H161" i="102" s="1"/>
  <c r="I161" i="102" s="1"/>
  <c r="K161" i="102" s="1" a="1"/>
  <c r="K161" i="102" s="1"/>
  <c r="G80" i="102" a="1"/>
  <c r="G80" i="102" s="1"/>
  <c r="I80" i="102" s="1" a="1"/>
  <c r="I80" i="102" s="1"/>
  <c r="H178" i="102" s="1"/>
  <c r="G61" i="102" a="1"/>
  <c r="G61" i="102" s="1"/>
  <c r="G88" i="102" a="1"/>
  <c r="G88" i="102" s="1"/>
  <c r="G73" i="102" a="1"/>
  <c r="G73" i="102" s="1"/>
  <c r="G79" i="102" a="1"/>
  <c r="G79" i="102" s="1"/>
  <c r="G66" i="102" a="1"/>
  <c r="G66" i="102" s="1"/>
  <c r="G60" i="102" a="1"/>
  <c r="G60" i="102" s="1"/>
  <c r="G72" i="102" a="1"/>
  <c r="G72" i="102" s="1"/>
  <c r="I72" i="102" s="1" a="1"/>
  <c r="I72" i="102" s="1"/>
  <c r="H170" i="102" s="1"/>
  <c r="G86" i="102" a="1"/>
  <c r="G86" i="102" s="1"/>
  <c r="G78" i="102" a="1"/>
  <c r="G78" i="102" s="1"/>
  <c r="G71" i="102" a="1"/>
  <c r="G71" i="102" s="1"/>
  <c r="G65" i="102" a="1"/>
  <c r="G65" i="102" s="1"/>
  <c r="I65" i="102" s="1" a="1"/>
  <c r="I65" i="102" s="1"/>
  <c r="H163" i="102" s="1"/>
  <c r="I163" i="102" s="1"/>
  <c r="K163" i="102" s="1" a="1"/>
  <c r="K163" i="102" s="1"/>
  <c r="G74" i="102" a="1"/>
  <c r="G74" i="102" s="1"/>
  <c r="G68" i="102" a="1"/>
  <c r="G68" i="102" s="1"/>
  <c r="I68" i="102" s="1" a="1"/>
  <c r="I68" i="102" s="1"/>
  <c r="H166" i="102" s="1"/>
  <c r="I166" i="102" s="1"/>
  <c r="K166" i="102" s="1" a="1"/>
  <c r="K166" i="102" s="1"/>
  <c r="G90" i="102" a="1"/>
  <c r="G90" i="102" s="1"/>
  <c r="I90" i="102" s="1" a="1"/>
  <c r="I90" i="102" s="1"/>
  <c r="H188" i="102" s="1"/>
  <c r="G67" i="102" a="1"/>
  <c r="G67" i="102" s="1"/>
  <c r="I67" i="102" s="1" a="1"/>
  <c r="I67" i="102" s="1"/>
  <c r="H165" i="102" s="1"/>
  <c r="I165" i="102" s="1"/>
  <c r="K165" i="102" s="1" a="1"/>
  <c r="K165" i="102" s="1"/>
  <c r="G89" i="102" a="1"/>
  <c r="G89" i="102" s="1"/>
  <c r="G84" i="102" a="1"/>
  <c r="G84" i="102" s="1"/>
  <c r="G82" i="102" a="1"/>
  <c r="G82" i="102" s="1"/>
  <c r="G62" i="102" a="1"/>
  <c r="G62" i="102" s="1"/>
  <c r="G76" i="102" a="1"/>
  <c r="G76" i="102" s="1"/>
  <c r="G75" i="102" a="1"/>
  <c r="G75" i="102" s="1"/>
  <c r="I75" i="102" s="1" a="1"/>
  <c r="I75" i="102" s="1"/>
  <c r="H173" i="102" s="1"/>
  <c r="S241" i="112" a="1"/>
  <c r="S241" i="112" s="1"/>
  <c r="AD221" i="112" a="1"/>
  <c r="AD221" i="112" s="1"/>
  <c r="X126" i="112" a="1"/>
  <c r="X126" i="112" s="1"/>
  <c r="H25" i="98" a="1"/>
  <c r="H25" i="98" s="1"/>
  <c r="J120" i="102" a="1"/>
  <c r="J120" i="102" s="1"/>
  <c r="Y221" i="112" a="1"/>
  <c r="AK221" i="112" a="1"/>
  <c r="J134" i="102" a="1"/>
  <c r="J134" i="102" s="1"/>
  <c r="AB126" i="112" a="1"/>
  <c r="AB126" i="112" s="1"/>
  <c r="AE244" i="112" a="1"/>
  <c r="AE244" i="112" s="1"/>
  <c r="AA243" i="112" a="1"/>
  <c r="AA243" i="112" s="1"/>
  <c r="X127" i="112" a="1"/>
  <c r="X127" i="112" s="1"/>
  <c r="J123" i="102" a="1"/>
  <c r="J123" i="102" s="1"/>
  <c r="J136" i="102" a="1"/>
  <c r="J136" i="102" s="1"/>
  <c r="K33" i="99"/>
  <c r="J33" i="99"/>
  <c r="I33" i="99"/>
  <c r="H33" i="99"/>
  <c r="G33" i="99"/>
  <c r="D19" i="88"/>
  <c r="F19" i="88" s="1" a="1"/>
  <c r="F19" i="88" s="1"/>
  <c r="F35" i="88" a="1"/>
  <c r="F35" i="88" s="1"/>
  <c r="F21" i="88" a="1"/>
  <c r="F21" i="88" s="1"/>
  <c r="F34" i="88" a="1"/>
  <c r="F34" i="88" s="1"/>
  <c r="F20" i="88" a="1"/>
  <c r="F20" i="88" s="1"/>
  <c r="F27" i="88" a="1"/>
  <c r="F27" i="88" s="1"/>
  <c r="F26" i="88" a="1"/>
  <c r="F26" i="88" s="1"/>
  <c r="F25" i="88" a="1"/>
  <c r="F25" i="88" s="1"/>
  <c r="F24" i="88" a="1"/>
  <c r="F24" i="88" s="1"/>
  <c r="F37" i="88" a="1"/>
  <c r="F37" i="88" s="1"/>
  <c r="F23" i="88" a="1"/>
  <c r="F23" i="88" s="1"/>
  <c r="F36" i="88" a="1"/>
  <c r="F36" i="88" s="1"/>
  <c r="F22" i="88" a="1"/>
  <c r="F22" i="88" s="1"/>
  <c r="F33" i="88" a="1"/>
  <c r="F33" i="88" s="1"/>
  <c r="F32" i="88" a="1"/>
  <c r="F32" i="88" s="1"/>
  <c r="F31" i="88" a="1"/>
  <c r="F31" i="88" s="1"/>
  <c r="F30" i="88" a="1"/>
  <c r="F30" i="88" s="1"/>
  <c r="F29" i="88" a="1"/>
  <c r="F29" i="88" s="1"/>
  <c r="F28" i="88" a="1"/>
  <c r="F28" i="88" s="1"/>
  <c r="T126" i="112" a="1"/>
  <c r="T126" i="112" s="1"/>
  <c r="U221" i="112" a="1"/>
  <c r="T124" i="112" a="1"/>
  <c r="T124" i="112" s="1"/>
  <c r="X125" i="112" a="1"/>
  <c r="X125" i="112" s="1"/>
  <c r="T123" i="112" a="1"/>
  <c r="T123" i="112" s="1"/>
  <c r="AB127" i="112" a="1"/>
  <c r="AB127" i="112" s="1"/>
  <c r="H35" i="99"/>
  <c r="G35" i="99"/>
  <c r="Q35" i="99" s="1" a="1"/>
  <c r="Q35" i="99" s="1"/>
  <c r="K35" i="99"/>
  <c r="J35" i="99"/>
  <c r="I35" i="99"/>
  <c r="V13" i="86"/>
  <c r="Q221" i="112" a="1"/>
  <c r="D21" i="102"/>
  <c r="G182" i="102" a="1"/>
  <c r="G182" i="102" s="1"/>
  <c r="G164" i="102" a="1"/>
  <c r="G164" i="102" s="1"/>
  <c r="G130" i="102" a="1"/>
  <c r="G130" i="102" s="1"/>
  <c r="G181" i="102" a="1"/>
  <c r="G181" i="102" s="1"/>
  <c r="G173" i="102" a="1"/>
  <c r="G173" i="102" s="1"/>
  <c r="G129" i="102" a="1"/>
  <c r="G129" i="102" s="1"/>
  <c r="G121" i="102" a="1"/>
  <c r="G121" i="102" s="1"/>
  <c r="G47" i="102" a="1"/>
  <c r="G47" i="102" s="1"/>
  <c r="I47" i="102" s="1" a="1"/>
  <c r="I47" i="102" s="1"/>
  <c r="H142" i="102" s="1"/>
  <c r="G39" i="102" a="1"/>
  <c r="G39" i="102" s="1"/>
  <c r="G31" i="102" a="1"/>
  <c r="G31" i="102" s="1"/>
  <c r="I31" i="102" s="1" a="1"/>
  <c r="I31" i="102" s="1"/>
  <c r="H126" i="102" s="1"/>
  <c r="I126" i="102" s="1"/>
  <c r="K126" i="102" s="1" a="1"/>
  <c r="K126" i="102" s="1"/>
  <c r="G24" i="102" a="1"/>
  <c r="G24" i="102" s="1"/>
  <c r="G180" i="102" a="1"/>
  <c r="G180" i="102" s="1"/>
  <c r="G171" i="102" a="1"/>
  <c r="G171" i="102" s="1"/>
  <c r="G149" i="102" a="1"/>
  <c r="G149" i="102" s="1"/>
  <c r="G120" i="102" a="1"/>
  <c r="G120" i="102" s="1"/>
  <c r="G170" i="102" a="1"/>
  <c r="G170" i="102" s="1"/>
  <c r="G162" i="102" a="1"/>
  <c r="G162" i="102" s="1"/>
  <c r="G148" i="102" a="1"/>
  <c r="G148" i="102" s="1"/>
  <c r="G136" i="102" a="1"/>
  <c r="G136" i="102" s="1"/>
  <c r="G178" i="102" a="1"/>
  <c r="G178" i="102" s="1"/>
  <c r="G190" i="102" a="1"/>
  <c r="G190" i="102" s="1"/>
  <c r="G189" i="102" a="1"/>
  <c r="G189" i="102" s="1"/>
  <c r="G188" i="102" a="1"/>
  <c r="G188" i="102" s="1"/>
  <c r="G167" i="102" a="1"/>
  <c r="G167" i="102" s="1"/>
  <c r="I167" i="102" s="1"/>
  <c r="K167" i="102" s="1" a="1"/>
  <c r="K167" i="102" s="1"/>
  <c r="G160" i="102" a="1"/>
  <c r="G160" i="102" s="1"/>
  <c r="G134" i="102" a="1"/>
  <c r="G134" i="102" s="1"/>
  <c r="G187" i="102" a="1"/>
  <c r="G187" i="102" s="1"/>
  <c r="G176" i="102" a="1"/>
  <c r="G176" i="102" s="1"/>
  <c r="G143" i="102" a="1"/>
  <c r="G143" i="102" s="1"/>
  <c r="G124" i="102" a="1"/>
  <c r="G124" i="102" s="1"/>
  <c r="G117" i="102" a="1"/>
  <c r="G117" i="102" s="1"/>
  <c r="G51" i="102" a="1"/>
  <c r="G51" i="102" s="1"/>
  <c r="G42" i="102" a="1"/>
  <c r="G42" i="102" s="1"/>
  <c r="G35" i="102" a="1"/>
  <c r="G35" i="102" s="1"/>
  <c r="G27" i="102" a="1"/>
  <c r="G27" i="102" s="1"/>
  <c r="G186" i="102" a="1"/>
  <c r="G186" i="102" s="1"/>
  <c r="G166" i="102" a="1"/>
  <c r="G166" i="102" s="1"/>
  <c r="G159" i="102" a="1"/>
  <c r="G159" i="102" s="1"/>
  <c r="G142" i="102" a="1"/>
  <c r="G142" i="102" s="1"/>
  <c r="G133" i="102" a="1"/>
  <c r="G133" i="102" s="1"/>
  <c r="G175" i="102" a="1"/>
  <c r="G175" i="102" s="1"/>
  <c r="G141" i="102" a="1"/>
  <c r="G141" i="102" s="1"/>
  <c r="G123" i="102" a="1"/>
  <c r="G123" i="102" s="1"/>
  <c r="G50" i="102" a="1"/>
  <c r="G50" i="102" s="1"/>
  <c r="G41" i="102" a="1"/>
  <c r="G41" i="102" s="1"/>
  <c r="G34" i="102" a="1"/>
  <c r="G34" i="102" s="1"/>
  <c r="G26" i="102" a="1"/>
  <c r="G26" i="102" s="1"/>
  <c r="G184" i="102" a="1"/>
  <c r="G184" i="102" s="1"/>
  <c r="G165" i="102" a="1"/>
  <c r="G165" i="102" s="1"/>
  <c r="G158" i="102" a="1"/>
  <c r="G158" i="102" s="1"/>
  <c r="G140" i="102" a="1"/>
  <c r="G140" i="102" s="1"/>
  <c r="G132" i="102" a="1"/>
  <c r="G132" i="102" s="1"/>
  <c r="G183" i="102" a="1"/>
  <c r="G183" i="102" s="1"/>
  <c r="G174" i="102" a="1"/>
  <c r="G174" i="102" s="1"/>
  <c r="G139" i="102" a="1"/>
  <c r="G139" i="102" s="1"/>
  <c r="G131" i="102" a="1"/>
  <c r="G131" i="102" s="1"/>
  <c r="G122" i="102" a="1"/>
  <c r="G122" i="102" s="1"/>
  <c r="G48" i="102" a="1"/>
  <c r="G48" i="102" s="1"/>
  <c r="I48" i="102" s="1" a="1"/>
  <c r="I48" i="102" s="1"/>
  <c r="H143" i="102" s="1"/>
  <c r="G40" i="102" a="1"/>
  <c r="G40" i="102" s="1"/>
  <c r="G33" i="102" a="1"/>
  <c r="G33" i="102" s="1"/>
  <c r="G25" i="102" a="1"/>
  <c r="G25" i="102" s="1"/>
  <c r="G119" i="102" a="1"/>
  <c r="G119" i="102" s="1"/>
  <c r="G29" i="102" a="1"/>
  <c r="G29" i="102" s="1"/>
  <c r="G52" i="102" a="1"/>
  <c r="G52" i="102" s="1"/>
  <c r="I52" i="102" s="1" a="1"/>
  <c r="I52" i="102" s="1"/>
  <c r="H147" i="102" s="1"/>
  <c r="G147" i="102" a="1"/>
  <c r="G147" i="102" s="1"/>
  <c r="G118" i="102" a="1"/>
  <c r="G118" i="102" s="1"/>
  <c r="G28" i="102" a="1"/>
  <c r="G28" i="102" s="1"/>
  <c r="G146" i="102" a="1"/>
  <c r="G146" i="102" s="1"/>
  <c r="G46" i="102" a="1"/>
  <c r="G46" i="102" s="1"/>
  <c r="G145" i="102" a="1"/>
  <c r="G145" i="102" s="1"/>
  <c r="G45" i="102" a="1"/>
  <c r="G45" i="102" s="1"/>
  <c r="G23" i="102" a="1"/>
  <c r="G23" i="102" s="1"/>
  <c r="G137" i="102" a="1"/>
  <c r="G137" i="102" s="1"/>
  <c r="G22" i="102" a="1"/>
  <c r="G22" i="102" s="1"/>
  <c r="G177" i="102" a="1"/>
  <c r="G177" i="102" s="1"/>
  <c r="G44" i="102" a="1"/>
  <c r="G44" i="102" s="1"/>
  <c r="G172" i="102" a="1"/>
  <c r="G172" i="102" s="1"/>
  <c r="G135" i="102" a="1"/>
  <c r="G135" i="102" s="1"/>
  <c r="G169" i="102" a="1"/>
  <c r="G169" i="102" s="1"/>
  <c r="G38" i="102" a="1"/>
  <c r="G38" i="102" s="1"/>
  <c r="I38" i="102" s="1" a="1"/>
  <c r="I38" i="102" s="1"/>
  <c r="H133" i="102" s="1"/>
  <c r="I133" i="102" s="1"/>
  <c r="K133" i="102" s="1" a="1"/>
  <c r="K133" i="102" s="1"/>
  <c r="G128" i="102" a="1"/>
  <c r="G128" i="102" s="1"/>
  <c r="G37" i="102" a="1"/>
  <c r="G37" i="102" s="1"/>
  <c r="I37" i="102" s="1" a="1"/>
  <c r="I37" i="102" s="1"/>
  <c r="H132" i="102" s="1"/>
  <c r="I132" i="102" s="1"/>
  <c r="K132" i="102" s="1" a="1"/>
  <c r="K132" i="102" s="1"/>
  <c r="G126" i="102" a="1"/>
  <c r="G126" i="102" s="1"/>
  <c r="G163" i="102" a="1"/>
  <c r="G163" i="102" s="1"/>
  <c r="G54" i="102" a="1"/>
  <c r="G54" i="102" s="1"/>
  <c r="G36" i="102" a="1"/>
  <c r="G36" i="102" s="1"/>
  <c r="G125" i="102" a="1"/>
  <c r="G125" i="102" s="1"/>
  <c r="G161" i="102" a="1"/>
  <c r="G161" i="102" s="1"/>
  <c r="G53" i="102" a="1"/>
  <c r="G53" i="102" s="1"/>
  <c r="G30" i="102" a="1"/>
  <c r="G30" i="102" s="1"/>
  <c r="I30" i="102" s="1" a="1"/>
  <c r="I30" i="102" s="1"/>
  <c r="H125" i="102" s="1"/>
  <c r="I125" i="102" s="1"/>
  <c r="K125" i="102" s="1" a="1"/>
  <c r="K125" i="102" s="1"/>
  <c r="AL221" i="112" a="1"/>
  <c r="AL221" i="112" s="1"/>
  <c r="AG221" i="112" a="1"/>
  <c r="D270" i="112"/>
  <c r="E275" i="112"/>
  <c r="I275" i="112" s="1" a="1"/>
  <c r="I275" i="112" s="1"/>
  <c r="F281" i="112" a="1"/>
  <c r="F281" i="112" s="1"/>
  <c r="F274" i="112" a="1"/>
  <c r="F274" i="112" s="1"/>
  <c r="I274" i="112" s="1" a="1"/>
  <c r="I274" i="112" s="1"/>
  <c r="E280" i="112"/>
  <c r="E273" i="112"/>
  <c r="E278" i="112"/>
  <c r="E271" i="112"/>
  <c r="F277" i="112" a="1"/>
  <c r="F277" i="112" s="1"/>
  <c r="E277" i="112"/>
  <c r="F276" i="112" a="1"/>
  <c r="F276" i="112" s="1"/>
  <c r="E276" i="112"/>
  <c r="F275" i="112" a="1"/>
  <c r="F275" i="112" s="1"/>
  <c r="E281" i="112"/>
  <c r="I281" i="112" s="1" a="1"/>
  <c r="I281" i="112" s="1"/>
  <c r="F280" i="112" a="1"/>
  <c r="F280" i="112" s="1"/>
  <c r="G280" i="112" s="1" a="1"/>
  <c r="G280" i="112" s="1"/>
  <c r="F279" i="112" a="1"/>
  <c r="F279" i="112" s="1"/>
  <c r="I279" i="112" s="1" a="1"/>
  <c r="I279" i="112" s="1"/>
  <c r="E279" i="112"/>
  <c r="F278" i="112" a="1"/>
  <c r="F278" i="112" s="1"/>
  <c r="I278" i="112" s="1" a="1"/>
  <c r="I278" i="112" s="1"/>
  <c r="E274" i="112"/>
  <c r="G274" i="112" s="1" a="1"/>
  <c r="G274" i="112" s="1"/>
  <c r="F273" i="112" a="1"/>
  <c r="F273" i="112" s="1"/>
  <c r="F272" i="112" a="1"/>
  <c r="F272" i="112" s="1"/>
  <c r="E272" i="112"/>
  <c r="F271" i="112" a="1"/>
  <c r="F271" i="112" s="1"/>
  <c r="D19" i="91"/>
  <c r="F19" i="91" s="1" a="1"/>
  <c r="F19" i="91" s="1"/>
  <c r="G19" i="91" s="1" a="1"/>
  <c r="G19" i="91" s="1"/>
  <c r="F37" i="91" a="1"/>
  <c r="F37" i="91" s="1"/>
  <c r="G37" i="91" s="1" a="1"/>
  <c r="G37" i="91" s="1"/>
  <c r="F30" i="91" a="1"/>
  <c r="F30" i="91" s="1"/>
  <c r="G30" i="91" s="1" a="1"/>
  <c r="G30" i="91" s="1"/>
  <c r="F23" i="91" a="1"/>
  <c r="F23" i="91" s="1"/>
  <c r="G23" i="91" s="1" a="1"/>
  <c r="G23" i="91" s="1"/>
  <c r="F33" i="91" a="1"/>
  <c r="F33" i="91" s="1"/>
  <c r="G33" i="91" s="1" a="1"/>
  <c r="G33" i="91" s="1"/>
  <c r="F26" i="91" a="1"/>
  <c r="F26" i="91" s="1"/>
  <c r="G26" i="91" s="1" a="1"/>
  <c r="G26" i="91" s="1"/>
  <c r="F32" i="91" a="1"/>
  <c r="F32" i="91" s="1"/>
  <c r="G32" i="91" s="1" a="1"/>
  <c r="G32" i="91" s="1"/>
  <c r="F25" i="91" a="1"/>
  <c r="F25" i="91" s="1"/>
  <c r="G25" i="91" s="1" a="1"/>
  <c r="G25" i="91" s="1"/>
  <c r="F31" i="91" a="1"/>
  <c r="F31" i="91" s="1"/>
  <c r="G31" i="91" s="1" a="1"/>
  <c r="G31" i="91" s="1"/>
  <c r="F24" i="91" a="1"/>
  <c r="F24" i="91" s="1"/>
  <c r="G24" i="91" s="1" a="1"/>
  <c r="G24" i="91" s="1"/>
  <c r="F27" i="91" a="1"/>
  <c r="F27" i="91" s="1"/>
  <c r="G27" i="91" s="1" a="1"/>
  <c r="G27" i="91" s="1"/>
  <c r="F22" i="91" a="1"/>
  <c r="F22" i="91" s="1"/>
  <c r="G22" i="91" s="1" a="1"/>
  <c r="G22" i="91" s="1"/>
  <c r="F36" i="91" a="1"/>
  <c r="F36" i="91" s="1"/>
  <c r="G36" i="91" s="1" a="1"/>
  <c r="G36" i="91" s="1"/>
  <c r="F21" i="91" a="1"/>
  <c r="F21" i="91" s="1"/>
  <c r="G21" i="91" s="1" a="1"/>
  <c r="G21" i="91" s="1"/>
  <c r="F35" i="91" a="1"/>
  <c r="F35" i="91" s="1"/>
  <c r="G35" i="91" s="1" a="1"/>
  <c r="G35" i="91" s="1"/>
  <c r="F20" i="91" a="1"/>
  <c r="F20" i="91" s="1"/>
  <c r="G20" i="91" s="1" a="1"/>
  <c r="G20" i="91" s="1"/>
  <c r="F34" i="91" a="1"/>
  <c r="F34" i="91" s="1"/>
  <c r="G34" i="91" s="1" a="1"/>
  <c r="G34" i="91" s="1"/>
  <c r="F29" i="91" a="1"/>
  <c r="F29" i="91" s="1"/>
  <c r="G29" i="91" s="1" a="1"/>
  <c r="G29" i="91" s="1"/>
  <c r="F28" i="91" a="1"/>
  <c r="F28" i="91" s="1"/>
  <c r="G28" i="91" s="1" a="1"/>
  <c r="G28" i="91" s="1"/>
  <c r="G29" i="99"/>
  <c r="N29" i="99" s="1" a="1"/>
  <c r="N29" i="99" s="1"/>
  <c r="K29" i="99"/>
  <c r="Q29" i="99" s="1" a="1"/>
  <c r="Q29" i="99" s="1"/>
  <c r="J29" i="99"/>
  <c r="I29" i="99"/>
  <c r="H29" i="99"/>
  <c r="J125" i="102" a="1"/>
  <c r="J125" i="102" s="1"/>
  <c r="AB122" i="112" a="1"/>
  <c r="AB122" i="112" s="1"/>
  <c r="F122" i="112" s="1"/>
  <c r="P221" i="112" a="1"/>
  <c r="P221" i="112" s="1"/>
  <c r="J133" i="102" a="1"/>
  <c r="J133" i="102" s="1"/>
  <c r="J137" i="102" a="1"/>
  <c r="J137" i="102" s="1"/>
  <c r="S239" i="112" a="1"/>
  <c r="S239" i="112" s="1"/>
  <c r="AB119" i="112" a="1"/>
  <c r="AB119" i="112" s="1"/>
  <c r="Y180" i="80" a="1"/>
  <c r="Y180" i="80" s="1"/>
  <c r="W180" i="80" a="1"/>
  <c r="W180" i="80" s="1"/>
  <c r="AC180" i="80" a="1"/>
  <c r="AC180" i="80" s="1"/>
  <c r="AC183" i="80" a="1"/>
  <c r="AC183" i="80" s="1"/>
  <c r="Y183" i="80" a="1"/>
  <c r="Y183" i="80" s="1"/>
  <c r="W183" i="80" a="1"/>
  <c r="W183" i="80" s="1"/>
  <c r="W190" i="80" a="1"/>
  <c r="W190" i="80" s="1"/>
  <c r="AC190" i="80" a="1"/>
  <c r="AC190" i="80" s="1"/>
  <c r="Y190" i="80" a="1"/>
  <c r="Y190" i="80" s="1"/>
  <c r="AC185" i="80" a="1"/>
  <c r="AC185" i="80" s="1"/>
  <c r="Y185" i="80" a="1"/>
  <c r="Y185" i="80" s="1"/>
  <c r="W185" i="80" a="1"/>
  <c r="W185" i="80" s="1"/>
  <c r="AC188" i="80" a="1"/>
  <c r="AC188" i="80" s="1"/>
  <c r="Y188" i="80" a="1"/>
  <c r="Y188" i="80" s="1"/>
  <c r="W188" i="80" a="1"/>
  <c r="W188" i="80" s="1"/>
  <c r="AC187" i="80" a="1"/>
  <c r="AC187" i="80" s="1"/>
  <c r="Y187" i="80" a="1"/>
  <c r="Y187" i="80" s="1"/>
  <c r="W187" i="80" a="1"/>
  <c r="W187" i="80" s="1"/>
  <c r="AC182" i="80" a="1"/>
  <c r="AC182" i="80" s="1"/>
  <c r="Y182" i="80" a="1"/>
  <c r="Y182" i="80" s="1"/>
  <c r="W182" i="80" a="1"/>
  <c r="W182" i="80" s="1"/>
  <c r="AC184" i="80" a="1"/>
  <c r="AC184" i="80" s="1"/>
  <c r="Y184" i="80" a="1"/>
  <c r="Y184" i="80" s="1"/>
  <c r="W184" i="80" a="1"/>
  <c r="W184" i="80" s="1"/>
  <c r="AC191" i="80" a="1"/>
  <c r="AC191" i="80" s="1"/>
  <c r="Y191" i="80" a="1"/>
  <c r="Y191" i="80" s="1"/>
  <c r="W191" i="80" a="1"/>
  <c r="W191" i="80" s="1"/>
  <c r="AC186" i="80" a="1"/>
  <c r="AC186" i="80" s="1"/>
  <c r="Y186" i="80" a="1"/>
  <c r="Y186" i="80" s="1"/>
  <c r="W186" i="80" a="1"/>
  <c r="W186" i="80" s="1"/>
  <c r="Y189" i="80" a="1"/>
  <c r="Y189" i="80" s="1"/>
  <c r="W189" i="80" a="1"/>
  <c r="W189" i="80" s="1"/>
  <c r="AC189" i="80" a="1"/>
  <c r="AC189" i="80" s="1"/>
  <c r="W181" i="80" a="1"/>
  <c r="W181" i="80" s="1"/>
  <c r="AC181" i="80" a="1"/>
  <c r="AC181" i="80" s="1"/>
  <c r="Y181" i="80" a="1"/>
  <c r="Y181" i="80" s="1"/>
  <c r="E473" i="112"/>
  <c r="F124" i="112"/>
  <c r="I124" i="112" s="1" a="1"/>
  <c r="I124" i="112" s="1"/>
  <c r="F121" i="112"/>
  <c r="G121" i="112" s="1" a="1"/>
  <c r="G121" i="112" s="1"/>
  <c r="F128" i="112"/>
  <c r="I128" i="112" s="1" a="1"/>
  <c r="I128" i="112" s="1"/>
  <c r="M29" i="112" a="1"/>
  <c r="M29" i="112" s="1"/>
  <c r="Q27" i="99" a="1"/>
  <c r="Q27" i="99" s="1"/>
  <c r="Q38" i="98" a="1"/>
  <c r="Q38" i="98" s="1"/>
  <c r="Q39" i="98" a="1"/>
  <c r="Q39" i="98" s="1"/>
  <c r="N34" i="98" a="1"/>
  <c r="N34" i="98" s="1"/>
  <c r="O34" i="98" a="1"/>
  <c r="O34" i="98" s="1"/>
  <c r="Q30" i="98" a="1"/>
  <c r="Q30" i="98" s="1"/>
  <c r="Q29" i="98" a="1"/>
  <c r="Q29" i="98" s="1"/>
  <c r="E472" i="112"/>
  <c r="H376" i="112" a="1"/>
  <c r="H376" i="112" s="1"/>
  <c r="H370" i="112" a="1"/>
  <c r="H370" i="112" s="1"/>
  <c r="F125" i="112"/>
  <c r="I125" i="112" s="1" a="1"/>
  <c r="I125" i="112" s="1"/>
  <c r="J372" i="112" a="1"/>
  <c r="J372" i="112" s="1"/>
  <c r="J368" i="112" a="1"/>
  <c r="J368" i="112" s="1"/>
  <c r="E141" i="112"/>
  <c r="J31" i="112" a="1"/>
  <c r="J31" i="112" s="1"/>
  <c r="J371" i="112" a="1"/>
  <c r="J371" i="112" s="1"/>
  <c r="E142" i="112"/>
  <c r="F241" i="112" a="1"/>
  <c r="F241" i="112" s="1"/>
  <c r="E348" i="112"/>
  <c r="F123" i="112"/>
  <c r="G123" i="112" s="1" a="1"/>
  <c r="G123" i="112" s="1"/>
  <c r="J374" i="112" a="1"/>
  <c r="J374" i="112" s="1"/>
  <c r="F245" i="112" a="1"/>
  <c r="F245" i="112" s="1"/>
  <c r="M28" i="112" a="1"/>
  <c r="M28" i="112" s="1"/>
  <c r="E639" i="112"/>
  <c r="E642" i="112" s="1"/>
  <c r="H369" i="112" a="1"/>
  <c r="H369" i="112" s="1"/>
  <c r="E483" i="112"/>
  <c r="G124" i="112" a="1"/>
  <c r="G124" i="112" s="1"/>
  <c r="E166" i="112"/>
  <c r="I25" i="102" a="1"/>
  <c r="I25" i="102" s="1"/>
  <c r="H120" i="102" s="1"/>
  <c r="I120" i="102" s="1"/>
  <c r="K120" i="102" s="1" a="1"/>
  <c r="K120" i="102" s="1"/>
  <c r="F239" i="112" a="1"/>
  <c r="F239" i="112" s="1"/>
  <c r="J375" i="112" a="1"/>
  <c r="J375" i="112" s="1"/>
  <c r="H375" i="112" a="1"/>
  <c r="H375" i="112" s="1"/>
  <c r="H438" i="112" a="1"/>
  <c r="H438" i="112" s="1"/>
  <c r="J438" i="112" a="1"/>
  <c r="J438" i="112" s="1"/>
  <c r="F238" i="112" a="1"/>
  <c r="F238" i="112" s="1"/>
  <c r="I276" i="112" a="1"/>
  <c r="I276" i="112" s="1"/>
  <c r="G276" i="112" a="1"/>
  <c r="G276" i="112" s="1"/>
  <c r="J436" i="112" a="1"/>
  <c r="J436" i="112" s="1"/>
  <c r="H436" i="112" a="1"/>
  <c r="H436" i="112" s="1"/>
  <c r="F243" i="112" a="1"/>
  <c r="F243" i="112" s="1"/>
  <c r="G128" i="112" a="1"/>
  <c r="G128" i="112" s="1"/>
  <c r="J455" i="112" a="1"/>
  <c r="J455" i="112" s="1"/>
  <c r="H455" i="112" a="1"/>
  <c r="H455" i="112" s="1"/>
  <c r="M23" i="112" a="1"/>
  <c r="M23" i="112" s="1"/>
  <c r="F242" i="112" a="1"/>
  <c r="F242" i="112" s="1"/>
  <c r="F246" i="112" a="1"/>
  <c r="F246" i="112" s="1"/>
  <c r="M30" i="112" a="1"/>
  <c r="M30" i="112" s="1"/>
  <c r="F240" i="112" a="1"/>
  <c r="F240" i="112" s="1"/>
  <c r="I271" i="112" a="1"/>
  <c r="I271" i="112" s="1"/>
  <c r="G271" i="112" a="1"/>
  <c r="G271" i="112" s="1"/>
  <c r="H456" i="112" a="1"/>
  <c r="H456" i="112" s="1"/>
  <c r="J456" i="112" a="1"/>
  <c r="J456" i="112" s="1"/>
  <c r="E90" i="112"/>
  <c r="G61" i="112" a="1"/>
  <c r="G61" i="112" s="1"/>
  <c r="E72" i="112" s="1"/>
  <c r="J61" i="112" a="1"/>
  <c r="J61" i="112" s="1"/>
  <c r="E73" i="112" s="1"/>
  <c r="I273" i="112" a="1"/>
  <c r="I273" i="112" s="1"/>
  <c r="G273" i="112" a="1"/>
  <c r="G273" i="112" s="1"/>
  <c r="J454" i="112" a="1"/>
  <c r="J454" i="112" s="1"/>
  <c r="H454" i="112" a="1"/>
  <c r="H454" i="112" s="1"/>
  <c r="M25" i="112" a="1"/>
  <c r="M25" i="112" s="1"/>
  <c r="H373" i="112" a="1"/>
  <c r="H373" i="112" s="1"/>
  <c r="E502" i="112"/>
  <c r="G42" i="112" a="1"/>
  <c r="G42" i="112" s="1"/>
  <c r="J42" i="112" a="1"/>
  <c r="J42" i="112" s="1"/>
  <c r="E54" i="112" s="1"/>
  <c r="I277" i="112" a="1"/>
  <c r="I277" i="112" s="1"/>
  <c r="G277" i="112" a="1"/>
  <c r="G277" i="112" s="1"/>
  <c r="I33" i="102" a="1"/>
  <c r="I33" i="102" s="1"/>
  <c r="H128" i="102" s="1"/>
  <c r="I280" i="112" a="1"/>
  <c r="I280" i="112" s="1"/>
  <c r="E411" i="112"/>
  <c r="J437" i="112" a="1"/>
  <c r="J437" i="112" s="1"/>
  <c r="H437" i="112" a="1"/>
  <c r="H437" i="112" s="1"/>
  <c r="I272" i="112" a="1"/>
  <c r="I272" i="112" s="1"/>
  <c r="G272" i="112" a="1"/>
  <c r="G272" i="112" s="1"/>
  <c r="G278" i="112" a="1"/>
  <c r="G278" i="112" s="1"/>
  <c r="E91" i="112"/>
  <c r="I173" i="102"/>
  <c r="K173" i="102" s="1" a="1"/>
  <c r="K173" i="102" s="1"/>
  <c r="O21" i="105" a="1"/>
  <c r="O21" i="105" s="1"/>
  <c r="E21" i="105" a="1"/>
  <c r="E21" i="105" s="1"/>
  <c r="I26" i="102" a="1"/>
  <c r="I26" i="102" s="1"/>
  <c r="H121" i="102" s="1"/>
  <c r="I121" i="102" s="1"/>
  <c r="K121" i="102" s="1" a="1"/>
  <c r="K121" i="102" s="1"/>
  <c r="I23" i="102" a="1"/>
  <c r="I23" i="102" s="1"/>
  <c r="H118" i="102" s="1"/>
  <c r="I175" i="102"/>
  <c r="K175" i="102" s="1" a="1"/>
  <c r="K175" i="102" s="1"/>
  <c r="I29" i="102" a="1"/>
  <c r="I29" i="102" s="1"/>
  <c r="H124" i="102" s="1"/>
  <c r="I124" i="102" s="1"/>
  <c r="K124" i="102" s="1" a="1"/>
  <c r="K124" i="102" s="1"/>
  <c r="I36" i="102" a="1"/>
  <c r="I36" i="102" s="1"/>
  <c r="H131" i="102" s="1"/>
  <c r="I162" i="102"/>
  <c r="K162" i="102" s="1" a="1"/>
  <c r="K162" i="102" s="1"/>
  <c r="I40" i="102" a="1"/>
  <c r="I40" i="102" s="1"/>
  <c r="H135" i="102" s="1"/>
  <c r="AC36" i="85" a="1"/>
  <c r="AC36" i="85" s="1"/>
  <c r="AB36" i="85" a="1"/>
  <c r="AB36" i="85" s="1"/>
  <c r="I27" i="102" a="1"/>
  <c r="I27" i="102" s="1"/>
  <c r="H122" i="102" s="1"/>
  <c r="I122" i="102" s="1"/>
  <c r="K122" i="102" s="1" a="1"/>
  <c r="K122" i="102" s="1"/>
  <c r="I28" i="102" a="1"/>
  <c r="I28" i="102" s="1"/>
  <c r="H123" i="102" s="1"/>
  <c r="I123" i="102" s="1"/>
  <c r="K123" i="102" s="1" a="1"/>
  <c r="K123" i="102" s="1"/>
  <c r="I34" i="102" a="1"/>
  <c r="I34" i="102" s="1"/>
  <c r="H129" i="102" s="1"/>
  <c r="I61" i="102" a="1"/>
  <c r="I61" i="102" s="1"/>
  <c r="H159" i="102" s="1"/>
  <c r="I159" i="102" s="1"/>
  <c r="K159" i="102" s="1" a="1"/>
  <c r="K159" i="102" s="1"/>
  <c r="I53" i="102" a="1"/>
  <c r="I53" i="102" s="1"/>
  <c r="H148" i="102" s="1"/>
  <c r="I71" i="102" a="1"/>
  <c r="I71" i="102" s="1"/>
  <c r="H169" i="102" s="1"/>
  <c r="I178" i="102"/>
  <c r="K178" i="102" s="1" a="1"/>
  <c r="K178" i="102" s="1"/>
  <c r="I82" i="102" a="1"/>
  <c r="I82" i="102" s="1"/>
  <c r="H180" i="102" s="1"/>
  <c r="I74" i="102" a="1"/>
  <c r="I74" i="102" s="1"/>
  <c r="H172" i="102" s="1"/>
  <c r="I44" i="102" a="1"/>
  <c r="I44" i="102" s="1"/>
  <c r="H139" i="102" s="1"/>
  <c r="I66" i="102" a="1"/>
  <c r="I66" i="102" s="1"/>
  <c r="H164" i="102" s="1"/>
  <c r="I164" i="102" s="1"/>
  <c r="K164" i="102" s="1" a="1"/>
  <c r="K164" i="102" s="1"/>
  <c r="I92" i="102" a="1"/>
  <c r="I92" i="102" s="1"/>
  <c r="H190" i="102" s="1"/>
  <c r="I39" i="102" a="1"/>
  <c r="I39" i="102" s="1"/>
  <c r="H134" i="102" s="1"/>
  <c r="I134" i="102" s="1"/>
  <c r="K134" i="102" s="1" a="1"/>
  <c r="K134" i="102" s="1"/>
  <c r="I84" i="102" a="1"/>
  <c r="I84" i="102" s="1"/>
  <c r="H182" i="102" s="1"/>
  <c r="I54" i="102" a="1"/>
  <c r="I54" i="102" s="1"/>
  <c r="H149" i="102" s="1"/>
  <c r="I22" i="102" a="1"/>
  <c r="I22" i="102" s="1"/>
  <c r="H117" i="102" s="1"/>
  <c r="I117" i="102" s="1"/>
  <c r="K117" i="102" s="1" a="1"/>
  <c r="K117" i="102" s="1"/>
  <c r="I76" i="102" a="1"/>
  <c r="I76" i="102" s="1"/>
  <c r="H174" i="102" s="1"/>
  <c r="I174" i="102" s="1"/>
  <c r="K174" i="102" s="1" a="1"/>
  <c r="K174" i="102" s="1"/>
  <c r="I50" i="102" a="1"/>
  <c r="I50" i="102" s="1"/>
  <c r="H145" i="102" s="1"/>
  <c r="I46" i="102" a="1"/>
  <c r="I46" i="102" s="1"/>
  <c r="H141" i="102" s="1"/>
  <c r="I42" i="102" a="1"/>
  <c r="I42" i="102" s="1"/>
  <c r="H137" i="102" s="1"/>
  <c r="I137" i="102" s="1"/>
  <c r="K137" i="102" s="1" a="1"/>
  <c r="K137" i="102" s="1"/>
  <c r="I86" i="102" a="1"/>
  <c r="I86" i="102" s="1"/>
  <c r="H184" i="102" s="1"/>
  <c r="I24" i="102" a="1"/>
  <c r="I24" i="102" s="1"/>
  <c r="H119" i="102" s="1"/>
  <c r="I41" i="102" a="1"/>
  <c r="I41" i="102" s="1"/>
  <c r="H136" i="102" s="1"/>
  <c r="I136" i="102" s="1"/>
  <c r="K136" i="102" s="1" a="1"/>
  <c r="K136" i="102" s="1"/>
  <c r="I35" i="102" a="1"/>
  <c r="I35" i="102" s="1"/>
  <c r="H130" i="102" s="1"/>
  <c r="I59" i="102" a="1"/>
  <c r="I59" i="102" s="1"/>
  <c r="H157" i="102" s="1"/>
  <c r="I78" i="102" a="1"/>
  <c r="I78" i="102" s="1"/>
  <c r="H176" i="102" s="1"/>
  <c r="I176" i="102" s="1"/>
  <c r="K176" i="102" s="1" a="1"/>
  <c r="K176" i="102" s="1"/>
  <c r="Q37" i="99" a="1"/>
  <c r="Q37" i="99" s="1"/>
  <c r="P26" i="99" a="1"/>
  <c r="P26" i="99" s="1"/>
  <c r="O26" i="99" a="1"/>
  <c r="O26" i="99" s="1"/>
  <c r="N26" i="99" a="1"/>
  <c r="N26" i="99" s="1"/>
  <c r="P32" i="99" a="1"/>
  <c r="P32" i="99" s="1"/>
  <c r="N32" i="99" a="1"/>
  <c r="N32" i="99" s="1"/>
  <c r="P31" i="99" a="1"/>
  <c r="P31" i="99" s="1"/>
  <c r="O31" i="99" a="1"/>
  <c r="O31" i="99" s="1"/>
  <c r="N31" i="99" a="1"/>
  <c r="N31" i="99" s="1"/>
  <c r="Q31" i="99" a="1"/>
  <c r="Q31" i="99" s="1"/>
  <c r="P25" i="99" a="1"/>
  <c r="P25" i="99" s="1"/>
  <c r="O25" i="99" a="1"/>
  <c r="O25" i="99" s="1"/>
  <c r="N25" i="99" a="1"/>
  <c r="N25" i="99" s="1"/>
  <c r="P40" i="99" a="1"/>
  <c r="P40" i="99" s="1"/>
  <c r="O40" i="99" a="1"/>
  <c r="O40" i="99" s="1"/>
  <c r="N40" i="99" a="1"/>
  <c r="N40" i="99" s="1"/>
  <c r="Q25" i="99" a="1"/>
  <c r="Q25" i="99" s="1"/>
  <c r="P37" i="99" a="1"/>
  <c r="P37" i="99" s="1"/>
  <c r="O37" i="99" a="1"/>
  <c r="O37" i="99" s="1"/>
  <c r="N37" i="99" a="1"/>
  <c r="N37" i="99" s="1"/>
  <c r="Q26" i="99" a="1"/>
  <c r="Q26" i="99" s="1"/>
  <c r="P39" i="99" a="1"/>
  <c r="P39" i="99" s="1"/>
  <c r="O39" i="99" a="1"/>
  <c r="O39" i="99" s="1"/>
  <c r="N39" i="99" a="1"/>
  <c r="N39" i="99" s="1"/>
  <c r="O36" i="99" a="1"/>
  <c r="O36" i="99" s="1"/>
  <c r="N36" i="99" a="1"/>
  <c r="N36" i="99" s="1"/>
  <c r="Q36" i="99" a="1"/>
  <c r="Q36" i="99" s="1"/>
  <c r="P36" i="99" a="1"/>
  <c r="P36" i="99" s="1"/>
  <c r="Q39" i="99" a="1"/>
  <c r="Q39" i="99" s="1"/>
  <c r="N34" i="99" a="1"/>
  <c r="N34" i="99" s="1"/>
  <c r="P34" i="99" a="1"/>
  <c r="P34" i="99" s="1"/>
  <c r="O34" i="99" a="1"/>
  <c r="O34" i="99" s="1"/>
  <c r="O30" i="99" a="1"/>
  <c r="O30" i="99" s="1"/>
  <c r="N30" i="99" a="1"/>
  <c r="N30" i="99" s="1"/>
  <c r="P33" i="99" a="1"/>
  <c r="P33" i="99" s="1"/>
  <c r="O33" i="99" a="1"/>
  <c r="O33" i="99" s="1"/>
  <c r="N33" i="99" a="1"/>
  <c r="N33" i="99" s="1"/>
  <c r="O29" i="99" a="1"/>
  <c r="O29" i="99" s="1"/>
  <c r="P38" i="99" a="1"/>
  <c r="P38" i="99" s="1"/>
  <c r="O38" i="99" a="1"/>
  <c r="O38" i="99" s="1"/>
  <c r="Q38" i="99" a="1"/>
  <c r="Q38" i="99" s="1"/>
  <c r="N27" i="99" a="1"/>
  <c r="N27" i="99" s="1"/>
  <c r="P27" i="99" a="1"/>
  <c r="P27" i="99" s="1"/>
  <c r="O27" i="99" a="1"/>
  <c r="O27" i="99" s="1"/>
  <c r="P28" i="99" a="1"/>
  <c r="P28" i="99" s="1"/>
  <c r="O28" i="99" a="1"/>
  <c r="O28" i="99" s="1"/>
  <c r="N28" i="99" a="1"/>
  <c r="N28" i="99" s="1"/>
  <c r="N27" i="98" a="1"/>
  <c r="N27" i="98" s="1"/>
  <c r="Q27" i="98" a="1"/>
  <c r="Q27" i="98" s="1"/>
  <c r="P27" i="98" a="1"/>
  <c r="P27" i="98" s="1"/>
  <c r="O27" i="98" a="1"/>
  <c r="O27" i="98" s="1"/>
  <c r="O37" i="98" a="1"/>
  <c r="O37" i="98" s="1"/>
  <c r="N37" i="98" a="1"/>
  <c r="N37" i="98" s="1"/>
  <c r="Q37" i="98" a="1"/>
  <c r="Q37" i="98" s="1"/>
  <c r="P37" i="98" a="1"/>
  <c r="P37" i="98" s="1"/>
  <c r="E63" i="98" s="1"/>
  <c r="P28" i="98" a="1"/>
  <c r="P28" i="98" s="1"/>
  <c r="O28" i="98" a="1"/>
  <c r="O28" i="98" s="1"/>
  <c r="N28" i="98" a="1"/>
  <c r="N28" i="98" s="1"/>
  <c r="Q28" i="98" a="1"/>
  <c r="Q28" i="98" s="1"/>
  <c r="P31" i="98" a="1"/>
  <c r="P31" i="98" s="1"/>
  <c r="O31" i="98" a="1"/>
  <c r="O31" i="98" s="1"/>
  <c r="N31" i="98" a="1"/>
  <c r="N31" i="98" s="1"/>
  <c r="E41" i="94"/>
  <c r="Q26" i="98" a="1"/>
  <c r="Q26" i="98" s="1"/>
  <c r="P26" i="98" a="1"/>
  <c r="P26" i="98" s="1"/>
  <c r="O26" i="98" a="1"/>
  <c r="O26" i="98" s="1"/>
  <c r="N26" i="98" a="1"/>
  <c r="N26" i="98" s="1"/>
  <c r="O32" i="98" a="1"/>
  <c r="O32" i="98" s="1"/>
  <c r="N32" i="98" a="1"/>
  <c r="N32" i="98" s="1"/>
  <c r="P32" i="98" a="1"/>
  <c r="P32" i="98" s="1"/>
  <c r="N25" i="98" a="1"/>
  <c r="N25" i="98" s="1"/>
  <c r="O25" i="98" a="1"/>
  <c r="O25" i="98" s="1"/>
  <c r="N30" i="98" a="1"/>
  <c r="N30" i="98" s="1"/>
  <c r="N36" i="98" a="1"/>
  <c r="N36" i="98" s="1"/>
  <c r="Q36" i="98" a="1"/>
  <c r="Q36" i="98" s="1"/>
  <c r="P36" i="98" a="1"/>
  <c r="P36" i="98" s="1"/>
  <c r="O36" i="98" a="1"/>
  <c r="O36" i="98" s="1"/>
  <c r="P29" i="98" a="1"/>
  <c r="P29" i="98" s="1"/>
  <c r="O29" i="98" a="1"/>
  <c r="O29" i="98" s="1"/>
  <c r="N29" i="98" a="1"/>
  <c r="N29" i="98" s="1"/>
  <c r="P25" i="98" a="1"/>
  <c r="P25" i="98" s="1"/>
  <c r="O30" i="98" a="1"/>
  <c r="O30" i="98" s="1"/>
  <c r="P34" i="98" a="1"/>
  <c r="P34" i="98" s="1"/>
  <c r="P30" i="98" a="1"/>
  <c r="P30" i="98" s="1"/>
  <c r="Q32" i="98" a="1"/>
  <c r="Q32" i="98" s="1"/>
  <c r="Q35" i="98" a="1"/>
  <c r="Q35" i="98" s="1"/>
  <c r="P35" i="98" a="1"/>
  <c r="P35" i="98" s="1"/>
  <c r="O35" i="98" a="1"/>
  <c r="O35" i="98" s="1"/>
  <c r="N35" i="98" a="1"/>
  <c r="N35" i="98" s="1"/>
  <c r="Q31" i="98" a="1"/>
  <c r="Q31" i="98" s="1"/>
  <c r="N39" i="98" a="1"/>
  <c r="N39" i="98" s="1"/>
  <c r="N38" i="98" a="1"/>
  <c r="N38" i="98" s="1"/>
  <c r="O39" i="98" a="1"/>
  <c r="O39" i="98" s="1"/>
  <c r="O38" i="98" a="1"/>
  <c r="O38" i="98" s="1"/>
  <c r="E50" i="94"/>
  <c r="AC29" i="85" a="1"/>
  <c r="AC29" i="85" s="1"/>
  <c r="AA29" i="85" a="1"/>
  <c r="AA29" i="85" s="1"/>
  <c r="L32" i="79" a="1"/>
  <c r="L32" i="79" s="1"/>
  <c r="AB31" i="85" a="1"/>
  <c r="AB31" i="85" s="1"/>
  <c r="AA31" i="85" a="1"/>
  <c r="AA31" i="85" s="1"/>
  <c r="AC31" i="79" a="1"/>
  <c r="AC31" i="79" s="1"/>
  <c r="AB37" i="85" a="1"/>
  <c r="AB37" i="85" s="1"/>
  <c r="AF133" i="85"/>
  <c r="Y39" i="79" a="1"/>
  <c r="Y39" i="79" s="1"/>
  <c r="AC39" i="79" s="1" a="1"/>
  <c r="AC39" i="79" s="1"/>
  <c r="Y28" i="79" a="1"/>
  <c r="Y28" i="79" s="1"/>
  <c r="AE28" i="79" s="1" a="1"/>
  <c r="AE28" i="79" s="1"/>
  <c r="H30" i="79"/>
  <c r="N30" i="79" s="1" a="1"/>
  <c r="N30" i="79" s="1"/>
  <c r="AA109" i="80" a="1"/>
  <c r="AA109" i="80" s="1"/>
  <c r="H31" i="79"/>
  <c r="L31" i="79" s="1" a="1"/>
  <c r="L31" i="79" s="1"/>
  <c r="I148" i="83"/>
  <c r="J148" i="83"/>
  <c r="AA32" i="85" a="1"/>
  <c r="AA32" i="85" s="1"/>
  <c r="F95" i="80" a="1"/>
  <c r="F95" i="80" s="1"/>
  <c r="L95" i="80" s="1" a="1"/>
  <c r="L95" i="80" s="1"/>
  <c r="Y38" i="79" a="1"/>
  <c r="Y38" i="79" s="1"/>
  <c r="AC38" i="79" s="1" a="1"/>
  <c r="AC38" i="79" s="1"/>
  <c r="M32" i="79" a="1"/>
  <c r="M32" i="79" s="1"/>
  <c r="AC32" i="85" a="1"/>
  <c r="AC32" i="85" s="1"/>
  <c r="AC38" i="85" a="1"/>
  <c r="AC38" i="85" s="1"/>
  <c r="AB38" i="85" a="1"/>
  <c r="AB38" i="85" s="1"/>
  <c r="AA38" i="85" a="1"/>
  <c r="AA38" i="85" s="1"/>
  <c r="AA37" i="85" a="1"/>
  <c r="AA37" i="85" s="1"/>
  <c r="H147" i="83"/>
  <c r="K96" i="80" a="1"/>
  <c r="K96" i="80" s="1"/>
  <c r="G148" i="83"/>
  <c r="I147" i="83"/>
  <c r="G149" i="83"/>
  <c r="H149" i="83"/>
  <c r="J149" i="83"/>
  <c r="N179" i="84"/>
  <c r="O179" i="84" s="1"/>
  <c r="AA106" i="80" a="1"/>
  <c r="AA106" i="80" s="1"/>
  <c r="H148" i="83"/>
  <c r="AB100" i="80" a="1"/>
  <c r="AB100" i="80" s="1"/>
  <c r="AA100" i="80" a="1"/>
  <c r="AA100" i="80" s="1"/>
  <c r="AC106" i="80" a="1"/>
  <c r="AC106" i="80" s="1"/>
  <c r="AE36" i="79" a="1"/>
  <c r="AE36" i="79" s="1"/>
  <c r="K149" i="83"/>
  <c r="N31" i="79" a="1"/>
  <c r="N31" i="79" s="1"/>
  <c r="J147" i="83"/>
  <c r="N147" i="83"/>
  <c r="J146" i="83"/>
  <c r="N148" i="83"/>
  <c r="O148" i="83"/>
  <c r="O147" i="83"/>
  <c r="G147" i="83"/>
  <c r="P147" i="83"/>
  <c r="I146" i="83"/>
  <c r="I149" i="83"/>
  <c r="G146" i="83"/>
  <c r="K147" i="83"/>
  <c r="L147" i="83"/>
  <c r="K148" i="83"/>
  <c r="N146" i="83"/>
  <c r="L148" i="83"/>
  <c r="O149" i="83"/>
  <c r="K146" i="83"/>
  <c r="L149" i="83"/>
  <c r="P149" i="83"/>
  <c r="M149" i="83"/>
  <c r="O146" i="83"/>
  <c r="L146" i="83"/>
  <c r="P148" i="83"/>
  <c r="N149" i="83"/>
  <c r="P146" i="83"/>
  <c r="M147" i="83"/>
  <c r="H146" i="83"/>
  <c r="W110" i="80" a="1"/>
  <c r="W110" i="80" s="1"/>
  <c r="AA110" i="80" s="1" a="1"/>
  <c r="AA110" i="80" s="1"/>
  <c r="W111" i="80" a="1"/>
  <c r="W111" i="80" s="1"/>
  <c r="AC100" i="80" a="1"/>
  <c r="AC100" i="80" s="1"/>
  <c r="K98" i="80" a="1"/>
  <c r="K98" i="80" s="1"/>
  <c r="M33" i="79" a="1"/>
  <c r="M33" i="79" s="1"/>
  <c r="L96" i="80" a="1"/>
  <c r="L96" i="80" s="1"/>
  <c r="AA101" i="80" a="1"/>
  <c r="AA101" i="80" s="1"/>
  <c r="K97" i="80" a="1"/>
  <c r="K97" i="80" s="1"/>
  <c r="L97" i="80" a="1"/>
  <c r="L97" i="80" s="1"/>
  <c r="AC101" i="80" a="1"/>
  <c r="AC101" i="80" s="1"/>
  <c r="AC108" i="80" a="1"/>
  <c r="AC108" i="80" s="1"/>
  <c r="AB109" i="80" a="1"/>
  <c r="AB109" i="80" s="1"/>
  <c r="AC103" i="80" a="1"/>
  <c r="AC103" i="80" s="1"/>
  <c r="AB103" i="80" a="1"/>
  <c r="AB103" i="80" s="1"/>
  <c r="AC107" i="80" a="1"/>
  <c r="AC107" i="80" s="1"/>
  <c r="AB107" i="80" a="1"/>
  <c r="AB107" i="80" s="1"/>
  <c r="AA104" i="80" a="1"/>
  <c r="AA104" i="80" s="1"/>
  <c r="L33" i="79" a="1"/>
  <c r="L33" i="79" s="1"/>
  <c r="AB104" i="80" a="1"/>
  <c r="AB104" i="80" s="1"/>
  <c r="AA107" i="80" a="1"/>
  <c r="AA107" i="80" s="1"/>
  <c r="AA108" i="80" a="1"/>
  <c r="AA108" i="80" s="1"/>
  <c r="AB105" i="80" a="1"/>
  <c r="AB105" i="80" s="1"/>
  <c r="L98" i="80" a="1"/>
  <c r="L98" i="80" s="1"/>
  <c r="AA103" i="80" a="1"/>
  <c r="AA103" i="80" s="1"/>
  <c r="AC105" i="80" a="1"/>
  <c r="AC105" i="80" s="1"/>
  <c r="AE37" i="79" a="1"/>
  <c r="AE37" i="79" s="1"/>
  <c r="AC35" i="79" a="1"/>
  <c r="AC35" i="79" s="1"/>
  <c r="AD35" i="79" a="1"/>
  <c r="AD35" i="79" s="1"/>
  <c r="AD36" i="79" a="1"/>
  <c r="AD36" i="79" s="1"/>
  <c r="AD37" i="79" a="1"/>
  <c r="AD37" i="79" s="1"/>
  <c r="N181" i="78"/>
  <c r="O181" i="78" s="1"/>
  <c r="E52" i="13"/>
  <c r="E51" i="13"/>
  <c r="F64" i="13"/>
  <c r="F65" i="13" s="1"/>
  <c r="G74" i="13"/>
  <c r="G75" i="13" s="1"/>
  <c r="G72" i="13"/>
  <c r="G73" i="13" s="1"/>
  <c r="E29" i="72"/>
  <c r="I122" i="112" l="1" a="1"/>
  <c r="I122" i="112" s="1"/>
  <c r="G122" i="112" a="1"/>
  <c r="G122" i="112" s="1"/>
  <c r="AD29" i="79" a="1"/>
  <c r="AD29" i="79" s="1"/>
  <c r="AE29" i="79" a="1"/>
  <c r="AE29" i="79" s="1"/>
  <c r="AC29" i="79" a="1"/>
  <c r="AC29" i="79" s="1"/>
  <c r="H23" i="112"/>
  <c r="J23" i="112" s="1" a="1"/>
  <c r="J23" i="112" s="1"/>
  <c r="J27" i="112" a="1"/>
  <c r="J27" i="112" s="1"/>
  <c r="J25" i="112" a="1"/>
  <c r="J25" i="112" s="1"/>
  <c r="J24" i="112" a="1"/>
  <c r="J24" i="112" s="1"/>
  <c r="E34" i="112" s="1"/>
  <c r="E93" i="112" s="1"/>
  <c r="J28" i="112" a="1"/>
  <c r="J28" i="112" s="1"/>
  <c r="J29" i="112" a="1"/>
  <c r="J29" i="112" s="1"/>
  <c r="J30" i="112" a="1"/>
  <c r="J30" i="112" s="1"/>
  <c r="G246" i="112" a="1"/>
  <c r="G246" i="112" s="1"/>
  <c r="G242" i="112" a="1"/>
  <c r="G242" i="112" s="1"/>
  <c r="AK221" i="112"/>
  <c r="AM230" i="112" a="1"/>
  <c r="AM230" i="112" s="1"/>
  <c r="AM225" i="112" a="1"/>
  <c r="AM225" i="112" s="1"/>
  <c r="AM223" i="112" a="1"/>
  <c r="AM223" i="112" s="1"/>
  <c r="AM226" i="112" a="1"/>
  <c r="AM226" i="112" s="1"/>
  <c r="AM229" i="112" a="1"/>
  <c r="AM229" i="112" s="1"/>
  <c r="AM228" i="112" a="1"/>
  <c r="AM228" i="112" s="1"/>
  <c r="AM227" i="112" a="1"/>
  <c r="AM227" i="112" s="1"/>
  <c r="AM222" i="112" a="1"/>
  <c r="AM222" i="112" s="1"/>
  <c r="AM224" i="112" a="1"/>
  <c r="AM224" i="112" s="1"/>
  <c r="E305" i="112" a="1"/>
  <c r="E305" i="112" s="1"/>
  <c r="Y221" i="112"/>
  <c r="AA225" i="112" a="1"/>
  <c r="AA225" i="112" s="1"/>
  <c r="AA224" i="112" a="1"/>
  <c r="AA224" i="112" s="1"/>
  <c r="AA228" i="112" a="1"/>
  <c r="AA228" i="112" s="1"/>
  <c r="AA230" i="112" a="1"/>
  <c r="AA230" i="112" s="1"/>
  <c r="AA227" i="112" a="1"/>
  <c r="AA227" i="112" s="1"/>
  <c r="AA223" i="112" a="1"/>
  <c r="AA223" i="112" s="1"/>
  <c r="AA229" i="112" a="1"/>
  <c r="AA229" i="112" s="1"/>
  <c r="AA226" i="112" a="1"/>
  <c r="AA226" i="112" s="1"/>
  <c r="AA222" i="112" a="1"/>
  <c r="AA222" i="112" s="1"/>
  <c r="Y276" i="79"/>
  <c r="X235" i="79"/>
  <c r="G238" i="112" a="1"/>
  <c r="G238" i="112" s="1"/>
  <c r="F270" i="112" a="1"/>
  <c r="F270" i="112" s="1"/>
  <c r="E270" i="112"/>
  <c r="H367" i="112" a="1"/>
  <c r="H367" i="112" s="1"/>
  <c r="E378" i="112" s="1"/>
  <c r="J367" i="112" a="1"/>
  <c r="J367" i="112" s="1"/>
  <c r="V133" i="85"/>
  <c r="W161" i="85"/>
  <c r="P45" i="87" a="1"/>
  <c r="I12" i="86"/>
  <c r="AG221" i="112"/>
  <c r="AI223" i="112" a="1"/>
  <c r="AI223" i="112" s="1"/>
  <c r="AI227" i="112" a="1"/>
  <c r="AI227" i="112" s="1"/>
  <c r="AI230" i="112" a="1"/>
  <c r="AI230" i="112" s="1"/>
  <c r="AI226" i="112" a="1"/>
  <c r="AI226" i="112" s="1"/>
  <c r="AI222" i="112" a="1"/>
  <c r="AI222" i="112" s="1"/>
  <c r="AI224" i="112" a="1"/>
  <c r="AI224" i="112" s="1"/>
  <c r="AI225" i="112" a="1"/>
  <c r="AI225" i="112" s="1"/>
  <c r="AI229" i="112" a="1"/>
  <c r="AI229" i="112" s="1"/>
  <c r="AI228" i="112" a="1"/>
  <c r="AI228" i="112" s="1"/>
  <c r="O221" i="112"/>
  <c r="AE221" i="112" s="1" a="1"/>
  <c r="AE221" i="112" s="1"/>
  <c r="AE225" i="112" a="1"/>
  <c r="AE225" i="112" s="1"/>
  <c r="P30" i="99" a="1"/>
  <c r="P30" i="99" s="1"/>
  <c r="E53" i="112"/>
  <c r="I42" i="86"/>
  <c r="F20" i="89" a="1"/>
  <c r="F20" i="89" s="1"/>
  <c r="G20" i="89" a="1"/>
  <c r="J42" i="86"/>
  <c r="N35" i="99" a="1"/>
  <c r="N35" i="99" s="1"/>
  <c r="G279" i="112" a="1"/>
  <c r="G279" i="112" s="1"/>
  <c r="G275" i="112" a="1"/>
  <c r="G275" i="112" s="1"/>
  <c r="J26" i="112" a="1"/>
  <c r="J26" i="112" s="1"/>
  <c r="O35" i="99" a="1"/>
  <c r="O35" i="99" s="1"/>
  <c r="E50" i="99" s="1"/>
  <c r="G241" i="112" a="1"/>
  <c r="G241" i="112" s="1"/>
  <c r="AC32" i="79" a="1"/>
  <c r="AC32" i="79" s="1"/>
  <c r="AD32" i="79" a="1"/>
  <c r="AD32" i="79" s="1"/>
  <c r="AE32" i="79" a="1"/>
  <c r="AE32" i="79" s="1"/>
  <c r="I43" i="86"/>
  <c r="J43" i="86"/>
  <c r="P29" i="99" a="1"/>
  <c r="P29" i="99" s="1"/>
  <c r="E45" i="99" s="1"/>
  <c r="P35" i="99" a="1"/>
  <c r="P35" i="99" s="1"/>
  <c r="I119" i="102"/>
  <c r="K119" i="102" s="1" a="1"/>
  <c r="K119" i="102" s="1"/>
  <c r="I51" i="102" a="1"/>
  <c r="I51" i="102" s="1"/>
  <c r="H146" i="102" s="1"/>
  <c r="O45" i="87" a="1"/>
  <c r="E25" i="90" a="1"/>
  <c r="AE229" i="112" a="1"/>
  <c r="AE229" i="112" s="1"/>
  <c r="AE222" i="112" a="1"/>
  <c r="AE222" i="112" s="1"/>
  <c r="I60" i="102" a="1"/>
  <c r="I60" i="102" s="1"/>
  <c r="H158" i="102" s="1"/>
  <c r="I158" i="102" s="1"/>
  <c r="K158" i="102" s="1" a="1"/>
  <c r="K158" i="102" s="1"/>
  <c r="AE226" i="112" a="1"/>
  <c r="AE226" i="112" s="1"/>
  <c r="J34" i="95"/>
  <c r="E39" i="95" s="1" a="1"/>
  <c r="E39" i="95" s="1"/>
  <c r="E27" i="13" s="1" a="1"/>
  <c r="E27" i="13" s="1"/>
  <c r="I550" i="112"/>
  <c r="U221" i="112"/>
  <c r="W229" i="112" a="1"/>
  <c r="W229" i="112" s="1"/>
  <c r="W228" i="112" a="1"/>
  <c r="W228" i="112" s="1"/>
  <c r="W226" i="112" a="1"/>
  <c r="W226" i="112" s="1"/>
  <c r="W222" i="112" a="1"/>
  <c r="W222" i="112" s="1"/>
  <c r="W224" i="112" a="1"/>
  <c r="W224" i="112" s="1"/>
  <c r="W223" i="112" a="1"/>
  <c r="W223" i="112" s="1"/>
  <c r="W225" i="112" a="1"/>
  <c r="W225" i="112" s="1"/>
  <c r="W227" i="112" a="1"/>
  <c r="W227" i="112" s="1"/>
  <c r="W230" i="112" a="1"/>
  <c r="W230" i="112" s="1"/>
  <c r="I62" i="102" a="1"/>
  <c r="I62" i="102" s="1"/>
  <c r="H160" i="102" s="1"/>
  <c r="I160" i="102" s="1"/>
  <c r="K160" i="102" s="1" a="1"/>
  <c r="K160" i="102" s="1"/>
  <c r="F127" i="112"/>
  <c r="AE227" i="112" a="1"/>
  <c r="AE227" i="112" s="1"/>
  <c r="I118" i="102"/>
  <c r="K118" i="102" s="1" a="1"/>
  <c r="K118" i="102" s="1"/>
  <c r="G281" i="112" a="1"/>
  <c r="G281" i="112" s="1"/>
  <c r="G239" i="112" a="1"/>
  <c r="G239" i="112" s="1"/>
  <c r="E19" i="88" a="1"/>
  <c r="E19" i="88" s="1"/>
  <c r="F126" i="112"/>
  <c r="I79" i="102" a="1"/>
  <c r="I79" i="102" s="1"/>
  <c r="H177" i="102" s="1"/>
  <c r="I177" i="102" s="1"/>
  <c r="K177" i="102" s="1" a="1"/>
  <c r="K177" i="102" s="1"/>
  <c r="J32" i="112" a="1"/>
  <c r="J32" i="112" s="1"/>
  <c r="R50" i="87" a="1"/>
  <c r="R50" i="87" s="1"/>
  <c r="T50" i="87"/>
  <c r="V50" i="87" s="1" a="1"/>
  <c r="V50" i="87" s="1"/>
  <c r="S50" i="87" a="1"/>
  <c r="S50" i="87" s="1"/>
  <c r="E237" i="112" a="1"/>
  <c r="G243" i="112" s="1" a="1"/>
  <c r="G243" i="112" s="1"/>
  <c r="AE224" i="112" a="1"/>
  <c r="AE224" i="112" s="1"/>
  <c r="J35" i="95"/>
  <c r="I551" i="112"/>
  <c r="G240" i="112" a="1"/>
  <c r="G240" i="112" s="1"/>
  <c r="G157" i="102" a="1"/>
  <c r="G157" i="102" s="1"/>
  <c r="G116" i="102" a="1"/>
  <c r="G116" i="102" s="1"/>
  <c r="G21" i="102" a="1"/>
  <c r="G21" i="102" s="1"/>
  <c r="I21" i="102" s="1" a="1"/>
  <c r="I21" i="102" s="1"/>
  <c r="H116" i="102" s="1"/>
  <c r="I73" i="102" a="1"/>
  <c r="I73" i="102" s="1"/>
  <c r="H171" i="102" s="1"/>
  <c r="I44" i="86"/>
  <c r="J44" i="86"/>
  <c r="AE230" i="112" a="1"/>
  <c r="AE230" i="112" s="1"/>
  <c r="I135" i="102"/>
  <c r="K135" i="102" s="1" a="1"/>
  <c r="K135" i="102" s="1"/>
  <c r="Q221" i="112"/>
  <c r="S229" i="112" a="1"/>
  <c r="S229" i="112" s="1"/>
  <c r="S222" i="112" a="1"/>
  <c r="S222" i="112" s="1"/>
  <c r="F222" i="112" s="1" a="1"/>
  <c r="F222" i="112" s="1"/>
  <c r="S226" i="112" a="1"/>
  <c r="S226" i="112" s="1"/>
  <c r="F226" i="112" s="1" a="1"/>
  <c r="F226" i="112" s="1"/>
  <c r="S230" i="112" a="1"/>
  <c r="S230" i="112" s="1"/>
  <c r="F230" i="112" s="1" a="1"/>
  <c r="F230" i="112" s="1"/>
  <c r="S223" i="112" a="1"/>
  <c r="S223" i="112" s="1"/>
  <c r="S225" i="112" a="1"/>
  <c r="S225" i="112" s="1"/>
  <c r="S224" i="112" a="1"/>
  <c r="S224" i="112" s="1"/>
  <c r="S228" i="112" a="1"/>
  <c r="S228" i="112" s="1"/>
  <c r="F228" i="112" s="1" a="1"/>
  <c r="F228" i="112" s="1"/>
  <c r="S227" i="112" a="1"/>
  <c r="S227" i="112" s="1"/>
  <c r="I89" i="102" a="1"/>
  <c r="I89" i="102" s="1"/>
  <c r="H187" i="102" s="1"/>
  <c r="I88" i="102" a="1"/>
  <c r="I88" i="102" s="1"/>
  <c r="H186" i="102" s="1"/>
  <c r="I185" i="102" s="1"/>
  <c r="K185" i="102" s="1" a="1"/>
  <c r="K185" i="102" s="1"/>
  <c r="AC30" i="79" a="1"/>
  <c r="AC30" i="79" s="1"/>
  <c r="AE30" i="79" a="1"/>
  <c r="AE30" i="79" s="1"/>
  <c r="AD30" i="79" a="1"/>
  <c r="AD30" i="79" s="1"/>
  <c r="G20" i="86"/>
  <c r="P50" i="87" a="1"/>
  <c r="AE223" i="112" a="1"/>
  <c r="AE223" i="112" s="1"/>
  <c r="T33" i="105"/>
  <c r="O25" i="106"/>
  <c r="J33" i="105"/>
  <c r="E25" i="106"/>
  <c r="I123" i="112" a="1"/>
  <c r="I123" i="112" s="1"/>
  <c r="G125" i="112" a="1"/>
  <c r="G125" i="112" s="1"/>
  <c r="E64" i="98"/>
  <c r="E379" i="112"/>
  <c r="E460" i="112"/>
  <c r="E459" i="112"/>
  <c r="E441" i="112"/>
  <c r="E442" i="112"/>
  <c r="F237" i="112" a="1"/>
  <c r="F237" i="112" s="1"/>
  <c r="I270" i="112" a="1"/>
  <c r="I270" i="112" s="1"/>
  <c r="E284" i="112" s="1"/>
  <c r="G270" i="112" a="1"/>
  <c r="G270" i="112" s="1"/>
  <c r="E283" i="112" s="1"/>
  <c r="E35" i="112"/>
  <c r="E94" i="112" s="1"/>
  <c r="I168" i="102"/>
  <c r="K168" i="102" s="1" a="1"/>
  <c r="K168" i="102" s="1"/>
  <c r="I144" i="102"/>
  <c r="K144" i="102" s="1" a="1"/>
  <c r="K144" i="102" s="1"/>
  <c r="I127" i="102"/>
  <c r="K127" i="102" s="1" a="1"/>
  <c r="K127" i="102" s="1"/>
  <c r="I179" i="102"/>
  <c r="K179" i="102" s="1" a="1"/>
  <c r="K179" i="102" s="1"/>
  <c r="I138" i="102"/>
  <c r="K138" i="102" s="1" a="1"/>
  <c r="K138" i="102" s="1"/>
  <c r="G19" i="88" a="1"/>
  <c r="G19" i="88" s="1"/>
  <c r="I116" i="102"/>
  <c r="K116" i="102" s="1" a="1"/>
  <c r="K116" i="102" s="1"/>
  <c r="E57" i="98"/>
  <c r="I157" i="102"/>
  <c r="K157" i="102" s="1" a="1"/>
  <c r="K157" i="102" s="1"/>
  <c r="E55" i="98"/>
  <c r="E58" i="98"/>
  <c r="E56" i="98"/>
  <c r="E44" i="98"/>
  <c r="E44" i="99"/>
  <c r="E52" i="99"/>
  <c r="E49" i="99"/>
  <c r="E46" i="98"/>
  <c r="E46" i="99"/>
  <c r="E51" i="99"/>
  <c r="E43" i="99"/>
  <c r="E45" i="98"/>
  <c r="E61" i="98"/>
  <c r="E43" i="98"/>
  <c r="E62" i="98"/>
  <c r="AD39" i="79" a="1"/>
  <c r="AD39" i="79" s="1"/>
  <c r="AD38" i="79" a="1"/>
  <c r="AD38" i="79" s="1"/>
  <c r="AC28" i="79" a="1"/>
  <c r="AC28" i="79" s="1"/>
  <c r="L30" i="79" a="1"/>
  <c r="L30" i="79" s="1"/>
  <c r="M31" i="79" a="1"/>
  <c r="M31" i="79" s="1"/>
  <c r="AE38" i="79" a="1"/>
  <c r="AE38" i="79" s="1"/>
  <c r="K95" i="80" a="1"/>
  <c r="K95" i="80" s="1"/>
  <c r="J95" i="80" a="1"/>
  <c r="J95" i="80" s="1"/>
  <c r="M30" i="79" a="1"/>
  <c r="M30" i="79" s="1"/>
  <c r="AD28" i="79" a="1"/>
  <c r="AD28" i="79" s="1"/>
  <c r="AE39" i="79" a="1"/>
  <c r="AE39" i="79" s="1"/>
  <c r="AB111" i="80" a="1"/>
  <c r="AB111" i="80" s="1"/>
  <c r="AC111" i="80" a="1"/>
  <c r="AC111" i="80" s="1"/>
  <c r="AA111" i="80" a="1"/>
  <c r="AA111" i="80" s="1"/>
  <c r="AC110" i="80" a="1"/>
  <c r="AC110" i="80" s="1"/>
  <c r="AB110" i="80" a="1"/>
  <c r="AB110" i="80" s="1"/>
  <c r="F72" i="13"/>
  <c r="F73" i="13"/>
  <c r="E26" i="13" a="1"/>
  <c r="E26" i="13" s="1"/>
  <c r="H26" i="13" s="1"/>
  <c r="F41" i="13"/>
  <c r="F40" i="13"/>
  <c r="E41" i="13"/>
  <c r="E40" i="13"/>
  <c r="D37" i="13" a="1"/>
  <c r="D37" i="13" s="1"/>
  <c r="F37" i="13" s="1"/>
  <c r="D48" i="13" a="1"/>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83" s="1"/>
  <c r="E188" i="74" a="1"/>
  <c r="E188" i="74" s="1"/>
  <c r="D188" i="74" a="1"/>
  <c r="D188" i="74" s="1"/>
  <c r="H187" i="74" a="1"/>
  <c r="H187" i="74" s="1"/>
  <c r="G187" i="74" a="1"/>
  <c r="G187" i="74" s="1"/>
  <c r="F187" i="74" a="1"/>
  <c r="F187" i="74" s="1"/>
  <c r="J50" i="91" s="1"/>
  <c r="E187" i="74" a="1"/>
  <c r="E187" i="74" s="1"/>
  <c r="D187" i="74" a="1"/>
  <c r="D187" i="74" s="1"/>
  <c r="D181" i="74" a="1"/>
  <c r="D181" i="74" s="1"/>
  <c r="D180" i="74" a="1"/>
  <c r="D180" i="74" s="1"/>
  <c r="D179" i="74" a="1"/>
  <c r="D179" i="74" s="1"/>
  <c r="D178" i="74" a="1"/>
  <c r="D178" i="74" s="1"/>
  <c r="E175" i="74" a="1"/>
  <c r="E175" i="74" s="1"/>
  <c r="D175" i="74" a="1"/>
  <c r="D175" i="74" s="1"/>
  <c r="I158" i="79"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I14" i="92"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F224" i="112" l="1" a="1"/>
  <c r="F224" i="112" s="1"/>
  <c r="E25" i="90"/>
  <c r="F225" i="112" a="1"/>
  <c r="F225" i="112" s="1"/>
  <c r="W221" i="112" a="1"/>
  <c r="W221" i="112" s="1"/>
  <c r="AI221" i="112" a="1"/>
  <c r="AI221" i="112" s="1"/>
  <c r="F223" i="112" a="1"/>
  <c r="F223" i="112" s="1"/>
  <c r="E555" i="112" a="1"/>
  <c r="E555" i="112" s="1"/>
  <c r="W52" i="87"/>
  <c r="E28" i="87" a="1"/>
  <c r="E28" i="87" s="1"/>
  <c r="G28" i="87" s="1" a="1"/>
  <c r="G28" i="87" s="1"/>
  <c r="E221" i="112" a="1"/>
  <c r="E33" i="88" a="1"/>
  <c r="E33" i="88" s="1"/>
  <c r="G33" i="88" s="1" a="1"/>
  <c r="G33" i="88" s="1"/>
  <c r="E21" i="87" a="1"/>
  <c r="E21" i="87" s="1"/>
  <c r="G21" i="87" s="1" a="1"/>
  <c r="G21" i="87" s="1"/>
  <c r="E28" i="88" a="1"/>
  <c r="E28" i="88" s="1"/>
  <c r="G28" i="88" s="1" a="1"/>
  <c r="G28" i="88" s="1"/>
  <c r="E26" i="88" a="1"/>
  <c r="E26" i="88" s="1"/>
  <c r="G26" i="88" s="1" a="1"/>
  <c r="G26" i="88" s="1"/>
  <c r="E33" i="87" a="1"/>
  <c r="E33" i="87" s="1"/>
  <c r="G33" i="87" s="1" a="1"/>
  <c r="G33" i="87" s="1"/>
  <c r="E21" i="88" a="1"/>
  <c r="E21" i="88" s="1"/>
  <c r="G21" i="88" s="1" a="1"/>
  <c r="G21" i="88" s="1"/>
  <c r="E34" i="87" a="1"/>
  <c r="E34" i="87" s="1"/>
  <c r="G34" i="87" s="1" a="1"/>
  <c r="G34" i="87" s="1"/>
  <c r="E32" i="87" a="1"/>
  <c r="E32" i="87" s="1"/>
  <c r="G32" i="87" s="1" a="1"/>
  <c r="G32" i="87" s="1"/>
  <c r="E37" i="88" a="1"/>
  <c r="E37" i="88" s="1"/>
  <c r="G37" i="88" s="1" a="1"/>
  <c r="G37" i="88" s="1"/>
  <c r="E35" i="88" a="1"/>
  <c r="E35" i="88" s="1"/>
  <c r="G35" i="88" s="1" a="1"/>
  <c r="G35" i="88" s="1"/>
  <c r="E30" i="88" a="1"/>
  <c r="E30" i="88" s="1"/>
  <c r="G30" i="88" s="1" a="1"/>
  <c r="G30" i="88" s="1"/>
  <c r="E25" i="87" a="1"/>
  <c r="E25" i="87" s="1"/>
  <c r="G25" i="87" s="1" a="1"/>
  <c r="G25" i="87" s="1"/>
  <c r="E36" i="87" a="1"/>
  <c r="E36" i="87" s="1"/>
  <c r="G36" i="87" s="1" a="1"/>
  <c r="G36" i="87" s="1"/>
  <c r="E23" i="88" a="1"/>
  <c r="E23" i="88" s="1"/>
  <c r="G23" i="88" s="1" a="1"/>
  <c r="G23" i="88" s="1"/>
  <c r="E31" i="87" a="1"/>
  <c r="E31" i="87" s="1"/>
  <c r="G31" i="87" s="1" a="1"/>
  <c r="G31" i="87" s="1"/>
  <c r="E32" i="88" a="1"/>
  <c r="E32" i="88" s="1"/>
  <c r="G32" i="88" s="1" a="1"/>
  <c r="G32" i="88" s="1"/>
  <c r="E27" i="87" a="1"/>
  <c r="E27" i="87" s="1"/>
  <c r="G27" i="87" s="1" a="1"/>
  <c r="G27" i="87" s="1"/>
  <c r="E34" i="88" a="1"/>
  <c r="E34" i="88" s="1"/>
  <c r="G34" i="88" s="1" a="1"/>
  <c r="G34" i="88" s="1"/>
  <c r="E25" i="88" a="1"/>
  <c r="E25" i="88" s="1"/>
  <c r="G25" i="88" s="1" a="1"/>
  <c r="G25" i="88" s="1"/>
  <c r="E20" i="87" a="1"/>
  <c r="E20" i="87" s="1"/>
  <c r="G20" i="87" s="1" a="1"/>
  <c r="G20" i="87" s="1"/>
  <c r="E27" i="88" a="1"/>
  <c r="E27" i="88" s="1"/>
  <c r="G27" i="88" s="1" a="1"/>
  <c r="G27" i="88" s="1"/>
  <c r="E29" i="87" a="1"/>
  <c r="E29" i="87" s="1"/>
  <c r="G29" i="87" s="1" a="1"/>
  <c r="G29" i="87" s="1"/>
  <c r="E36" i="88" a="1"/>
  <c r="E36" i="88" s="1"/>
  <c r="G36" i="88" s="1" a="1"/>
  <c r="G36" i="88" s="1"/>
  <c r="E20" i="88" a="1"/>
  <c r="E20" i="88" s="1"/>
  <c r="G20" i="88" s="1" a="1"/>
  <c r="G20" i="88" s="1"/>
  <c r="E22" i="87" a="1"/>
  <c r="E22" i="87" s="1"/>
  <c r="G22" i="87" s="1" a="1"/>
  <c r="G22" i="87" s="1"/>
  <c r="E29" i="88" a="1"/>
  <c r="E29" i="88" s="1"/>
  <c r="G29" i="88" s="1" a="1"/>
  <c r="G29" i="88" s="1"/>
  <c r="E24" i="87" a="1"/>
  <c r="E24" i="87" s="1"/>
  <c r="G24" i="87" s="1" a="1"/>
  <c r="G24" i="87" s="1"/>
  <c r="E35" i="87" a="1"/>
  <c r="E35" i="87" s="1"/>
  <c r="G35" i="87" s="1" a="1"/>
  <c r="G35" i="87" s="1"/>
  <c r="E22" i="88" a="1"/>
  <c r="E22" i="88" s="1"/>
  <c r="G22" i="88" s="1" a="1"/>
  <c r="G22" i="88" s="1"/>
  <c r="E23" i="87" a="1"/>
  <c r="E23" i="87" s="1"/>
  <c r="G23" i="87" s="1" a="1"/>
  <c r="G23" i="87" s="1"/>
  <c r="E31" i="88" a="1"/>
  <c r="E31" i="88" s="1"/>
  <c r="G31" i="88" s="1" a="1"/>
  <c r="G31" i="88" s="1"/>
  <c r="E26" i="87" a="1"/>
  <c r="E26" i="87" s="1"/>
  <c r="G26" i="87" s="1" a="1"/>
  <c r="G26" i="87" s="1"/>
  <c r="E37" i="87" a="1"/>
  <c r="E37" i="87" s="1"/>
  <c r="G37" i="87" s="1" a="1"/>
  <c r="G37" i="87" s="1"/>
  <c r="E24" i="88" a="1"/>
  <c r="E24" i="88" s="1"/>
  <c r="G24" i="88" s="1" a="1"/>
  <c r="G24" i="88" s="1"/>
  <c r="E19" i="87" a="1"/>
  <c r="E19" i="87" s="1"/>
  <c r="G19" i="87" s="1" a="1"/>
  <c r="G19" i="87" s="1"/>
  <c r="E30" i="87" a="1"/>
  <c r="E30" i="87" s="1"/>
  <c r="G30" i="87" s="1" a="1"/>
  <c r="G30" i="87" s="1"/>
  <c r="I56" i="92"/>
  <c r="W51" i="87"/>
  <c r="P45" i="87"/>
  <c r="N140" i="78"/>
  <c r="H100" i="84"/>
  <c r="N136" i="84"/>
  <c r="H107" i="78"/>
  <c r="I121" i="78"/>
  <c r="F97" i="84"/>
  <c r="E137" i="84"/>
  <c r="E86" i="78"/>
  <c r="L108" i="78"/>
  <c r="M69" i="78"/>
  <c r="G114" i="78"/>
  <c r="E128" i="84"/>
  <c r="L64" i="84"/>
  <c r="L71" i="84"/>
  <c r="H128" i="84"/>
  <c r="F94" i="84"/>
  <c r="J63" i="78"/>
  <c r="N69" i="84"/>
  <c r="I63" i="84"/>
  <c r="E85" i="78"/>
  <c r="J97" i="84"/>
  <c r="M63" i="84"/>
  <c r="F127" i="84"/>
  <c r="I86" i="84"/>
  <c r="L99" i="84"/>
  <c r="M106" i="84"/>
  <c r="G70" i="84"/>
  <c r="M128" i="84"/>
  <c r="H85" i="84"/>
  <c r="I70" i="84"/>
  <c r="E129" i="84"/>
  <c r="N86" i="84"/>
  <c r="F63" i="84"/>
  <c r="K121" i="84"/>
  <c r="I91" i="84"/>
  <c r="F118" i="78"/>
  <c r="L107" i="78"/>
  <c r="L78" i="78"/>
  <c r="N120" i="78"/>
  <c r="N107" i="78"/>
  <c r="N75" i="78"/>
  <c r="M136" i="78"/>
  <c r="I105" i="78"/>
  <c r="E74" i="78"/>
  <c r="H130" i="78"/>
  <c r="E94" i="78"/>
  <c r="F129" i="78"/>
  <c r="K99" i="78"/>
  <c r="I28" i="80"/>
  <c r="J138" i="84"/>
  <c r="G137" i="84"/>
  <c r="H117" i="84"/>
  <c r="E136" i="84"/>
  <c r="J117" i="84"/>
  <c r="G76" i="84"/>
  <c r="G116" i="84"/>
  <c r="N67" i="84"/>
  <c r="L97" i="84"/>
  <c r="L137" i="84"/>
  <c r="I89" i="84"/>
  <c r="N90" i="84"/>
  <c r="N69" i="78"/>
  <c r="F114" i="84"/>
  <c r="G121" i="78"/>
  <c r="N143" i="78"/>
  <c r="J111" i="84"/>
  <c r="J108" i="78"/>
  <c r="F71" i="78"/>
  <c r="G128" i="78"/>
  <c r="G83" i="78"/>
  <c r="E134" i="78"/>
  <c r="K84" i="84"/>
  <c r="J95" i="84"/>
  <c r="G94" i="84"/>
  <c r="F74" i="84"/>
  <c r="I75" i="78"/>
  <c r="F144" i="84"/>
  <c r="N130" i="84"/>
  <c r="N96" i="78"/>
  <c r="F105" i="84"/>
  <c r="E69" i="84"/>
  <c r="J128" i="84"/>
  <c r="L94" i="84"/>
  <c r="N133" i="84"/>
  <c r="G108" i="84"/>
  <c r="G73" i="84"/>
  <c r="G130" i="84"/>
  <c r="L86" i="84"/>
  <c r="G74" i="84"/>
  <c r="I130" i="84"/>
  <c r="E96" i="84"/>
  <c r="J64" i="84"/>
  <c r="M127" i="84"/>
  <c r="E97" i="84"/>
  <c r="H142" i="78"/>
  <c r="H111" i="78"/>
  <c r="H84" i="78"/>
  <c r="N144" i="78"/>
  <c r="J111" i="78"/>
  <c r="F83" i="78"/>
  <c r="H75" i="78"/>
  <c r="M106" i="78"/>
  <c r="E77" i="78"/>
  <c r="H138" i="78"/>
  <c r="K98" i="78"/>
  <c r="J130" i="78"/>
  <c r="H138" i="84"/>
  <c r="N71" i="84"/>
  <c r="N114" i="78"/>
  <c r="M143" i="78"/>
  <c r="M71" i="84"/>
  <c r="N135" i="84"/>
  <c r="F128" i="78"/>
  <c r="J119" i="78"/>
  <c r="F62" i="84"/>
  <c r="L86" i="78"/>
  <c r="H127" i="78"/>
  <c r="G62" i="78"/>
  <c r="J107" i="84"/>
  <c r="L119" i="84"/>
  <c r="L74" i="84"/>
  <c r="K84" i="78"/>
  <c r="J144" i="84"/>
  <c r="N119" i="84"/>
  <c r="F107" i="78"/>
  <c r="J106" i="84"/>
  <c r="N72" i="84"/>
  <c r="N129" i="84"/>
  <c r="J98" i="84"/>
  <c r="G61" i="84"/>
  <c r="G114" i="84"/>
  <c r="E77" i="84"/>
  <c r="I134" i="84"/>
  <c r="M95" i="84"/>
  <c r="G77" i="84"/>
  <c r="K134" i="84"/>
  <c r="M99" i="84"/>
  <c r="I71" i="84"/>
  <c r="G129" i="84"/>
  <c r="E100" i="84"/>
  <c r="F61" i="78"/>
  <c r="H114" i="78"/>
  <c r="L85" i="78"/>
  <c r="H61" i="78"/>
  <c r="J114" i="78"/>
  <c r="J84" i="78"/>
  <c r="J99" i="78"/>
  <c r="G108" i="78"/>
  <c r="I83" i="78"/>
  <c r="N100" i="78"/>
  <c r="K105" i="78"/>
  <c r="F141" i="78"/>
  <c r="G107" i="78"/>
  <c r="K28" i="80"/>
  <c r="H141" i="84"/>
  <c r="E140" i="84"/>
  <c r="L138" i="84"/>
  <c r="M138" i="84"/>
  <c r="J137" i="84"/>
  <c r="G89" i="84"/>
  <c r="E119" i="84"/>
  <c r="L70" i="84"/>
  <c r="J100" i="84"/>
  <c r="J140" i="84"/>
  <c r="G92" i="84"/>
  <c r="E122" i="84"/>
  <c r="F75" i="84"/>
  <c r="L120" i="84"/>
  <c r="G75" i="84"/>
  <c r="M113" i="84"/>
  <c r="K143" i="84"/>
  <c r="J99" i="84"/>
  <c r="E67" i="84"/>
  <c r="M96" i="84"/>
  <c r="M136" i="84"/>
  <c r="M92" i="78"/>
  <c r="K142" i="78"/>
  <c r="F91" i="78"/>
  <c r="K71" i="84"/>
  <c r="I111" i="84"/>
  <c r="N61" i="84"/>
  <c r="N93" i="84"/>
  <c r="F83" i="84"/>
  <c r="H105" i="78"/>
  <c r="N130" i="78"/>
  <c r="K83" i="78"/>
  <c r="I62" i="78"/>
  <c r="G128" i="84"/>
  <c r="N143" i="84"/>
  <c r="H98" i="84"/>
  <c r="M96" i="78"/>
  <c r="J129" i="84"/>
  <c r="G106" i="84"/>
  <c r="G118" i="78"/>
  <c r="N107" i="84"/>
  <c r="N75" i="84"/>
  <c r="H133" i="84"/>
  <c r="H105" i="84"/>
  <c r="K62" i="84"/>
  <c r="H120" i="84"/>
  <c r="M83" i="84"/>
  <c r="M142" i="84"/>
  <c r="M98" i="84"/>
  <c r="E84" i="84"/>
  <c r="E143" i="84"/>
  <c r="M105" i="84"/>
  <c r="I74" i="84"/>
  <c r="K130" i="84"/>
  <c r="E106" i="84"/>
  <c r="J62" i="78"/>
  <c r="J122" i="78"/>
  <c r="N89" i="78"/>
  <c r="L62" i="78"/>
  <c r="F127" i="78"/>
  <c r="N85" i="78"/>
  <c r="N133" i="78"/>
  <c r="K112" i="78"/>
  <c r="M84" i="78"/>
  <c r="N77" i="78"/>
  <c r="E107" i="78"/>
  <c r="N113" i="78"/>
  <c r="K108" i="78"/>
  <c r="H67" i="84"/>
  <c r="M112" i="84"/>
  <c r="I141" i="84"/>
  <c r="F140" i="84"/>
  <c r="G140" i="84"/>
  <c r="N138" i="84"/>
  <c r="K90" i="84"/>
  <c r="I120" i="84"/>
  <c r="F72" i="84"/>
  <c r="F112" i="84"/>
  <c r="N141" i="84"/>
  <c r="K93" i="84"/>
  <c r="K133" i="84"/>
  <c r="J76" i="84"/>
  <c r="F122" i="84"/>
  <c r="K76" i="84"/>
  <c r="G115" i="84"/>
  <c r="H68" i="84"/>
  <c r="F111" i="84"/>
  <c r="I68" i="84"/>
  <c r="G98" i="84"/>
  <c r="G138" i="84"/>
  <c r="G94" i="78"/>
  <c r="E144" i="78"/>
  <c r="J118" i="78"/>
  <c r="K91" i="78"/>
  <c r="E140" i="78"/>
  <c r="F133" i="78"/>
  <c r="M71" i="78"/>
  <c r="H94" i="84"/>
  <c r="M135" i="84"/>
  <c r="E61" i="78"/>
  <c r="E83" i="84"/>
  <c r="N117" i="84"/>
  <c r="M119" i="84"/>
  <c r="M108" i="78"/>
  <c r="I122" i="78"/>
  <c r="M86" i="78"/>
  <c r="G74" i="78"/>
  <c r="N99" i="78"/>
  <c r="H63" i="78"/>
  <c r="J122" i="84"/>
  <c r="L106" i="78"/>
  <c r="K111" i="84"/>
  <c r="F86" i="84"/>
  <c r="F78" i="78"/>
  <c r="J142" i="78"/>
  <c r="J139" i="78"/>
  <c r="L128" i="78"/>
  <c r="N108" i="84"/>
  <c r="L64" i="78"/>
  <c r="H97" i="84"/>
  <c r="F141" i="84"/>
  <c r="G144" i="84"/>
  <c r="N141" i="78"/>
  <c r="G62" i="84"/>
  <c r="M130" i="78"/>
  <c r="L105" i="78"/>
  <c r="H62" i="78"/>
  <c r="N83" i="78"/>
  <c r="J74" i="78"/>
  <c r="F114" i="78"/>
  <c r="L84" i="84"/>
  <c r="H63" i="84"/>
  <c r="J112" i="78"/>
  <c r="G67" i="84"/>
  <c r="H62" i="84"/>
  <c r="E120" i="84"/>
  <c r="N84" i="84"/>
  <c r="E153" i="84"/>
  <c r="F108" i="84"/>
  <c r="F70" i="84"/>
  <c r="L128" i="84"/>
  <c r="K86" i="84"/>
  <c r="H111" i="84"/>
  <c r="E107" i="84"/>
  <c r="M86" i="84"/>
  <c r="N137" i="84"/>
  <c r="K108" i="84"/>
  <c r="G84" i="84"/>
  <c r="E144" i="84"/>
  <c r="M108" i="84"/>
  <c r="G71" i="78"/>
  <c r="L129" i="78"/>
  <c r="E105" i="78"/>
  <c r="K72" i="78"/>
  <c r="N129" i="78"/>
  <c r="G98" i="78"/>
  <c r="E63" i="78"/>
  <c r="I127" i="78"/>
  <c r="K92" i="78"/>
  <c r="H135" i="78"/>
  <c r="M112" i="78"/>
  <c r="E62" i="78"/>
  <c r="F121" i="78"/>
  <c r="J78" i="84"/>
  <c r="M68" i="84"/>
  <c r="J67" i="84"/>
  <c r="M78" i="84"/>
  <c r="K67" i="84"/>
  <c r="L141" i="84"/>
  <c r="I93" i="84"/>
  <c r="I133" i="84"/>
  <c r="N74" i="84"/>
  <c r="N114" i="84"/>
  <c r="L144" i="84"/>
  <c r="I96" i="84"/>
  <c r="I136" i="84"/>
  <c r="F94" i="78"/>
  <c r="N90" i="78"/>
  <c r="L129" i="84"/>
  <c r="E73" i="78"/>
  <c r="H68" i="78"/>
  <c r="M76" i="78"/>
  <c r="I97" i="84"/>
  <c r="M99" i="78"/>
  <c r="I94" i="84"/>
  <c r="I67" i="78"/>
  <c r="G77" i="78"/>
  <c r="I74" i="78"/>
  <c r="H78" i="84"/>
  <c r="L63" i="78"/>
  <c r="H98" i="78"/>
  <c r="N127" i="78"/>
  <c r="G97" i="84"/>
  <c r="N64" i="78"/>
  <c r="N61" i="78"/>
  <c r="I142" i="78"/>
  <c r="I84" i="84"/>
  <c r="F128" i="84"/>
  <c r="F113" i="78"/>
  <c r="H118" i="84"/>
  <c r="K75" i="84"/>
  <c r="M85" i="84"/>
  <c r="N97" i="84"/>
  <c r="K122" i="84"/>
  <c r="G86" i="84"/>
  <c r="E61" i="84"/>
  <c r="M111" i="84"/>
  <c r="K83" i="84"/>
  <c r="K142" i="84"/>
  <c r="K98" i="84"/>
  <c r="L62" i="84"/>
  <c r="G121" i="84"/>
  <c r="F77" i="84"/>
  <c r="J134" i="84"/>
  <c r="I121" i="84"/>
  <c r="F84" i="84"/>
  <c r="F143" i="84"/>
  <c r="L108" i="84"/>
  <c r="H84" i="84"/>
  <c r="N70" i="78"/>
  <c r="F100" i="78"/>
  <c r="H71" i="78"/>
  <c r="M129" i="78"/>
  <c r="F105" i="78"/>
  <c r="G64" i="78"/>
  <c r="K128" i="78"/>
  <c r="H90" i="78"/>
  <c r="F63" i="78"/>
  <c r="J127" i="78"/>
  <c r="N84" i="78"/>
  <c r="E121" i="78"/>
  <c r="J86" i="78"/>
  <c r="G28" i="80"/>
  <c r="F117" i="84"/>
  <c r="M115" i="84"/>
  <c r="J114" i="84"/>
  <c r="E116" i="84"/>
  <c r="L114" i="84"/>
  <c r="I73" i="84"/>
  <c r="I113" i="84"/>
  <c r="G143" i="84"/>
  <c r="N94" i="84"/>
  <c r="N134" i="84"/>
  <c r="I76" i="84"/>
  <c r="I116" i="84"/>
  <c r="F68" i="84"/>
  <c r="J92" i="78"/>
  <c r="L98" i="78"/>
  <c r="L112" i="84"/>
  <c r="G85" i="78"/>
  <c r="I107" i="78"/>
  <c r="E152" i="78"/>
  <c r="E165" i="79" s="1"/>
  <c r="M118" i="84"/>
  <c r="I78" i="78"/>
  <c r="I86" i="78"/>
  <c r="F62" i="78"/>
  <c r="J129" i="78"/>
  <c r="E105" i="84"/>
  <c r="F130" i="78"/>
  <c r="H71" i="84"/>
  <c r="K107" i="84"/>
  <c r="N70" i="84"/>
  <c r="F121" i="84"/>
  <c r="H106" i="84"/>
  <c r="K63" i="78"/>
  <c r="J94" i="84"/>
  <c r="I62" i="84"/>
  <c r="F120" i="84"/>
  <c r="E85" i="84"/>
  <c r="J75" i="84"/>
  <c r="I105" i="84"/>
  <c r="F64" i="84"/>
  <c r="I127" i="84"/>
  <c r="N83" i="84"/>
  <c r="N142" i="84"/>
  <c r="K127" i="84"/>
  <c r="J85" i="84"/>
  <c r="L61" i="84"/>
  <c r="K118" i="84"/>
  <c r="L85" i="84"/>
  <c r="N94" i="78"/>
  <c r="H106" i="78"/>
  <c r="L75" i="78"/>
  <c r="I135" i="78"/>
  <c r="J106" i="78"/>
  <c r="L72" i="78"/>
  <c r="E130" i="78"/>
  <c r="I98" i="78"/>
  <c r="J64" i="78"/>
  <c r="N128" i="78"/>
  <c r="H86" i="78"/>
  <c r="L127" i="78"/>
  <c r="I95" i="78"/>
  <c r="H28" i="80"/>
  <c r="F137" i="84"/>
  <c r="G117" i="84"/>
  <c r="N115" i="84"/>
  <c r="I117" i="84"/>
  <c r="F116" i="84"/>
  <c r="M74" i="84"/>
  <c r="M114" i="84"/>
  <c r="K144" i="84"/>
  <c r="H96" i="84"/>
  <c r="H136" i="84"/>
  <c r="M77" i="84"/>
  <c r="M117" i="84"/>
  <c r="J69" i="84"/>
  <c r="F115" i="84"/>
  <c r="E71" i="84"/>
  <c r="M100" i="84"/>
  <c r="I139" i="84"/>
  <c r="M63" i="78"/>
  <c r="H64" i="78"/>
  <c r="L28" i="80"/>
  <c r="K86" i="78"/>
  <c r="J84" i="84"/>
  <c r="L72" i="84"/>
  <c r="L107" i="84"/>
  <c r="M129" i="84"/>
  <c r="N63" i="84"/>
  <c r="L83" i="84"/>
  <c r="J105" i="84"/>
  <c r="H121" i="84"/>
  <c r="I64" i="84"/>
  <c r="F96" i="84"/>
  <c r="N127" i="84"/>
  <c r="L143" i="78"/>
  <c r="I84" i="78"/>
  <c r="E108" i="78"/>
  <c r="G138" i="78"/>
  <c r="K64" i="78"/>
  <c r="H74" i="78"/>
  <c r="F90" i="84"/>
  <c r="K138" i="84"/>
  <c r="G113" i="84"/>
  <c r="M67" i="84"/>
  <c r="M134" i="84"/>
  <c r="F99" i="84"/>
  <c r="K73" i="84"/>
  <c r="G139" i="84"/>
  <c r="H112" i="84"/>
  <c r="M73" i="84"/>
  <c r="I119" i="84"/>
  <c r="F78" i="84"/>
  <c r="L136" i="84"/>
  <c r="K92" i="84"/>
  <c r="I135" i="84"/>
  <c r="K115" i="78"/>
  <c r="L68" i="78"/>
  <c r="L135" i="78"/>
  <c r="K118" i="78"/>
  <c r="L91" i="78"/>
  <c r="H144" i="78"/>
  <c r="G93" i="78"/>
  <c r="G133" i="78"/>
  <c r="L74" i="78"/>
  <c r="H113" i="78"/>
  <c r="F143" i="78"/>
  <c r="M94" i="78"/>
  <c r="M134" i="78"/>
  <c r="L77" i="78"/>
  <c r="J120" i="78"/>
  <c r="I76" i="78"/>
  <c r="I116" i="78"/>
  <c r="H91" i="78"/>
  <c r="F95" i="78"/>
  <c r="H139" i="78"/>
  <c r="K89" i="78"/>
  <c r="E118" i="78"/>
  <c r="J78" i="78"/>
  <c r="H85" i="78"/>
  <c r="G78" i="78"/>
  <c r="F67" i="84"/>
  <c r="M28" i="80"/>
  <c r="L92" i="84"/>
  <c r="F106" i="84"/>
  <c r="L69" i="78"/>
  <c r="N144" i="84"/>
  <c r="G133" i="84"/>
  <c r="E70" i="84"/>
  <c r="F85" i="84"/>
  <c r="N106" i="84"/>
  <c r="J127" i="84"/>
  <c r="J70" i="84"/>
  <c r="N99" i="84"/>
  <c r="H129" i="84"/>
  <c r="G61" i="78"/>
  <c r="M85" i="78"/>
  <c r="K111" i="78"/>
  <c r="L76" i="78"/>
  <c r="F74" i="78"/>
  <c r="H77" i="78"/>
  <c r="J91" i="84"/>
  <c r="I78" i="84"/>
  <c r="K114" i="84"/>
  <c r="G69" i="84"/>
  <c r="G136" i="84"/>
  <c r="J113" i="84"/>
  <c r="E75" i="84"/>
  <c r="K140" i="84"/>
  <c r="L113" i="84"/>
  <c r="E78" i="84"/>
  <c r="M120" i="84"/>
  <c r="L89" i="84"/>
  <c r="F138" i="84"/>
  <c r="E94" i="84"/>
  <c r="K139" i="84"/>
  <c r="E117" i="78"/>
  <c r="F70" i="78"/>
  <c r="F137" i="78"/>
  <c r="E120" i="78"/>
  <c r="F93" i="78"/>
  <c r="M68" i="78"/>
  <c r="K94" i="78"/>
  <c r="K134" i="78"/>
  <c r="F76" i="78"/>
  <c r="L114" i="78"/>
  <c r="J144" i="78"/>
  <c r="G96" i="78"/>
  <c r="G136" i="78"/>
  <c r="H89" i="78"/>
  <c r="J133" i="78"/>
  <c r="M77" i="78"/>
  <c r="M117" i="78"/>
  <c r="G70" i="78"/>
  <c r="J96" i="78"/>
  <c r="L140" i="78"/>
  <c r="E91" i="78"/>
  <c r="I119" i="78"/>
  <c r="J75" i="78"/>
  <c r="I85" i="78"/>
  <c r="H78" i="78"/>
  <c r="L139" i="84"/>
  <c r="J115" i="84"/>
  <c r="M92" i="84"/>
  <c r="D28" i="80"/>
  <c r="N73" i="84"/>
  <c r="E62" i="84"/>
  <c r="M139" i="84"/>
  <c r="E73" i="84"/>
  <c r="J86" i="84"/>
  <c r="H108" i="84"/>
  <c r="N128" i="84"/>
  <c r="H74" i="84"/>
  <c r="N105" i="84"/>
  <c r="L130" i="84"/>
  <c r="K62" i="78"/>
  <c r="E90" i="78"/>
  <c r="M116" i="78"/>
  <c r="N134" i="78"/>
  <c r="F77" i="78"/>
  <c r="L83" i="78"/>
  <c r="N92" i="84"/>
  <c r="N68" i="84"/>
  <c r="I137" i="84"/>
  <c r="K70" i="84"/>
  <c r="K137" i="84"/>
  <c r="H116" i="84"/>
  <c r="M90" i="84"/>
  <c r="E142" i="84"/>
  <c r="J116" i="84"/>
  <c r="K89" i="84"/>
  <c r="G122" i="84"/>
  <c r="F91" i="84"/>
  <c r="J139" i="84"/>
  <c r="I95" i="84"/>
  <c r="E141" i="84"/>
  <c r="I118" i="78"/>
  <c r="J71" i="78"/>
  <c r="J138" i="78"/>
  <c r="M122" i="78"/>
  <c r="J94" i="78"/>
  <c r="F120" i="78"/>
  <c r="E96" i="78"/>
  <c r="E136" i="78"/>
  <c r="J77" i="78"/>
  <c r="F116" i="78"/>
  <c r="M67" i="78"/>
  <c r="K97" i="78"/>
  <c r="K137" i="78"/>
  <c r="L90" i="78"/>
  <c r="H136" i="78"/>
  <c r="I89" i="78"/>
  <c r="G119" i="78"/>
  <c r="J67" i="78"/>
  <c r="H99" i="78"/>
  <c r="F142" i="78"/>
  <c r="I92" i="78"/>
  <c r="M120" i="78"/>
  <c r="E171" i="79"/>
  <c r="I68" i="78"/>
  <c r="J107" i="78"/>
  <c r="J85" i="78"/>
  <c r="L96" i="78"/>
  <c r="N140" i="84"/>
  <c r="H95" i="78"/>
  <c r="F133" i="84"/>
  <c r="E152" i="84"/>
  <c r="E76" i="84"/>
  <c r="K95" i="84"/>
  <c r="K115" i="84"/>
  <c r="H130" i="84"/>
  <c r="H77" i="84"/>
  <c r="H107" i="84"/>
  <c r="L135" i="84"/>
  <c r="E64" i="78"/>
  <c r="H97" i="78"/>
  <c r="G127" i="78"/>
  <c r="L61" i="78"/>
  <c r="J83" i="78"/>
  <c r="F85" i="78"/>
  <c r="N112" i="84"/>
  <c r="L78" i="84"/>
  <c r="K141" i="84"/>
  <c r="E72" i="84"/>
  <c r="E139" i="84"/>
  <c r="L117" i="84"/>
  <c r="E95" i="84"/>
  <c r="I143" i="84"/>
  <c r="H119" i="84"/>
  <c r="E91" i="84"/>
  <c r="M133" i="84"/>
  <c r="J92" i="84"/>
  <c r="H142" i="84"/>
  <c r="K99" i="84"/>
  <c r="I142" i="84"/>
  <c r="M119" i="78"/>
  <c r="N72" i="78"/>
  <c r="N139" i="78"/>
  <c r="E133" i="78"/>
  <c r="N115" i="78"/>
  <c r="K67" i="78"/>
  <c r="I97" i="78"/>
  <c r="I137" i="78"/>
  <c r="N78" i="78"/>
  <c r="J117" i="78"/>
  <c r="G69" i="78"/>
  <c r="E99" i="78"/>
  <c r="E139" i="78"/>
  <c r="F92" i="78"/>
  <c r="L137" i="78"/>
  <c r="M90" i="78"/>
  <c r="K120" i="78"/>
  <c r="H70" i="78"/>
  <c r="L100" i="78"/>
  <c r="J143" i="78"/>
  <c r="M93" i="78"/>
  <c r="G122" i="78"/>
  <c r="L116" i="78"/>
  <c r="L99" i="78"/>
  <c r="J61" i="78"/>
  <c r="M83" i="78"/>
  <c r="N117" i="78"/>
  <c r="F84" i="78"/>
  <c r="L122" i="84"/>
  <c r="J83" i="84"/>
  <c r="L106" i="84"/>
  <c r="H127" i="84"/>
  <c r="N77" i="84"/>
  <c r="I85" i="84"/>
  <c r="G107" i="84"/>
  <c r="K135" i="84"/>
  <c r="N63" i="78"/>
  <c r="G97" i="78"/>
  <c r="J128" i="78"/>
  <c r="K61" i="78"/>
  <c r="G86" i="78"/>
  <c r="I108" i="78"/>
  <c r="M105" i="78"/>
  <c r="H114" i="84"/>
  <c r="H90" i="84"/>
  <c r="F69" i="84"/>
  <c r="K77" i="84"/>
  <c r="I140" i="84"/>
  <c r="F119" i="84"/>
  <c r="M97" i="84"/>
  <c r="M144" i="84"/>
  <c r="L133" i="84"/>
  <c r="I92" i="84"/>
  <c r="G135" i="84"/>
  <c r="H95" i="84"/>
  <c r="L143" i="84"/>
  <c r="G111" i="84"/>
  <c r="M143" i="84"/>
  <c r="K122" i="78"/>
  <c r="J91" i="78"/>
  <c r="H141" i="78"/>
  <c r="I134" i="78"/>
  <c r="H117" i="78"/>
  <c r="E69" i="78"/>
  <c r="M98" i="78"/>
  <c r="M138" i="78"/>
  <c r="F89" i="78"/>
  <c r="N118" i="78"/>
  <c r="K70" i="78"/>
  <c r="I100" i="78"/>
  <c r="I140" i="78"/>
  <c r="J93" i="78"/>
  <c r="F139" i="78"/>
  <c r="G92" i="78"/>
  <c r="E122" i="78"/>
  <c r="N95" i="78"/>
  <c r="H112" i="78"/>
  <c r="K139" i="78"/>
  <c r="G95" i="78"/>
  <c r="M133" i="78"/>
  <c r="I129" i="84"/>
  <c r="E128" i="78"/>
  <c r="I138" i="84"/>
  <c r="N108" i="78"/>
  <c r="N105" i="78"/>
  <c r="G106" i="78"/>
  <c r="J63" i="84"/>
  <c r="L136" i="78"/>
  <c r="K68" i="84"/>
  <c r="K94" i="84"/>
  <c r="G120" i="84"/>
  <c r="H134" i="84"/>
  <c r="I61" i="84"/>
  <c r="N98" i="84"/>
  <c r="J121" i="84"/>
  <c r="G63" i="84"/>
  <c r="K78" i="78"/>
  <c r="M107" i="78"/>
  <c r="N73" i="78"/>
  <c r="F73" i="78"/>
  <c r="J105" i="78"/>
  <c r="K127" i="78"/>
  <c r="M127" i="78"/>
  <c r="N139" i="84"/>
  <c r="F93" i="84"/>
  <c r="J90" i="84"/>
  <c r="M94" i="84"/>
  <c r="H69" i="84"/>
  <c r="N121" i="84"/>
  <c r="K100" i="84"/>
  <c r="L73" i="84"/>
  <c r="J136" i="84"/>
  <c r="G95" i="84"/>
  <c r="E138" i="84"/>
  <c r="F98" i="84"/>
  <c r="G71" i="84"/>
  <c r="E114" i="84"/>
  <c r="N116" i="78"/>
  <c r="K135" i="78"/>
  <c r="H94" i="78"/>
  <c r="F144" i="78"/>
  <c r="G137" i="78"/>
  <c r="N122" i="78"/>
  <c r="G73" i="78"/>
  <c r="M111" i="78"/>
  <c r="K141" i="78"/>
  <c r="N91" i="78"/>
  <c r="L121" i="78"/>
  <c r="I73" i="78"/>
  <c r="I113" i="78"/>
  <c r="G143" i="78"/>
  <c r="L97" i="78"/>
  <c r="H143" i="78"/>
  <c r="E95" i="78"/>
  <c r="E135" i="78"/>
  <c r="J69" i="78"/>
  <c r="F115" i="78"/>
  <c r="G68" i="78"/>
  <c r="E98" i="78"/>
  <c r="K136" i="78"/>
  <c r="E100" i="78"/>
  <c r="F138" i="78"/>
  <c r="H115" i="78"/>
  <c r="E97" i="78"/>
  <c r="N89" i="84"/>
  <c r="J121" i="78"/>
  <c r="K129" i="78"/>
  <c r="L75" i="84"/>
  <c r="N64" i="84"/>
  <c r="N93" i="78"/>
  <c r="K129" i="84"/>
  <c r="E127" i="84"/>
  <c r="F61" i="84"/>
  <c r="F73" i="84"/>
  <c r="L95" i="84"/>
  <c r="I108" i="84"/>
  <c r="K61" i="84"/>
  <c r="K85" i="84"/>
  <c r="L118" i="84"/>
  <c r="F134" i="78"/>
  <c r="M75" i="78"/>
  <c r="G105" i="78"/>
  <c r="M128" i="78"/>
  <c r="M61" i="78"/>
  <c r="I63" i="78"/>
  <c r="J28" i="80"/>
  <c r="E113" i="84"/>
  <c r="M91" i="84"/>
  <c r="L67" i="84"/>
  <c r="K117" i="84"/>
  <c r="F92" i="84"/>
  <c r="M70" i="84"/>
  <c r="E135" i="84"/>
  <c r="H99" i="84"/>
  <c r="K69" i="84"/>
  <c r="K116" i="84"/>
  <c r="H75" i="84"/>
  <c r="H122" i="84"/>
  <c r="M89" i="84"/>
  <c r="I122" i="84"/>
  <c r="I91" i="78"/>
  <c r="L92" i="78"/>
  <c r="L122" i="78"/>
  <c r="M115" i="78"/>
  <c r="N68" i="78"/>
  <c r="J141" i="78"/>
  <c r="I90" i="78"/>
  <c r="G120" i="78"/>
  <c r="N71" i="78"/>
  <c r="H100" i="78"/>
  <c r="H140" i="78"/>
  <c r="F108" i="78"/>
  <c r="J72" i="78"/>
  <c r="H64" i="84"/>
  <c r="N85" i="84"/>
  <c r="H91" i="84"/>
  <c r="I128" i="84"/>
  <c r="J62" i="84"/>
  <c r="F76" i="84"/>
  <c r="L98" i="84"/>
  <c r="E117" i="84"/>
  <c r="E63" i="84"/>
  <c r="E90" i="84"/>
  <c r="L121" i="84"/>
  <c r="E153" i="78"/>
  <c r="E166" i="79" s="1"/>
  <c r="E83" i="78"/>
  <c r="K106" i="78"/>
  <c r="G130" i="78"/>
  <c r="G63" i="78"/>
  <c r="M64" i="78"/>
  <c r="L68" i="84"/>
  <c r="I114" i="84"/>
  <c r="G93" i="84"/>
  <c r="N78" i="84"/>
  <c r="M121" i="84"/>
  <c r="J93" i="84"/>
  <c r="G72" i="84"/>
  <c r="M137" i="84"/>
  <c r="L100" i="84"/>
  <c r="I72" i="84"/>
  <c r="E118" i="84"/>
  <c r="L76" i="84"/>
  <c r="H135" i="84"/>
  <c r="G91" i="84"/>
  <c r="E134" i="84"/>
  <c r="K95" i="78"/>
  <c r="H67" i="78"/>
  <c r="H134" i="78"/>
  <c r="G117" i="78"/>
  <c r="L71" i="78"/>
  <c r="N142" i="78"/>
  <c r="M91" i="78"/>
  <c r="K121" i="78"/>
  <c r="H73" i="78"/>
  <c r="N111" i="78"/>
  <c r="L141" i="78"/>
  <c r="I93" i="78"/>
  <c r="I133" i="78"/>
  <c r="H76" i="78"/>
  <c r="F119" i="78"/>
  <c r="E75" i="78"/>
  <c r="E115" i="78"/>
  <c r="M144" i="78"/>
  <c r="L93" i="78"/>
  <c r="J136" i="78"/>
  <c r="E78" i="78"/>
  <c r="K116" i="78"/>
  <c r="J115" i="78"/>
  <c r="G83" i="84"/>
  <c r="N62" i="78"/>
  <c r="E108" i="84"/>
  <c r="J135" i="84"/>
  <c r="F129" i="84"/>
  <c r="F97" i="78"/>
  <c r="I64" i="78"/>
  <c r="I130" i="78"/>
  <c r="K91" i="84"/>
  <c r="E92" i="84"/>
  <c r="F139" i="84"/>
  <c r="F95" i="84"/>
  <c r="K136" i="84"/>
  <c r="E74" i="84"/>
  <c r="I71" i="78"/>
  <c r="L142" i="78"/>
  <c r="N135" i="78"/>
  <c r="I117" i="78"/>
  <c r="H120" i="78"/>
  <c r="M114" i="78"/>
  <c r="F99" i="78"/>
  <c r="I96" i="78"/>
  <c r="H72" i="78"/>
  <c r="K69" i="78"/>
  <c r="E138" i="78"/>
  <c r="G75" i="78"/>
  <c r="F122" i="78"/>
  <c r="F100" i="84"/>
  <c r="E84" i="78"/>
  <c r="G141" i="84"/>
  <c r="M62" i="84"/>
  <c r="J130" i="84"/>
  <c r="H128" i="78"/>
  <c r="N76" i="78"/>
  <c r="E141" i="78"/>
  <c r="E93" i="84"/>
  <c r="G96" i="84"/>
  <c r="H143" i="84"/>
  <c r="J96" i="84"/>
  <c r="M140" i="84"/>
  <c r="I75" i="84"/>
  <c r="M72" i="78"/>
  <c r="J68" i="78"/>
  <c r="H137" i="78"/>
  <c r="M118" i="78"/>
  <c r="H133" i="78"/>
  <c r="G116" i="78"/>
  <c r="J100" i="78"/>
  <c r="M97" i="78"/>
  <c r="L73" i="78"/>
  <c r="E71" i="78"/>
  <c r="I139" i="78"/>
  <c r="I70" i="78"/>
  <c r="M122" i="84"/>
  <c r="F106" i="78"/>
  <c r="N111" i="84"/>
  <c r="G64" i="84"/>
  <c r="L134" i="84"/>
  <c r="I106" i="78"/>
  <c r="H83" i="78"/>
  <c r="N112" i="78"/>
  <c r="L91" i="84"/>
  <c r="K97" i="84"/>
  <c r="E68" i="84"/>
  <c r="F135" i="84"/>
  <c r="G142" i="84"/>
  <c r="M76" i="84"/>
  <c r="G134" i="78"/>
  <c r="L139" i="78"/>
  <c r="L138" i="78"/>
  <c r="G140" i="78"/>
  <c r="L134" i="78"/>
  <c r="K117" i="78"/>
  <c r="F112" i="78"/>
  <c r="G99" i="78"/>
  <c r="F75" i="78"/>
  <c r="I72" i="78"/>
  <c r="M140" i="78"/>
  <c r="G111" i="78"/>
  <c r="L63" i="84"/>
  <c r="H73" i="84"/>
  <c r="F86" i="78"/>
  <c r="H137" i="84"/>
  <c r="G99" i="84"/>
  <c r="F71" i="84"/>
  <c r="I94" i="78"/>
  <c r="J137" i="78"/>
  <c r="K143" i="78"/>
  <c r="H144" i="84"/>
  <c r="N86" i="78"/>
  <c r="G127" i="84"/>
  <c r="H70" i="84"/>
  <c r="I77" i="84"/>
  <c r="I111" i="78"/>
  <c r="L84" i="78"/>
  <c r="N137" i="78"/>
  <c r="F113" i="84"/>
  <c r="E99" i="84"/>
  <c r="I69" i="84"/>
  <c r="H139" i="84"/>
  <c r="L69" i="84"/>
  <c r="G78" i="84"/>
  <c r="E137" i="78"/>
  <c r="E93" i="78"/>
  <c r="F140" i="78"/>
  <c r="E143" i="78"/>
  <c r="F136" i="78"/>
  <c r="E119" i="78"/>
  <c r="J113" i="78"/>
  <c r="K100" i="78"/>
  <c r="J76" i="78"/>
  <c r="M73" i="78"/>
  <c r="G142" i="78"/>
  <c r="K128" i="84"/>
  <c r="M61" i="84"/>
  <c r="I114" i="78"/>
  <c r="E113" i="78"/>
  <c r="I100" i="84"/>
  <c r="L140" i="84"/>
  <c r="K112" i="84"/>
  <c r="I138" i="78"/>
  <c r="I144" i="78"/>
  <c r="I120" i="78"/>
  <c r="H116" i="78"/>
  <c r="E142" i="78"/>
  <c r="G72" i="78"/>
  <c r="K74" i="84"/>
  <c r="N118" i="84"/>
  <c r="J68" i="84"/>
  <c r="I129" i="78"/>
  <c r="E106" i="78"/>
  <c r="J95" i="78"/>
  <c r="M72" i="84"/>
  <c r="E130" i="84"/>
  <c r="K105" i="84"/>
  <c r="K64" i="84"/>
  <c r="E127" i="78"/>
  <c r="H118" i="78"/>
  <c r="G129" i="78"/>
  <c r="J141" i="84"/>
  <c r="E112" i="84"/>
  <c r="G112" i="84"/>
  <c r="F142" i="84"/>
  <c r="J72" i="84"/>
  <c r="I115" i="84"/>
  <c r="M139" i="78"/>
  <c r="M95" i="78"/>
  <c r="K74" i="78"/>
  <c r="L67" i="78"/>
  <c r="N138" i="78"/>
  <c r="M121" i="78"/>
  <c r="L117" i="78"/>
  <c r="K113" i="78"/>
  <c r="H92" i="78"/>
  <c r="K76" i="78"/>
  <c r="I115" i="78"/>
  <c r="N116" i="84"/>
  <c r="H129" i="78"/>
  <c r="K63" i="84"/>
  <c r="L111" i="78"/>
  <c r="E114" i="78"/>
  <c r="M75" i="84"/>
  <c r="G134" i="84"/>
  <c r="N95" i="84"/>
  <c r="J71" i="84"/>
  <c r="I128" i="78"/>
  <c r="J98" i="78"/>
  <c r="K130" i="78"/>
  <c r="E89" i="84"/>
  <c r="M141" i="84"/>
  <c r="K113" i="84"/>
  <c r="J143" i="84"/>
  <c r="L96" i="84"/>
  <c r="M116" i="84"/>
  <c r="G141" i="78"/>
  <c r="M135" i="78"/>
  <c r="E76" i="78"/>
  <c r="F69" i="78"/>
  <c r="E72" i="78"/>
  <c r="M141" i="78"/>
  <c r="J140" i="78"/>
  <c r="K133" i="78"/>
  <c r="L113" i="78"/>
  <c r="K96" i="78"/>
  <c r="N62" i="84"/>
  <c r="L130" i="78"/>
  <c r="N136" i="78"/>
  <c r="I106" i="84"/>
  <c r="I83" i="84"/>
  <c r="E64" i="84"/>
  <c r="L105" i="84"/>
  <c r="J74" i="84"/>
  <c r="F64" i="78"/>
  <c r="N106" i="78"/>
  <c r="I90" i="84"/>
  <c r="J73" i="84"/>
  <c r="E115" i="84"/>
  <c r="G68" i="84"/>
  <c r="J112" i="84"/>
  <c r="G118" i="84"/>
  <c r="F67" i="78"/>
  <c r="K138" i="78"/>
  <c r="I77" i="78"/>
  <c r="J70" i="78"/>
  <c r="M74" i="78"/>
  <c r="K144" i="78"/>
  <c r="L144" i="78"/>
  <c r="I136" i="78"/>
  <c r="J116" i="78"/>
  <c r="I99" i="78"/>
  <c r="I112" i="78"/>
  <c r="H83" i="84"/>
  <c r="M64" i="84"/>
  <c r="E133" i="84"/>
  <c r="L89" i="78"/>
  <c r="M84" i="84"/>
  <c r="F130" i="84"/>
  <c r="F107" i="84"/>
  <c r="J77" i="84"/>
  <c r="J135" i="78"/>
  <c r="H108" i="78"/>
  <c r="E28" i="80"/>
  <c r="F89" i="84"/>
  <c r="H76" i="84"/>
  <c r="G119" i="84"/>
  <c r="M93" i="84"/>
  <c r="H115" i="84"/>
  <c r="K119" i="84"/>
  <c r="N92" i="78"/>
  <c r="I141" i="78"/>
  <c r="M78" i="78"/>
  <c r="J90" i="78"/>
  <c r="G76" i="78"/>
  <c r="N67" i="78"/>
  <c r="E68" i="78"/>
  <c r="M137" i="78"/>
  <c r="H119" i="78"/>
  <c r="M100" i="78"/>
  <c r="N122" i="84"/>
  <c r="N74" i="78"/>
  <c r="M130" i="84"/>
  <c r="L111" i="84"/>
  <c r="L142" i="84"/>
  <c r="J108" i="84"/>
  <c r="I107" i="84"/>
  <c r="N97" i="78"/>
  <c r="L112" i="78"/>
  <c r="F28" i="80"/>
  <c r="N91" i="84"/>
  <c r="L77" i="84"/>
  <c r="K120" i="84"/>
  <c r="K96" i="84"/>
  <c r="L116" i="84"/>
  <c r="E121" i="84"/>
  <c r="L95" i="78"/>
  <c r="M142" i="78"/>
  <c r="E89" i="78"/>
  <c r="H93" i="78"/>
  <c r="K77" i="78"/>
  <c r="H69" i="78"/>
  <c r="I69" i="78"/>
  <c r="G139" i="78"/>
  <c r="L120" i="78"/>
  <c r="E111" i="78"/>
  <c r="H86" i="84"/>
  <c r="N121" i="78"/>
  <c r="H93" i="84"/>
  <c r="E98" i="84"/>
  <c r="F118" i="84"/>
  <c r="E67" i="78"/>
  <c r="L115" i="78"/>
  <c r="G144" i="78"/>
  <c r="G100" i="78"/>
  <c r="L94" i="78"/>
  <c r="G89" i="78"/>
  <c r="L70" i="78"/>
  <c r="M70" i="78"/>
  <c r="K140" i="78"/>
  <c r="M113" i="78"/>
  <c r="I144" i="84"/>
  <c r="H122" i="78"/>
  <c r="J142" i="84"/>
  <c r="E86" i="84"/>
  <c r="N100" i="84"/>
  <c r="I118" i="84"/>
  <c r="K75" i="78"/>
  <c r="K119" i="78"/>
  <c r="L115" i="84"/>
  <c r="H89" i="84"/>
  <c r="H72" i="84"/>
  <c r="E172" i="79"/>
  <c r="F98" i="78"/>
  <c r="M107" i="84"/>
  <c r="I98" i="84"/>
  <c r="F134" i="84"/>
  <c r="N113" i="84"/>
  <c r="G84" i="78"/>
  <c r="I61" i="78"/>
  <c r="F111" i="78"/>
  <c r="I67" i="84"/>
  <c r="H113" i="84"/>
  <c r="L90" i="84"/>
  <c r="J89" i="84"/>
  <c r="I99" i="84"/>
  <c r="J119" i="84"/>
  <c r="G67" i="78"/>
  <c r="F117" i="78"/>
  <c r="G91" i="78"/>
  <c r="G113" i="78"/>
  <c r="F96" i="78"/>
  <c r="K90" i="78"/>
  <c r="K107" i="78"/>
  <c r="N96" i="84"/>
  <c r="N76" i="84"/>
  <c r="G105" i="84"/>
  <c r="H61" i="84"/>
  <c r="J118" i="84"/>
  <c r="K85" i="78"/>
  <c r="M62" i="78"/>
  <c r="L119" i="78"/>
  <c r="K78" i="84"/>
  <c r="F136" i="84"/>
  <c r="J120" i="84"/>
  <c r="H92" i="84"/>
  <c r="E111" i="84"/>
  <c r="M69" i="84"/>
  <c r="K68" i="78"/>
  <c r="N119" i="78"/>
  <c r="L118" i="78"/>
  <c r="K114" i="78"/>
  <c r="J97" i="78"/>
  <c r="E92" i="78"/>
  <c r="J73" i="78"/>
  <c r="K73" i="78"/>
  <c r="I143" i="78"/>
  <c r="F135" i="78"/>
  <c r="G115" i="78"/>
  <c r="G112" i="78"/>
  <c r="F72" i="78"/>
  <c r="G90" i="78"/>
  <c r="J61" i="84"/>
  <c r="N120" i="84"/>
  <c r="G100" i="84"/>
  <c r="K106" i="84"/>
  <c r="G85" i="84"/>
  <c r="L127" i="84"/>
  <c r="M89" i="78"/>
  <c r="F90" i="78"/>
  <c r="E129" i="78"/>
  <c r="G90" i="84"/>
  <c r="H140" i="84"/>
  <c r="J133" i="84"/>
  <c r="L93" i="84"/>
  <c r="I112" i="84"/>
  <c r="K72" i="84"/>
  <c r="E70" i="78"/>
  <c r="H121" i="78"/>
  <c r="J134" i="78"/>
  <c r="E116" i="78"/>
  <c r="N98" i="78"/>
  <c r="E112" i="78"/>
  <c r="H96" i="78"/>
  <c r="K93" i="78"/>
  <c r="F68" i="78"/>
  <c r="K71" i="78"/>
  <c r="G135" i="78"/>
  <c r="J89" i="78"/>
  <c r="L133" i="78"/>
  <c r="W50" i="87"/>
  <c r="G127" i="112" a="1"/>
  <c r="G127" i="112" s="1"/>
  <c r="I127" i="112" a="1"/>
  <c r="I127" i="112" s="1"/>
  <c r="P50" i="87"/>
  <c r="U51" i="87"/>
  <c r="Q52" i="87"/>
  <c r="Q51" i="87"/>
  <c r="U52" i="87"/>
  <c r="O45" i="87"/>
  <c r="S48" i="87" a="1"/>
  <c r="S48" i="87" s="1"/>
  <c r="R46" i="87" a="1"/>
  <c r="R46" i="87" s="1"/>
  <c r="R49" i="87" a="1"/>
  <c r="R49" i="87" s="1"/>
  <c r="R48" i="87" a="1"/>
  <c r="R48" i="87" s="1"/>
  <c r="S47" i="87" a="1"/>
  <c r="S47" i="87" s="1"/>
  <c r="V46" i="87" a="1"/>
  <c r="V46" i="87" s="1"/>
  <c r="T47" i="87"/>
  <c r="U47" i="87" s="1"/>
  <c r="S46" i="87" a="1"/>
  <c r="S46" i="87" s="1"/>
  <c r="S49" i="87" a="1"/>
  <c r="S49" i="87" s="1"/>
  <c r="W47" i="87"/>
  <c r="W46" i="87"/>
  <c r="T49" i="87"/>
  <c r="V49" i="87" s="1" a="1"/>
  <c r="V49" i="87" s="1"/>
  <c r="Q47" i="87"/>
  <c r="W49" i="87"/>
  <c r="Q46" i="87"/>
  <c r="T48" i="87"/>
  <c r="V48" i="87" s="1" a="1"/>
  <c r="V48" i="87" s="1"/>
  <c r="W48" i="87"/>
  <c r="R47" i="87" a="1"/>
  <c r="R47" i="87" s="1"/>
  <c r="Q49" i="87"/>
  <c r="T46" i="87"/>
  <c r="U46" i="87" s="1"/>
  <c r="V47" i="87" a="1"/>
  <c r="V47" i="87" s="1"/>
  <c r="Q48" i="87"/>
  <c r="X171" i="79"/>
  <c r="X172" i="79"/>
  <c r="F229" i="112" a="1"/>
  <c r="F229" i="112" s="1"/>
  <c r="G20" i="89"/>
  <c r="I20" i="89" s="1" a="1"/>
  <c r="I20" i="89" s="1"/>
  <c r="I21" i="89" a="1"/>
  <c r="I21" i="89" s="1"/>
  <c r="I22" i="89" a="1"/>
  <c r="I22" i="89" s="1"/>
  <c r="D164" i="74"/>
  <c r="J15" i="106"/>
  <c r="S221" i="112" a="1"/>
  <c r="S221" i="112" s="1"/>
  <c r="F221" i="112" s="1" a="1"/>
  <c r="F221" i="112" s="1"/>
  <c r="G126" i="112" a="1"/>
  <c r="G126" i="112" s="1"/>
  <c r="E130" i="112" s="1"/>
  <c r="E144" i="112" s="1"/>
  <c r="I126" i="112" a="1"/>
  <c r="I126" i="112" s="1"/>
  <c r="E131" i="112" s="1"/>
  <c r="E145" i="112" s="1"/>
  <c r="AM221" i="112" a="1"/>
  <c r="AM221" i="112" s="1"/>
  <c r="AA221" i="112" a="1"/>
  <c r="AA221" i="112" s="1"/>
  <c r="D8" i="83"/>
  <c r="I49" i="113"/>
  <c r="I29" i="81"/>
  <c r="D170" i="74"/>
  <c r="J37" i="106"/>
  <c r="I33" i="82"/>
  <c r="H25" i="106"/>
  <c r="I25" i="106" s="1" a="1"/>
  <c r="I25" i="106" s="1"/>
  <c r="D46" i="106" s="1"/>
  <c r="I14" i="82"/>
  <c r="I68" i="113"/>
  <c r="G39" i="82"/>
  <c r="G247" i="79"/>
  <c r="G82" i="91"/>
  <c r="O576" i="112"/>
  <c r="Q51" i="106"/>
  <c r="G149" i="91"/>
  <c r="G576" i="112"/>
  <c r="G51" i="106"/>
  <c r="P39" i="82"/>
  <c r="G83" i="87"/>
  <c r="X164" i="85"/>
  <c r="G131" i="85"/>
  <c r="Z279" i="79"/>
  <c r="Q38" i="81"/>
  <c r="Q43" i="105"/>
  <c r="G38" i="81"/>
  <c r="G43" i="105"/>
  <c r="X270" i="80"/>
  <c r="G97" i="92"/>
  <c r="G232" i="80"/>
  <c r="G53" i="89"/>
  <c r="P91" i="87"/>
  <c r="F227" i="112" a="1"/>
  <c r="F227" i="112" s="1"/>
  <c r="E237" i="112"/>
  <c r="J242" i="112" a="1"/>
  <c r="J242" i="112" s="1"/>
  <c r="J245" i="112" a="1"/>
  <c r="J245" i="112" s="1"/>
  <c r="J243" i="112" a="1"/>
  <c r="J243" i="112" s="1"/>
  <c r="J238" i="112" a="1"/>
  <c r="J238" i="112" s="1"/>
  <c r="J244" i="112" a="1"/>
  <c r="J244" i="112" s="1"/>
  <c r="J239" i="112" a="1"/>
  <c r="J239" i="112" s="1"/>
  <c r="J246" i="112" a="1"/>
  <c r="J246" i="112" s="1"/>
  <c r="J240" i="112" a="1"/>
  <c r="J240" i="112" s="1"/>
  <c r="J241" i="112" a="1"/>
  <c r="J241" i="112" s="1"/>
  <c r="K244" i="112" a="1"/>
  <c r="K244" i="112" s="1"/>
  <c r="H240" i="112" a="1"/>
  <c r="H240" i="112" s="1"/>
  <c r="H245" i="112" a="1"/>
  <c r="H245" i="112" s="1"/>
  <c r="K241" i="112" a="1"/>
  <c r="K241" i="112" s="1"/>
  <c r="K245" i="112" a="1"/>
  <c r="K245" i="112" s="1"/>
  <c r="K246" i="112" a="1"/>
  <c r="K246" i="112" s="1"/>
  <c r="K242" i="112" a="1"/>
  <c r="K242" i="112" s="1"/>
  <c r="H241" i="112" a="1"/>
  <c r="H241" i="112" s="1"/>
  <c r="H244" i="112" a="1"/>
  <c r="H244" i="112" s="1"/>
  <c r="K239" i="112" a="1"/>
  <c r="K239" i="112" s="1"/>
  <c r="K240" i="112" a="1"/>
  <c r="K240" i="112" s="1"/>
  <c r="H238" i="112" a="1"/>
  <c r="H238" i="112" s="1"/>
  <c r="H239" i="112" a="1"/>
  <c r="H239" i="112" s="1"/>
  <c r="H243" i="112" a="1"/>
  <c r="H243" i="112" s="1"/>
  <c r="H246" i="112" a="1"/>
  <c r="H246" i="112" s="1"/>
  <c r="K238" i="112" a="1"/>
  <c r="K238" i="112" s="1"/>
  <c r="K243" i="112" a="1"/>
  <c r="K243" i="112" s="1"/>
  <c r="H242" i="112" a="1"/>
  <c r="H242" i="112" s="1"/>
  <c r="G305" i="112" a="1"/>
  <c r="G305" i="112" s="1"/>
  <c r="H305" i="112" a="1"/>
  <c r="H305" i="112" s="1"/>
  <c r="F305" i="112" a="1"/>
  <c r="I125" i="91"/>
  <c r="I50" i="87"/>
  <c r="G245" i="112" a="1"/>
  <c r="G245" i="112" s="1"/>
  <c r="G244" i="112" a="1"/>
  <c r="G244" i="112" s="1"/>
  <c r="E23" i="92"/>
  <c r="F23" i="92" s="1" a="1"/>
  <c r="F23" i="92" s="1"/>
  <c r="E19" i="91"/>
  <c r="H19" i="91" s="1" a="1"/>
  <c r="H19" i="91" s="1"/>
  <c r="E59" i="91" s="1"/>
  <c r="E151" i="102"/>
  <c r="E70" i="98"/>
  <c r="I515" i="112" s="1"/>
  <c r="E69" i="98"/>
  <c r="E22" i="13" s="1" a="1"/>
  <c r="E22" i="13" s="1"/>
  <c r="F22" i="13" s="1"/>
  <c r="I22" i="13" s="1" a="1"/>
  <c r="I22" i="13" s="1"/>
  <c r="E192" i="102"/>
  <c r="E588" i="112" s="1"/>
  <c r="E68" i="98"/>
  <c r="E21" i="13" s="1" a="1"/>
  <c r="E21" i="13" s="1"/>
  <c r="H21" i="13" s="1" a="1"/>
  <c r="H21" i="13" s="1"/>
  <c r="E55" i="99"/>
  <c r="E23" i="13" s="1" a="1"/>
  <c r="E23" i="13" s="1"/>
  <c r="H23" i="13" s="1"/>
  <c r="E57" i="99"/>
  <c r="E25" i="13" s="1" a="1"/>
  <c r="E25" i="13" s="1"/>
  <c r="F25" i="13" s="1"/>
  <c r="I25" i="13" s="1" a="1"/>
  <c r="I25" i="13" s="1"/>
  <c r="E58" i="99"/>
  <c r="I516" i="112" s="1"/>
  <c r="E56" i="99"/>
  <c r="E24" i="13" s="1" a="1"/>
  <c r="E24" i="13" s="1"/>
  <c r="F24" i="13" s="1"/>
  <c r="I24" i="13" s="1" a="1"/>
  <c r="I24" i="13" s="1"/>
  <c r="E67" i="98"/>
  <c r="E20" i="13" s="1" a="1"/>
  <c r="E20" i="13" s="1"/>
  <c r="H20" i="13" s="1"/>
  <c r="D48" i="13"/>
  <c r="E48" i="13" s="1"/>
  <c r="E50" i="13"/>
  <c r="E49" i="13"/>
  <c r="F26" i="13"/>
  <c r="I26" i="13" s="1"/>
  <c r="E22" i="75"/>
  <c r="H27" i="13"/>
  <c r="F27" i="13"/>
  <c r="I27" i="13" s="1"/>
  <c r="E19" i="75"/>
  <c r="E20" i="75"/>
  <c r="E21" i="75" s="1"/>
  <c r="E37" i="13"/>
  <c r="E39" i="13"/>
  <c r="F39" i="13"/>
  <c r="H54" i="74"/>
  <c r="H51" i="74"/>
  <c r="H49" i="74"/>
  <c r="H53" i="74"/>
  <c r="H48" i="74"/>
  <c r="I20" i="90" s="1"/>
  <c r="H52" i="74"/>
  <c r="H50" i="74"/>
  <c r="K46" i="89" s="1"/>
  <c r="H28" i="90" l="1" a="1"/>
  <c r="H28" i="90" s="1"/>
  <c r="H29" i="90" a="1"/>
  <c r="H29" i="90" s="1"/>
  <c r="H26" i="90" a="1"/>
  <c r="H26" i="90" s="1"/>
  <c r="H27" i="90" a="1"/>
  <c r="H27" i="90" s="1"/>
  <c r="E34" i="92"/>
  <c r="F34" i="92" s="1" a="1"/>
  <c r="F34" i="92" s="1"/>
  <c r="E30" i="91"/>
  <c r="H30" i="91" s="1" a="1"/>
  <c r="H30" i="91" s="1"/>
  <c r="E70" i="91" s="1"/>
  <c r="E33" i="92"/>
  <c r="F33" i="92" s="1" a="1"/>
  <c r="F33" i="92" s="1"/>
  <c r="E29" i="91"/>
  <c r="H29" i="91" s="1" a="1"/>
  <c r="H29" i="91" s="1"/>
  <c r="E69" i="91" s="1"/>
  <c r="E36" i="92"/>
  <c r="F36" i="92" s="1" a="1"/>
  <c r="F36" i="92" s="1"/>
  <c r="E32" i="91"/>
  <c r="H32" i="91" s="1" a="1"/>
  <c r="H32" i="91" s="1"/>
  <c r="E72" i="91" s="1"/>
  <c r="S25" i="106" a="1"/>
  <c r="S25" i="106" s="1"/>
  <c r="N46" i="106" s="1"/>
  <c r="E68" i="79" a="1"/>
  <c r="E68" i="79" s="1"/>
  <c r="E119" i="80" a="1"/>
  <c r="E119" i="80" s="1"/>
  <c r="E56" i="85" a="1"/>
  <c r="E56" i="85" s="1"/>
  <c r="E23" i="72"/>
  <c r="F80" i="13" s="1"/>
  <c r="E34" i="91"/>
  <c r="H34" i="91" s="1" a="1"/>
  <c r="H34" i="91" s="1"/>
  <c r="E74" i="91" s="1"/>
  <c r="E38" i="92"/>
  <c r="F38" i="92" s="1" a="1"/>
  <c r="F38" i="92" s="1"/>
  <c r="K237" i="112" a="1"/>
  <c r="K237" i="112" s="1"/>
  <c r="J237" i="112" a="1"/>
  <c r="J237" i="112" s="1"/>
  <c r="H237" i="112" a="1"/>
  <c r="H237" i="112" s="1"/>
  <c r="I51" i="88"/>
  <c r="E58" i="88" s="1" a="1"/>
  <c r="E58" i="88" s="1"/>
  <c r="O74" i="113" a="1"/>
  <c r="O74" i="113" s="1"/>
  <c r="T86" i="113" s="1"/>
  <c r="E74" i="113" a="1"/>
  <c r="E74" i="113" s="1"/>
  <c r="J86" i="113" s="1"/>
  <c r="E103" i="91"/>
  <c r="F103" i="91" s="1" a="1"/>
  <c r="F103" i="91" s="1"/>
  <c r="E135" i="91" s="1"/>
  <c r="E66" i="92"/>
  <c r="F66" i="92" s="1" a="1"/>
  <c r="F66" i="92" s="1"/>
  <c r="W45" i="87"/>
  <c r="T45" i="87"/>
  <c r="U45" i="87" s="1"/>
  <c r="S45" i="87" a="1"/>
  <c r="S45" i="87" s="1"/>
  <c r="R45" i="87" a="1"/>
  <c r="R45" i="87" s="1"/>
  <c r="Q45" i="87"/>
  <c r="E63" i="88" a="1"/>
  <c r="E63" i="88" s="1"/>
  <c r="E20" i="91"/>
  <c r="H20" i="91" s="1" a="1"/>
  <c r="H20" i="91" s="1"/>
  <c r="E60" i="91" s="1"/>
  <c r="E24" i="92"/>
  <c r="F24" i="92" s="1" a="1"/>
  <c r="F24" i="92" s="1"/>
  <c r="E60" i="88" a="1"/>
  <c r="E60" i="88" s="1"/>
  <c r="E20" i="80" a="1"/>
  <c r="E52" i="79" a="1"/>
  <c r="E48" i="85" a="1"/>
  <c r="E41" i="92"/>
  <c r="F41" i="92" s="1" a="1"/>
  <c r="F41" i="92" s="1"/>
  <c r="E37" i="91"/>
  <c r="H37" i="91" s="1" a="1"/>
  <c r="H37" i="91" s="1"/>
  <c r="E77" i="91" s="1"/>
  <c r="E64" i="88" a="1"/>
  <c r="E64" i="88" s="1"/>
  <c r="E33" i="91"/>
  <c r="H33" i="91" s="1" a="1"/>
  <c r="H33" i="91" s="1"/>
  <c r="E73" i="91" s="1"/>
  <c r="E37" i="92"/>
  <c r="F37" i="92" s="1" a="1"/>
  <c r="F37" i="92" s="1"/>
  <c r="E74" i="87" a="1"/>
  <c r="E74" i="87" s="1"/>
  <c r="E153" i="80" a="1"/>
  <c r="E153" i="80" s="1"/>
  <c r="E30" i="92"/>
  <c r="F30" i="92" s="1" a="1"/>
  <c r="F30" i="92" s="1"/>
  <c r="E26" i="91"/>
  <c r="H26" i="91" s="1" a="1"/>
  <c r="H26" i="91" s="1"/>
  <c r="E66" i="91" s="1"/>
  <c r="E73" i="88" a="1"/>
  <c r="E73" i="88" s="1"/>
  <c r="E32" i="89"/>
  <c r="K44" i="89" s="1"/>
  <c r="E102" i="91"/>
  <c r="F102" i="91" s="1" a="1"/>
  <c r="F102" i="91" s="1"/>
  <c r="E134" i="91" s="1"/>
  <c r="F134" i="91" s="1" a="1"/>
  <c r="F134" i="91" s="1"/>
  <c r="E65" i="92"/>
  <c r="F65" i="92" s="1" a="1"/>
  <c r="F65" i="92" s="1"/>
  <c r="I34" i="82"/>
  <c r="U48" i="87"/>
  <c r="E70" i="88" a="1"/>
  <c r="E70" i="88" s="1"/>
  <c r="E68" i="87" a="1"/>
  <c r="E68" i="87" s="1"/>
  <c r="E31" i="92"/>
  <c r="F31" i="92" s="1" a="1"/>
  <c r="F31" i="92" s="1"/>
  <c r="E27" i="91"/>
  <c r="H27" i="91" s="1" a="1"/>
  <c r="H27" i="91" s="1"/>
  <c r="E67" i="91" s="1"/>
  <c r="E67" i="88" a="1"/>
  <c r="E67" i="88" s="1"/>
  <c r="H226" i="80"/>
  <c r="I126" i="91"/>
  <c r="E115" i="79" a="1"/>
  <c r="E115" i="79" s="1"/>
  <c r="U49" i="87"/>
  <c r="E23" i="91"/>
  <c r="H23" i="91" s="1" a="1"/>
  <c r="H23" i="91" s="1"/>
  <c r="E63" i="91" s="1"/>
  <c r="E27" i="92"/>
  <c r="F27" i="92" s="1" a="1"/>
  <c r="F27" i="92" s="1"/>
  <c r="E71" i="88" a="1"/>
  <c r="E71" i="88" s="1"/>
  <c r="E62" i="87" a="1"/>
  <c r="E62" i="87" s="1"/>
  <c r="E21" i="91"/>
  <c r="H21" i="91" s="1" a="1"/>
  <c r="H21" i="91" s="1"/>
  <c r="E61" i="91" s="1"/>
  <c r="E25" i="92"/>
  <c r="F25" i="92" s="1" a="1"/>
  <c r="F25" i="92" s="1"/>
  <c r="E43" i="92" s="1"/>
  <c r="J89" i="92" s="1"/>
  <c r="J51" i="91"/>
  <c r="F59" i="91" s="1" a="1"/>
  <c r="F59" i="91" s="1"/>
  <c r="E67" i="92"/>
  <c r="F67" i="92" s="1" a="1"/>
  <c r="F67" i="92" s="1"/>
  <c r="E104" i="91"/>
  <c r="F104" i="91" s="1" a="1"/>
  <c r="F104" i="91" s="1"/>
  <c r="E136" i="91" s="1"/>
  <c r="F136" i="91" s="1" a="1"/>
  <c r="F136" i="91" s="1"/>
  <c r="I50" i="113"/>
  <c r="V164" i="80" a="1"/>
  <c r="V164" i="80" s="1"/>
  <c r="E61" i="88" a="1"/>
  <c r="E61" i="88" s="1"/>
  <c r="E35" i="92"/>
  <c r="F35" i="92" s="1" a="1"/>
  <c r="F35" i="92" s="1"/>
  <c r="E31" i="91"/>
  <c r="H31" i="91" s="1" a="1"/>
  <c r="H31" i="91" s="1"/>
  <c r="E71" i="91" s="1"/>
  <c r="E72" i="88" a="1"/>
  <c r="E72" i="88" s="1"/>
  <c r="X115" i="79" a="1"/>
  <c r="X115" i="79" s="1"/>
  <c r="J38" i="106"/>
  <c r="E46" i="106" s="1" a="1"/>
  <c r="E46" i="106" s="1"/>
  <c r="E48" i="106" s="1"/>
  <c r="U50" i="87"/>
  <c r="Q50" i="87"/>
  <c r="E35" i="91"/>
  <c r="H35" i="91" s="1" a="1"/>
  <c r="H35" i="91" s="1"/>
  <c r="E75" i="91" s="1"/>
  <c r="E39" i="92"/>
  <c r="F39" i="92" s="1" a="1"/>
  <c r="F39" i="92" s="1"/>
  <c r="E62" i="88" a="1"/>
  <c r="E62" i="88" s="1"/>
  <c r="H230" i="112" a="1"/>
  <c r="H230" i="112" s="1"/>
  <c r="K225" i="112" a="1"/>
  <c r="K225" i="112" s="1"/>
  <c r="K222" i="112" a="1"/>
  <c r="K222" i="112" s="1"/>
  <c r="K228" i="112" a="1"/>
  <c r="K228" i="112" s="1"/>
  <c r="K229" i="112" a="1"/>
  <c r="K229" i="112" s="1"/>
  <c r="H226" i="112" a="1"/>
  <c r="H226" i="112" s="1"/>
  <c r="H225" i="112" a="1"/>
  <c r="H225" i="112" s="1"/>
  <c r="G230" i="112" a="1"/>
  <c r="G230" i="112" s="1"/>
  <c r="H227" i="112" a="1"/>
  <c r="H227" i="112" s="1"/>
  <c r="G225" i="112" a="1"/>
  <c r="G225" i="112" s="1"/>
  <c r="H223" i="112" a="1"/>
  <c r="H223" i="112" s="1"/>
  <c r="K226" i="112" a="1"/>
  <c r="K226" i="112" s="1"/>
  <c r="G229" i="112" a="1"/>
  <c r="G229" i="112" s="1"/>
  <c r="E221" i="112"/>
  <c r="K230" i="112" a="1"/>
  <c r="K230" i="112" s="1"/>
  <c r="H228" i="112" a="1"/>
  <c r="H228" i="112" s="1"/>
  <c r="J222" i="112" a="1"/>
  <c r="J222" i="112" s="1"/>
  <c r="H222" i="112" a="1"/>
  <c r="H222" i="112" s="1"/>
  <c r="K227" i="112" a="1"/>
  <c r="K227" i="112" s="1"/>
  <c r="H224" i="112" a="1"/>
  <c r="H224" i="112" s="1"/>
  <c r="J225" i="112" a="1"/>
  <c r="J225" i="112" s="1"/>
  <c r="G226" i="112" a="1"/>
  <c r="G226" i="112" s="1"/>
  <c r="J228" i="112" a="1"/>
  <c r="J228" i="112" s="1"/>
  <c r="G222" i="112" a="1"/>
  <c r="G222" i="112" s="1"/>
  <c r="J227" i="112" a="1"/>
  <c r="J227" i="112" s="1"/>
  <c r="K224" i="112" a="1"/>
  <c r="K224" i="112" s="1"/>
  <c r="G228" i="112" a="1"/>
  <c r="G228" i="112" s="1"/>
  <c r="G223" i="112" a="1"/>
  <c r="G223" i="112" s="1"/>
  <c r="J230" i="112" a="1"/>
  <c r="J230" i="112" s="1"/>
  <c r="J224" i="112" a="1"/>
  <c r="J224" i="112" s="1"/>
  <c r="J223" i="112" a="1"/>
  <c r="J223" i="112" s="1"/>
  <c r="J226" i="112" a="1"/>
  <c r="J226" i="112" s="1"/>
  <c r="J229" i="112" a="1"/>
  <c r="J229" i="112" s="1"/>
  <c r="G227" i="112" a="1"/>
  <c r="G227" i="112" s="1"/>
  <c r="H229" i="112" a="1"/>
  <c r="H229" i="112" s="1"/>
  <c r="K223" i="112" a="1"/>
  <c r="K223" i="112" s="1"/>
  <c r="E65" i="87" a="1"/>
  <c r="E65" i="87" s="1"/>
  <c r="E24" i="91"/>
  <c r="H24" i="91" s="1" a="1"/>
  <c r="H24" i="91" s="1"/>
  <c r="E64" i="91" s="1"/>
  <c r="F64" i="91" s="1" a="1"/>
  <c r="F64" i="91" s="1"/>
  <c r="E28" i="92"/>
  <c r="F28" i="92" s="1" a="1"/>
  <c r="F28" i="92" s="1"/>
  <c r="E36" i="91"/>
  <c r="H36" i="91" s="1" a="1"/>
  <c r="H36" i="91" s="1"/>
  <c r="E76" i="91" s="1"/>
  <c r="E40" i="92"/>
  <c r="F40" i="92" s="1" a="1"/>
  <c r="F40" i="92" s="1"/>
  <c r="E32" i="92"/>
  <c r="F32" i="92" s="1" a="1"/>
  <c r="F32" i="92" s="1"/>
  <c r="E28" i="91"/>
  <c r="H28" i="91" s="1" a="1"/>
  <c r="H28" i="91" s="1"/>
  <c r="E68" i="91" s="1"/>
  <c r="F75" i="92" a="1"/>
  <c r="F75" i="92" s="1"/>
  <c r="F71" i="92" a="1"/>
  <c r="F71" i="92" s="1"/>
  <c r="F69" i="92" a="1"/>
  <c r="F69" i="92" s="1"/>
  <c r="F68" i="92" a="1"/>
  <c r="F68" i="92" s="1"/>
  <c r="F73" i="92" a="1"/>
  <c r="F73" i="92" s="1"/>
  <c r="F70" i="92" a="1"/>
  <c r="F70" i="92" s="1"/>
  <c r="F72" i="92" a="1"/>
  <c r="F72" i="92" s="1"/>
  <c r="F74" i="92" a="1"/>
  <c r="F74" i="92" s="1"/>
  <c r="E68" i="88" a="1"/>
  <c r="E68" i="88" s="1"/>
  <c r="E29" i="92"/>
  <c r="F29" i="92" s="1" a="1"/>
  <c r="F29" i="92" s="1"/>
  <c r="E25" i="91"/>
  <c r="H25" i="91" s="1" a="1"/>
  <c r="H25" i="91" s="1"/>
  <c r="E65" i="91" s="1"/>
  <c r="J35" i="105"/>
  <c r="V44" i="85" a="1"/>
  <c r="V20" i="80" a="1"/>
  <c r="X44" i="79" a="1"/>
  <c r="E63" i="87" a="1"/>
  <c r="E63" i="87" s="1"/>
  <c r="E22" i="91"/>
  <c r="H22" i="91" s="1" a="1"/>
  <c r="H22" i="91" s="1"/>
  <c r="E62" i="91" s="1"/>
  <c r="F62" i="91" s="1" a="1"/>
  <c r="F62" i="91" s="1"/>
  <c r="E26" i="92"/>
  <c r="F26" i="92" s="1" a="1"/>
  <c r="F26" i="92" s="1"/>
  <c r="E69" i="88" a="1"/>
  <c r="E69" i="88" s="1"/>
  <c r="H25" i="90" a="1"/>
  <c r="H25" i="90" s="1"/>
  <c r="E31" i="90" s="1"/>
  <c r="E15" i="13" s="1" a="1"/>
  <c r="E15" i="13" s="1"/>
  <c r="F305" i="112"/>
  <c r="I310" i="112" a="1"/>
  <c r="I310" i="112" s="1"/>
  <c r="J306" i="112" a="1"/>
  <c r="J306" i="112" s="1"/>
  <c r="J309" i="112" a="1"/>
  <c r="J309" i="112" s="1"/>
  <c r="I309" i="112" a="1"/>
  <c r="I309" i="112" s="1"/>
  <c r="I308" i="112" a="1"/>
  <c r="I308" i="112" s="1"/>
  <c r="I314" i="112" a="1"/>
  <c r="I314" i="112" s="1"/>
  <c r="I307" i="112" a="1"/>
  <c r="I307" i="112" s="1"/>
  <c r="I313" i="112" a="1"/>
  <c r="I313" i="112" s="1"/>
  <c r="I312" i="112" a="1"/>
  <c r="I312" i="112" s="1"/>
  <c r="I306" i="112" a="1"/>
  <c r="I306" i="112" s="1"/>
  <c r="J308" i="112" a="1"/>
  <c r="J308" i="112" s="1"/>
  <c r="J312" i="112" a="1"/>
  <c r="J312" i="112" s="1"/>
  <c r="J314" i="112" a="1"/>
  <c r="J314" i="112" s="1"/>
  <c r="J311" i="112" a="1"/>
  <c r="J311" i="112" s="1"/>
  <c r="I311" i="112" a="1"/>
  <c r="I311" i="112" s="1"/>
  <c r="J310" i="112" a="1"/>
  <c r="J310" i="112" s="1"/>
  <c r="J307" i="112" a="1"/>
  <c r="J307" i="112" s="1"/>
  <c r="J313" i="112" a="1"/>
  <c r="J313" i="112" s="1"/>
  <c r="I51" i="87"/>
  <c r="E60" i="87" s="1" a="1"/>
  <c r="E60" i="87" s="1"/>
  <c r="I30" i="81"/>
  <c r="J15" i="113"/>
  <c r="E55" i="113" a="1"/>
  <c r="E55" i="113" s="1"/>
  <c r="J570" i="112" s="1"/>
  <c r="O55" i="113" a="1"/>
  <c r="O55" i="113" s="1"/>
  <c r="R570" i="112" s="1"/>
  <c r="G237" i="112" a="1"/>
  <c r="G237" i="112" s="1"/>
  <c r="E59" i="88" a="1"/>
  <c r="E59" i="88" s="1"/>
  <c r="E74" i="88" a="1"/>
  <c r="E74" i="88" s="1"/>
  <c r="G224" i="112" a="1"/>
  <c r="G224" i="112" s="1"/>
  <c r="J92" i="92"/>
  <c r="K48" i="89"/>
  <c r="K45" i="89" s="1"/>
  <c r="H227" i="80"/>
  <c r="H225" i="80" s="1"/>
  <c r="J37" i="105"/>
  <c r="J34" i="105" s="1" a="1"/>
  <c r="J34" i="105" s="1"/>
  <c r="J17" i="113"/>
  <c r="J14" i="113" s="1"/>
  <c r="J88" i="113"/>
  <c r="X60" i="79" a="1"/>
  <c r="X60" i="79" s="1"/>
  <c r="V60" i="85" a="1"/>
  <c r="V60" i="85" s="1"/>
  <c r="V120" i="80" a="1"/>
  <c r="V120" i="80" s="1"/>
  <c r="E24" i="72"/>
  <c r="F81" i="13" s="1"/>
  <c r="I129" i="91"/>
  <c r="J54" i="91"/>
  <c r="I55" i="87"/>
  <c r="S74" i="87"/>
  <c r="S68" i="87" s="1" a="1"/>
  <c r="S68" i="87" s="1"/>
  <c r="I33" i="81"/>
  <c r="I53" i="113"/>
  <c r="S69" i="87"/>
  <c r="F138" i="91" a="1"/>
  <c r="F138" i="91" s="1"/>
  <c r="F143" i="91" a="1"/>
  <c r="F143" i="91" s="1"/>
  <c r="F137" i="91" a="1"/>
  <c r="F137" i="91" s="1"/>
  <c r="F142" i="91" a="1"/>
  <c r="F142" i="91" s="1"/>
  <c r="F141" i="91" a="1"/>
  <c r="F141" i="91" s="1"/>
  <c r="F140" i="91" a="1"/>
  <c r="F140" i="91" s="1"/>
  <c r="F139" i="91" a="1"/>
  <c r="F139" i="91" s="1"/>
  <c r="F144" i="91" a="1"/>
  <c r="F144" i="91" s="1"/>
  <c r="E75" i="88" a="1"/>
  <c r="E75" i="88" s="1"/>
  <c r="E76" i="88" a="1"/>
  <c r="E76" i="88" s="1"/>
  <c r="E518" i="112" a="1"/>
  <c r="E518" i="112" s="1"/>
  <c r="H25" i="13" a="1"/>
  <c r="H25" i="13" s="1"/>
  <c r="H22" i="13" a="1"/>
  <c r="H22" i="13" s="1"/>
  <c r="F21" i="13"/>
  <c r="I21" i="13" s="1" a="1"/>
  <c r="I21" i="13" s="1"/>
  <c r="F23" i="13"/>
  <c r="I23" i="13" s="1"/>
  <c r="H24" i="13" a="1"/>
  <c r="H24" i="13" s="1"/>
  <c r="F20" i="13"/>
  <c r="I20" i="13" s="1"/>
  <c r="E53" i="13"/>
  <c r="G50" i="106" l="1"/>
  <c r="E53" i="106" s="1" a="1"/>
  <c r="E53" i="106" s="1"/>
  <c r="E19" i="13" a="1"/>
  <c r="E19" i="13" s="1"/>
  <c r="H19" i="13" s="1" a="1"/>
  <c r="H19" i="13" s="1"/>
  <c r="E66" i="87" a="1"/>
  <c r="E66" i="87" s="1"/>
  <c r="F76" i="91" a="1"/>
  <c r="F76" i="91" s="1"/>
  <c r="O90" i="113" a="1"/>
  <c r="O90" i="113" s="1"/>
  <c r="R571" i="112" s="1"/>
  <c r="F72" i="91" a="1"/>
  <c r="F72" i="91" s="1"/>
  <c r="E77" i="87" a="1"/>
  <c r="E77" i="87" s="1"/>
  <c r="F75" i="91" a="1"/>
  <c r="F75" i="91" s="1"/>
  <c r="E67" i="87" a="1"/>
  <c r="E67" i="87" s="1"/>
  <c r="F15" i="13"/>
  <c r="I15" i="13" s="1"/>
  <c r="H15" i="13"/>
  <c r="I305" i="112" a="1"/>
  <c r="I305" i="112" s="1"/>
  <c r="E316" i="112" s="1"/>
  <c r="J305" i="112" a="1"/>
  <c r="J305" i="112" s="1"/>
  <c r="E317" i="112" s="1"/>
  <c r="E76" i="87" a="1"/>
  <c r="E76" i="87" s="1"/>
  <c r="F67" i="91" a="1"/>
  <c r="F67" i="91" s="1"/>
  <c r="E61" i="87" a="1"/>
  <c r="E61" i="87" s="1"/>
  <c r="E73" i="87" a="1"/>
  <c r="E73" i="87" s="1"/>
  <c r="F60" i="91" a="1"/>
  <c r="F60" i="91" s="1"/>
  <c r="E79" i="91" s="1"/>
  <c r="G81" i="91" s="1"/>
  <c r="E84" i="91" s="1" a="1"/>
  <c r="E84" i="91" s="1"/>
  <c r="F69" i="91" a="1"/>
  <c r="F69" i="91" s="1"/>
  <c r="F61" i="91" a="1"/>
  <c r="F61" i="91" s="1"/>
  <c r="F73" i="91" a="1"/>
  <c r="F73" i="91" s="1"/>
  <c r="V45" i="87" a="1"/>
  <c r="V45" i="87" s="1"/>
  <c r="E70" i="87" a="1"/>
  <c r="E70" i="87" s="1"/>
  <c r="F77" i="91" a="1"/>
  <c r="F77" i="91" s="1"/>
  <c r="E75" i="87" a="1"/>
  <c r="E75" i="87" s="1"/>
  <c r="AG85" i="79" a="1"/>
  <c r="AG85" i="79" s="1"/>
  <c r="AG140" i="79" s="1" a="1"/>
  <c r="AG140" i="79" s="1"/>
  <c r="AF86" i="79" a="1"/>
  <c r="AF86" i="79" s="1"/>
  <c r="AF141" i="79" s="1" a="1"/>
  <c r="AF141" i="79" s="1"/>
  <c r="AG87" i="79" a="1"/>
  <c r="AG87" i="79" s="1"/>
  <c r="AG142" i="79" s="1" a="1"/>
  <c r="AG142" i="79" s="1"/>
  <c r="Z82" i="79" a="1"/>
  <c r="Z82" i="79" s="1"/>
  <c r="Z137" i="79" s="1" a="1"/>
  <c r="Z137" i="79" s="1"/>
  <c r="Y85" i="79" a="1"/>
  <c r="Y85" i="79" s="1"/>
  <c r="Y140" i="79" s="1" a="1"/>
  <c r="Y140" i="79" s="1"/>
  <c r="Z84" i="79" a="1"/>
  <c r="Z84" i="79" s="1"/>
  <c r="Z139" i="79" s="1" a="1"/>
  <c r="Z139" i="79" s="1"/>
  <c r="AF79" i="79" a="1"/>
  <c r="AF79" i="79" s="1"/>
  <c r="AF134" i="79" s="1" a="1"/>
  <c r="AF134" i="79" s="1"/>
  <c r="Z78" i="79" a="1"/>
  <c r="Z78" i="79" s="1"/>
  <c r="Z133" i="79" s="1" a="1"/>
  <c r="Z133" i="79" s="1"/>
  <c r="X81" i="79" a="1"/>
  <c r="X81" i="79" s="1"/>
  <c r="X136" i="79" s="1" a="1"/>
  <c r="X136" i="79" s="1"/>
  <c r="Z83" i="79" a="1"/>
  <c r="Z83" i="79" s="1"/>
  <c r="Z138" i="79" s="1" a="1"/>
  <c r="Z138" i="79" s="1"/>
  <c r="Z85" i="79" a="1"/>
  <c r="Z85" i="79" s="1"/>
  <c r="Z140" i="79" s="1" a="1"/>
  <c r="Z140" i="79" s="1"/>
  <c r="AE76" i="79" a="1"/>
  <c r="AE76" i="79" s="1"/>
  <c r="AE131" i="79" s="1" a="1"/>
  <c r="AE131" i="79" s="1"/>
  <c r="AD81" i="79" a="1"/>
  <c r="AD81" i="79" s="1"/>
  <c r="AD136" i="79" s="1" a="1"/>
  <c r="AD136" i="79" s="1"/>
  <c r="AG83" i="79" a="1"/>
  <c r="AG83" i="79" s="1"/>
  <c r="AG138" i="79" s="1" a="1"/>
  <c r="AG138" i="79" s="1"/>
  <c r="AF80" i="79" a="1"/>
  <c r="AF80" i="79" s="1"/>
  <c r="AF135" i="79" s="1" a="1"/>
  <c r="AF135" i="79" s="1"/>
  <c r="Y77" i="79" a="1"/>
  <c r="Y77" i="79" s="1"/>
  <c r="Y132" i="79" s="1" a="1"/>
  <c r="Y132" i="79" s="1"/>
  <c r="AE83" i="79" a="1"/>
  <c r="AE83" i="79" s="1"/>
  <c r="AE138" i="79" s="1" a="1"/>
  <c r="AE138" i="79" s="1"/>
  <c r="AB81" i="79" a="1"/>
  <c r="AB81" i="79" s="1"/>
  <c r="AB136" i="79" s="1" a="1"/>
  <c r="AB136" i="79" s="1"/>
  <c r="AE79" i="79" a="1"/>
  <c r="AE79" i="79" s="1"/>
  <c r="AE134" i="79" s="1" a="1"/>
  <c r="AE134" i="79" s="1"/>
  <c r="AG79" i="79" a="1"/>
  <c r="AG79" i="79" s="1"/>
  <c r="AG134" i="79" s="1" a="1"/>
  <c r="AG134" i="79" s="1"/>
  <c r="AG86" i="79" a="1"/>
  <c r="AG86" i="79" s="1"/>
  <c r="AG141" i="79" s="1" a="1"/>
  <c r="AG141" i="79" s="1"/>
  <c r="X78" i="79" a="1"/>
  <c r="X78" i="79" s="1"/>
  <c r="X133" i="79" s="1" a="1"/>
  <c r="X133" i="79" s="1"/>
  <c r="AD82" i="79" a="1"/>
  <c r="AD82" i="79" s="1"/>
  <c r="AD137" i="79" s="1" a="1"/>
  <c r="AD137" i="79" s="1"/>
  <c r="AE78" i="79" a="1"/>
  <c r="AE78" i="79" s="1"/>
  <c r="AE133" i="79" s="1" a="1"/>
  <c r="AE133" i="79" s="1"/>
  <c r="X79" i="79" a="1"/>
  <c r="X79" i="79" s="1"/>
  <c r="X134" i="79" s="1" a="1"/>
  <c r="X134" i="79" s="1"/>
  <c r="AE81" i="79" a="1"/>
  <c r="AE81" i="79" s="1"/>
  <c r="AE136" i="79" s="1" a="1"/>
  <c r="AE136" i="79" s="1"/>
  <c r="AD87" i="79" a="1"/>
  <c r="AD87" i="79" s="1"/>
  <c r="AD142" i="79" s="1" a="1"/>
  <c r="AD142" i="79" s="1"/>
  <c r="Y87" i="79" a="1"/>
  <c r="Y87" i="79" s="1"/>
  <c r="Y142" i="79" s="1" a="1"/>
  <c r="Y142" i="79" s="1"/>
  <c r="Z87" i="79" a="1"/>
  <c r="Z87" i="79" s="1"/>
  <c r="Z142" i="79" s="1" a="1"/>
  <c r="Z142" i="79" s="1"/>
  <c r="AE80" i="79" a="1"/>
  <c r="AE80" i="79" s="1"/>
  <c r="AE135" i="79" s="1" a="1"/>
  <c r="AE135" i="79" s="1"/>
  <c r="AF83" i="79" a="1"/>
  <c r="AF83" i="79" s="1"/>
  <c r="AF138" i="79" s="1" a="1"/>
  <c r="AF138" i="79" s="1"/>
  <c r="AF78" i="79" a="1"/>
  <c r="AF78" i="79" s="1"/>
  <c r="AF133" i="79" s="1" a="1"/>
  <c r="AF133" i="79" s="1"/>
  <c r="Y81" i="79" a="1"/>
  <c r="Y81" i="79" s="1"/>
  <c r="Y136" i="79" s="1" a="1"/>
  <c r="Y136" i="79" s="1"/>
  <c r="Z79" i="79" a="1"/>
  <c r="Z79" i="79" s="1"/>
  <c r="Z134" i="79" s="1" a="1"/>
  <c r="Z134" i="79" s="1"/>
  <c r="AF82" i="79" a="1"/>
  <c r="AF82" i="79" s="1"/>
  <c r="AF137" i="79" s="1" a="1"/>
  <c r="AF137" i="79" s="1"/>
  <c r="AE86" i="79" a="1"/>
  <c r="AE86" i="79" s="1"/>
  <c r="AE141" i="79" s="1" a="1"/>
  <c r="AE141" i="79" s="1"/>
  <c r="X77" i="79" a="1"/>
  <c r="X77" i="79" s="1"/>
  <c r="X132" i="79" s="1" a="1"/>
  <c r="X132" i="79" s="1"/>
  <c r="Z86" i="79" a="1"/>
  <c r="Z86" i="79" s="1"/>
  <c r="Z141" i="79" s="1" a="1"/>
  <c r="Z141" i="79" s="1"/>
  <c r="AF77" i="79" a="1"/>
  <c r="AF77" i="79" s="1"/>
  <c r="AF132" i="79" s="1" a="1"/>
  <c r="AF132" i="79" s="1"/>
  <c r="Y82" i="79" a="1"/>
  <c r="Y82" i="79" s="1"/>
  <c r="Y137" i="79" s="1" a="1"/>
  <c r="Y137" i="79" s="1"/>
  <c r="X86" i="79" a="1"/>
  <c r="X86" i="79" s="1"/>
  <c r="X141" i="79" s="1" a="1"/>
  <c r="X141" i="79" s="1"/>
  <c r="AE85" i="79" a="1"/>
  <c r="AE85" i="79" s="1"/>
  <c r="AE140" i="79" s="1" a="1"/>
  <c r="AE140" i="79" s="1"/>
  <c r="AF81" i="79" a="1"/>
  <c r="AF81" i="79" s="1"/>
  <c r="AF136" i="79" s="1" a="1"/>
  <c r="AF136" i="79" s="1"/>
  <c r="AD85" i="79" a="1"/>
  <c r="AD85" i="79" s="1"/>
  <c r="AD140" i="79" s="1" a="1"/>
  <c r="AD140" i="79" s="1"/>
  <c r="X83" i="79" a="1"/>
  <c r="X83" i="79" s="1"/>
  <c r="X138" i="79" s="1" a="1"/>
  <c r="X138" i="79" s="1"/>
  <c r="Z76" i="79" a="1"/>
  <c r="Z76" i="79" s="1"/>
  <c r="Z131" i="79" s="1" a="1"/>
  <c r="Z131" i="79" s="1"/>
  <c r="AG80" i="79" a="1"/>
  <c r="AG80" i="79" s="1"/>
  <c r="AG135" i="79" s="1" a="1"/>
  <c r="AG135" i="79" s="1"/>
  <c r="AF84" i="79" a="1"/>
  <c r="AF84" i="79" s="1"/>
  <c r="AF139" i="79" s="1" a="1"/>
  <c r="AF139" i="79" s="1"/>
  <c r="AG78" i="79" a="1"/>
  <c r="AG78" i="79" s="1"/>
  <c r="AG133" i="79" s="1" a="1"/>
  <c r="AG133" i="79" s="1"/>
  <c r="AD78" i="79" a="1"/>
  <c r="AD78" i="79" s="1"/>
  <c r="AD133" i="79" s="1" a="1"/>
  <c r="AD133" i="79" s="1"/>
  <c r="Y80" i="79" a="1"/>
  <c r="Y80" i="79" s="1"/>
  <c r="Y135" i="79" s="1" a="1"/>
  <c r="Y135" i="79" s="1"/>
  <c r="AD76" i="79" a="1"/>
  <c r="AD76" i="79" s="1"/>
  <c r="AD131" i="79" s="1" a="1"/>
  <c r="AD131" i="79" s="1"/>
  <c r="AF76" i="79" a="1"/>
  <c r="AF76" i="79" s="1"/>
  <c r="AF131" i="79" s="1" a="1"/>
  <c r="AF131" i="79" s="1"/>
  <c r="Z80" i="79" a="1"/>
  <c r="Z80" i="79" s="1"/>
  <c r="Z135" i="79" s="1" a="1"/>
  <c r="Z135" i="79" s="1"/>
  <c r="Y84" i="79" a="1"/>
  <c r="Y84" i="79" s="1"/>
  <c r="Y139" i="79" s="1" a="1"/>
  <c r="Y139" i="79" s="1"/>
  <c r="Z77" i="79" a="1"/>
  <c r="Z77" i="79" s="1"/>
  <c r="Z132" i="79" s="1" a="1"/>
  <c r="Z132" i="79" s="1"/>
  <c r="AE77" i="79" a="1"/>
  <c r="AE77" i="79" s="1"/>
  <c r="AE132" i="79" s="1" a="1"/>
  <c r="AE132" i="79" s="1"/>
  <c r="Y86" i="79" a="1"/>
  <c r="Y86" i="79" s="1"/>
  <c r="Y141" i="79" s="1" a="1"/>
  <c r="Y141" i="79" s="1"/>
  <c r="Y76" i="79" a="1"/>
  <c r="Y76" i="79" s="1"/>
  <c r="Y131" i="79" s="1" a="1"/>
  <c r="Y131" i="79" s="1"/>
  <c r="AD84" i="79" a="1"/>
  <c r="AD84" i="79" s="1"/>
  <c r="AD139" i="79" s="1" a="1"/>
  <c r="AD139" i="79" s="1"/>
  <c r="AA78" i="79" a="1"/>
  <c r="AA78" i="79" s="1"/>
  <c r="AA133" i="79" s="1" a="1"/>
  <c r="AA133" i="79" s="1"/>
  <c r="Z81" i="79" a="1"/>
  <c r="Z81" i="79" s="1"/>
  <c r="Z136" i="79" s="1" a="1"/>
  <c r="Z136" i="79" s="1"/>
  <c r="X85" i="79" a="1"/>
  <c r="X85" i="79" s="1"/>
  <c r="X140" i="79" s="1" a="1"/>
  <c r="X140" i="79" s="1"/>
  <c r="AE87" i="79" a="1"/>
  <c r="AE87" i="79" s="1"/>
  <c r="AE142" i="79" s="1" a="1"/>
  <c r="AE142" i="79" s="1"/>
  <c r="AG81" i="79" a="1"/>
  <c r="AG81" i="79" s="1"/>
  <c r="AG136" i="79" s="1" a="1"/>
  <c r="AG136" i="79" s="1"/>
  <c r="AD86" i="79" a="1"/>
  <c r="AD86" i="79" s="1"/>
  <c r="AD141" i="79" s="1" a="1"/>
  <c r="AD141" i="79" s="1"/>
  <c r="AG76" i="79" a="1"/>
  <c r="AG76" i="79" s="1"/>
  <c r="AG131" i="79" s="1" a="1"/>
  <c r="AG131" i="79" s="1"/>
  <c r="AG77" i="79" a="1"/>
  <c r="AG77" i="79" s="1"/>
  <c r="AG132" i="79" s="1" a="1"/>
  <c r="AG132" i="79" s="1"/>
  <c r="AD77" i="79" a="1"/>
  <c r="AD77" i="79" s="1"/>
  <c r="AD132" i="79" s="1" a="1"/>
  <c r="AD132" i="79" s="1"/>
  <c r="AG82" i="79" a="1"/>
  <c r="AG82" i="79" s="1"/>
  <c r="AG137" i="79" s="1" a="1"/>
  <c r="AG137" i="79" s="1"/>
  <c r="Y79" i="79" a="1"/>
  <c r="Y79" i="79" s="1"/>
  <c r="Y134" i="79" s="1" a="1"/>
  <c r="Y134" i="79" s="1"/>
  <c r="Y83" i="79" a="1"/>
  <c r="Y83" i="79" s="1"/>
  <c r="Y138" i="79" s="1" a="1"/>
  <c r="Y138" i="79" s="1"/>
  <c r="AE84" i="79" a="1"/>
  <c r="AE84" i="79" s="1"/>
  <c r="AE139" i="79" s="1" a="1"/>
  <c r="AE139" i="79" s="1"/>
  <c r="X44" i="79"/>
  <c r="X76" i="79" s="1" a="1"/>
  <c r="X76" i="79" s="1"/>
  <c r="X131" i="79" s="1" a="1"/>
  <c r="X131" i="79" s="1"/>
  <c r="X87" i="79" a="1"/>
  <c r="X87" i="79" s="1"/>
  <c r="X142" i="79" s="1" a="1"/>
  <c r="X142" i="79" s="1"/>
  <c r="Y78" i="79" a="1"/>
  <c r="Y78" i="79" s="1"/>
  <c r="Y133" i="79" s="1" a="1"/>
  <c r="Y133" i="79" s="1"/>
  <c r="X84" i="79" a="1"/>
  <c r="X84" i="79" s="1"/>
  <c r="X139" i="79" s="1" a="1"/>
  <c r="X139" i="79" s="1"/>
  <c r="AF85" i="79" a="1"/>
  <c r="AF85" i="79" s="1"/>
  <c r="AF140" i="79" s="1" a="1"/>
  <c r="AF140" i="79" s="1"/>
  <c r="AD80" i="79" a="1"/>
  <c r="AD80" i="79" s="1"/>
  <c r="AD135" i="79" s="1" a="1"/>
  <c r="AD135" i="79" s="1"/>
  <c r="X80" i="79" a="1"/>
  <c r="X80" i="79" s="1"/>
  <c r="X135" i="79" s="1" a="1"/>
  <c r="X135" i="79" s="1"/>
  <c r="AE82" i="79" a="1"/>
  <c r="AE82" i="79" s="1"/>
  <c r="AE137" i="79" s="1" a="1"/>
  <c r="AE137" i="79" s="1"/>
  <c r="AG84" i="79" a="1"/>
  <c r="AG84" i="79" s="1"/>
  <c r="AG139" i="79" s="1" a="1"/>
  <c r="AG139" i="79" s="1"/>
  <c r="X82" i="79" a="1"/>
  <c r="X82" i="79" s="1"/>
  <c r="X137" i="79" s="1" a="1"/>
  <c r="X137" i="79" s="1"/>
  <c r="AD79" i="79" a="1"/>
  <c r="AD79" i="79" s="1"/>
  <c r="AD134" i="79" s="1" a="1"/>
  <c r="AD134" i="79" s="1"/>
  <c r="AD83" i="79" a="1"/>
  <c r="AD83" i="79" s="1"/>
  <c r="AD138" i="79" s="1" a="1"/>
  <c r="AD138" i="79" s="1"/>
  <c r="AF87" i="79" a="1"/>
  <c r="AF87" i="79" s="1"/>
  <c r="AF142" i="79" s="1" a="1"/>
  <c r="AF142" i="79" s="1"/>
  <c r="AB82" i="79" a="1"/>
  <c r="AB82" i="79" s="1"/>
  <c r="AB137" i="79" s="1" a="1"/>
  <c r="AB137" i="79" s="1"/>
  <c r="AC82" i="79" a="1"/>
  <c r="AC82" i="79" s="1"/>
  <c r="AC137" i="79" s="1" a="1"/>
  <c r="AC137" i="79" s="1"/>
  <c r="AC81" i="79" a="1"/>
  <c r="AC81" i="79" s="1"/>
  <c r="AC136" i="79" s="1" a="1"/>
  <c r="AC136" i="79" s="1"/>
  <c r="AB79" i="79" a="1"/>
  <c r="AB79" i="79" s="1"/>
  <c r="AB134" i="79" s="1" a="1"/>
  <c r="AB134" i="79" s="1"/>
  <c r="AA81" i="79" a="1"/>
  <c r="AA81" i="79" s="1"/>
  <c r="AA136" i="79" s="1" a="1"/>
  <c r="AA136" i="79" s="1"/>
  <c r="AA82" i="79" a="1"/>
  <c r="AA82" i="79" s="1"/>
  <c r="AA137" i="79" s="1" a="1"/>
  <c r="AA137" i="79" s="1"/>
  <c r="AA79" i="79" a="1"/>
  <c r="AA79" i="79" s="1"/>
  <c r="AA134" i="79" s="1" a="1"/>
  <c r="AA134" i="79" s="1"/>
  <c r="AC84" i="79" a="1"/>
  <c r="AC84" i="79" s="1"/>
  <c r="AC139" i="79" s="1" a="1"/>
  <c r="AC139" i="79" s="1"/>
  <c r="AC79" i="79" a="1"/>
  <c r="AC79" i="79" s="1"/>
  <c r="AC134" i="79" s="1" a="1"/>
  <c r="AC134" i="79" s="1"/>
  <c r="AB83" i="79" a="1"/>
  <c r="AB83" i="79" s="1"/>
  <c r="AB138" i="79" s="1" a="1"/>
  <c r="AB138" i="79" s="1"/>
  <c r="AA83" i="79" a="1"/>
  <c r="AA83" i="79" s="1"/>
  <c r="AA138" i="79" s="1" a="1"/>
  <c r="AA138" i="79" s="1"/>
  <c r="AC85" i="79" a="1"/>
  <c r="AC85" i="79" s="1"/>
  <c r="AC140" i="79" s="1" a="1"/>
  <c r="AC140" i="79" s="1"/>
  <c r="AA85" i="79" a="1"/>
  <c r="AA85" i="79" s="1"/>
  <c r="AA140" i="79" s="1" a="1"/>
  <c r="AA140" i="79" s="1"/>
  <c r="AA86" i="79" a="1"/>
  <c r="AA86" i="79" s="1"/>
  <c r="AA141" i="79" s="1" a="1"/>
  <c r="AA141" i="79" s="1"/>
  <c r="AB84" i="79" a="1"/>
  <c r="AB84" i="79" s="1"/>
  <c r="AB139" i="79" s="1" a="1"/>
  <c r="AB139" i="79" s="1"/>
  <c r="AA84" i="79" a="1"/>
  <c r="AA84" i="79" s="1"/>
  <c r="AA139" i="79" s="1" a="1"/>
  <c r="AA139" i="79" s="1"/>
  <c r="AC83" i="79" a="1"/>
  <c r="AC83" i="79" s="1"/>
  <c r="AC138" i="79" s="1" a="1"/>
  <c r="AC138" i="79" s="1"/>
  <c r="AC76" i="79" a="1"/>
  <c r="AC76" i="79" s="1"/>
  <c r="AC131" i="79" s="1" a="1"/>
  <c r="AC131" i="79" s="1"/>
  <c r="AB85" i="79" a="1"/>
  <c r="AB85" i="79" s="1"/>
  <c r="AB140" i="79" s="1" a="1"/>
  <c r="AB140" i="79" s="1"/>
  <c r="AA87" i="79" a="1"/>
  <c r="AA87" i="79" s="1"/>
  <c r="AA142" i="79" s="1" a="1"/>
  <c r="AA142" i="79" s="1"/>
  <c r="AC86" i="79" a="1"/>
  <c r="AC86" i="79" s="1"/>
  <c r="AC141" i="79" s="1" a="1"/>
  <c r="AC141" i="79" s="1"/>
  <c r="AB86" i="79" a="1"/>
  <c r="AB86" i="79" s="1"/>
  <c r="AB141" i="79" s="1" a="1"/>
  <c r="AB141" i="79" s="1"/>
  <c r="AB77" i="79" a="1"/>
  <c r="AB77" i="79" s="1"/>
  <c r="AB132" i="79" s="1" a="1"/>
  <c r="AB132" i="79" s="1"/>
  <c r="AC78" i="79" a="1"/>
  <c r="AC78" i="79" s="1"/>
  <c r="AC133" i="79" s="1" a="1"/>
  <c r="AC133" i="79" s="1"/>
  <c r="AC77" i="79" a="1"/>
  <c r="AC77" i="79" s="1"/>
  <c r="AC132" i="79" s="1" a="1"/>
  <c r="AC132" i="79" s="1"/>
  <c r="AB76" i="79" a="1"/>
  <c r="AB76" i="79" s="1"/>
  <c r="AB131" i="79" s="1" a="1"/>
  <c r="AB131" i="79" s="1"/>
  <c r="AA80" i="79" a="1"/>
  <c r="AA80" i="79" s="1"/>
  <c r="AA135" i="79" s="1" a="1"/>
  <c r="AA135" i="79" s="1"/>
  <c r="AB78" i="79" a="1"/>
  <c r="AB78" i="79" s="1"/>
  <c r="AB133" i="79" s="1" a="1"/>
  <c r="AB133" i="79" s="1"/>
  <c r="AC80" i="79" a="1"/>
  <c r="AC80" i="79" s="1"/>
  <c r="AC135" i="79" s="1" a="1"/>
  <c r="AC135" i="79" s="1"/>
  <c r="AB87" i="79" a="1"/>
  <c r="AB87" i="79" s="1"/>
  <c r="AB142" i="79" s="1" a="1"/>
  <c r="AB142" i="79" s="1"/>
  <c r="AA77" i="79" a="1"/>
  <c r="AA77" i="79" s="1"/>
  <c r="AA132" i="79" s="1" a="1"/>
  <c r="AA132" i="79" s="1"/>
  <c r="AC87" i="79" a="1"/>
  <c r="AC87" i="79" s="1"/>
  <c r="AC142" i="79" s="1" a="1"/>
  <c r="AC142" i="79" s="1"/>
  <c r="AA76" i="79" a="1"/>
  <c r="AA76" i="79" s="1"/>
  <c r="AA131" i="79" s="1" a="1"/>
  <c r="AA131" i="79" s="1"/>
  <c r="AB80" i="79" a="1"/>
  <c r="AB80" i="79" s="1"/>
  <c r="AB135" i="79" s="1" a="1"/>
  <c r="AB135" i="79" s="1"/>
  <c r="F71" i="91" a="1"/>
  <c r="F71" i="91" s="1"/>
  <c r="E77" i="92"/>
  <c r="J90" i="92" s="1"/>
  <c r="E94" i="92" s="1" a="1"/>
  <c r="E94" i="92" s="1"/>
  <c r="E78" i="87" a="1"/>
  <c r="E78" i="87" s="1"/>
  <c r="E66" i="88" a="1"/>
  <c r="E66" i="88" s="1"/>
  <c r="E71" i="87" a="1"/>
  <c r="E71" i="87" s="1"/>
  <c r="F63" i="91" a="1"/>
  <c r="F63" i="91" s="1"/>
  <c r="Z45" i="80" a="1"/>
  <c r="Z45" i="80" s="1"/>
  <c r="AA43" i="80" a="1"/>
  <c r="AA43" i="80" s="1"/>
  <c r="W39" i="80" a="1"/>
  <c r="W39" i="80" s="1"/>
  <c r="AE42" i="80" a="1"/>
  <c r="AE42" i="80" s="1"/>
  <c r="X41" i="80" a="1"/>
  <c r="X41" i="80" s="1"/>
  <c r="AB40" i="80" a="1"/>
  <c r="AB40" i="80" s="1"/>
  <c r="AD40" i="80" a="1"/>
  <c r="AD40" i="80" s="1"/>
  <c r="V20" i="80"/>
  <c r="V36" i="80" s="1" a="1"/>
  <c r="V36" i="80" s="1"/>
  <c r="AD36" i="80" a="1"/>
  <c r="AD36" i="80" s="1"/>
  <c r="AE45" i="80" a="1"/>
  <c r="AE45" i="80" s="1"/>
  <c r="AE37" i="80" a="1"/>
  <c r="AE37" i="80" s="1"/>
  <c r="AC46" i="80" a="1"/>
  <c r="AC46" i="80" s="1"/>
  <c r="Y41" i="80" a="1"/>
  <c r="Y41" i="80" s="1"/>
  <c r="W45" i="80" a="1"/>
  <c r="W45" i="80" s="1"/>
  <c r="Z40" i="80" a="1"/>
  <c r="Z40" i="80" s="1"/>
  <c r="AA36" i="80" a="1"/>
  <c r="AA36" i="80" s="1"/>
  <c r="X45" i="80" a="1"/>
  <c r="X45" i="80" s="1"/>
  <c r="AA38" i="80" a="1"/>
  <c r="AA38" i="80" s="1"/>
  <c r="AA40" i="80" a="1"/>
  <c r="AA40" i="80" s="1"/>
  <c r="AE41" i="80" a="1"/>
  <c r="AE41" i="80" s="1"/>
  <c r="Y36" i="80" a="1"/>
  <c r="Y36" i="80" s="1"/>
  <c r="AA42" i="80" a="1"/>
  <c r="AA42" i="80" s="1"/>
  <c r="AD43" i="80" a="1"/>
  <c r="AD43" i="80" s="1"/>
  <c r="Y45" i="80" a="1"/>
  <c r="Y45" i="80" s="1"/>
  <c r="X40" i="80" a="1"/>
  <c r="X40" i="80" s="1"/>
  <c r="AC38" i="80" a="1"/>
  <c r="AC38" i="80" s="1"/>
  <c r="AE43" i="80" a="1"/>
  <c r="AE43" i="80" s="1"/>
  <c r="AC47" i="80" a="1"/>
  <c r="AC47" i="80" s="1"/>
  <c r="X39" i="80" a="1"/>
  <c r="X39" i="80" s="1"/>
  <c r="Z39" i="80" a="1"/>
  <c r="Z39" i="80" s="1"/>
  <c r="W36" i="80" a="1"/>
  <c r="W36" i="80" s="1"/>
  <c r="X38" i="80" a="1"/>
  <c r="X38" i="80" s="1"/>
  <c r="AA44" i="80" a="1"/>
  <c r="AA44" i="80" s="1"/>
  <c r="AB37" i="80" a="1"/>
  <c r="AB37" i="80" s="1"/>
  <c r="Z37" i="80" a="1"/>
  <c r="Z37" i="80" s="1"/>
  <c r="Y43" i="80" a="1"/>
  <c r="Y43" i="80" s="1"/>
  <c r="Z36" i="80" a="1"/>
  <c r="Z36" i="80" s="1"/>
  <c r="AC44" i="80" a="1"/>
  <c r="AC44" i="80" s="1"/>
  <c r="AE44" i="80" a="1"/>
  <c r="AE44" i="80" s="1"/>
  <c r="AD39" i="80" a="1"/>
  <c r="AD39" i="80" s="1"/>
  <c r="V40" i="80" a="1"/>
  <c r="V40" i="80" s="1"/>
  <c r="AA46" i="80" a="1"/>
  <c r="AA46" i="80" s="1"/>
  <c r="W41" i="80" a="1"/>
  <c r="W41" i="80" s="1"/>
  <c r="AA41" i="80" a="1"/>
  <c r="AA41" i="80" s="1"/>
  <c r="X36" i="80" a="1"/>
  <c r="X36" i="80" s="1"/>
  <c r="AA39" i="80" a="1"/>
  <c r="AA39" i="80" s="1"/>
  <c r="AB45" i="80" a="1"/>
  <c r="AB45" i="80" s="1"/>
  <c r="X46" i="80" a="1"/>
  <c r="X46" i="80" s="1"/>
  <c r="Y47" i="80" a="1"/>
  <c r="Y47" i="80" s="1"/>
  <c r="AE36" i="80" a="1"/>
  <c r="AE36" i="80" s="1"/>
  <c r="AE38" i="80" a="1"/>
  <c r="AE38" i="80" s="1"/>
  <c r="V46" i="80" a="1"/>
  <c r="V46" i="80" s="1"/>
  <c r="Y40" i="80" a="1"/>
  <c r="Y40" i="80" s="1"/>
  <c r="AA45" i="80" a="1"/>
  <c r="AA45" i="80" s="1"/>
  <c r="X37" i="80" a="1"/>
  <c r="X37" i="80" s="1"/>
  <c r="AB42" i="80" a="1"/>
  <c r="AB42" i="80" s="1"/>
  <c r="AA47" i="80" a="1"/>
  <c r="AA47" i="80" s="1"/>
  <c r="AB36" i="80" a="1"/>
  <c r="AB36" i="80" s="1"/>
  <c r="AB47" i="80" a="1"/>
  <c r="AB47" i="80" s="1"/>
  <c r="Z42" i="80" a="1"/>
  <c r="Z42" i="80" s="1"/>
  <c r="AE47" i="80" a="1"/>
  <c r="AE47" i="80" s="1"/>
  <c r="AE39" i="80" a="1"/>
  <c r="AE39" i="80" s="1"/>
  <c r="AD44" i="80" a="1"/>
  <c r="AD44" i="80" s="1"/>
  <c r="V44" i="80" a="1"/>
  <c r="V44" i="80" s="1"/>
  <c r="Z46" i="80" a="1"/>
  <c r="Z46" i="80" s="1"/>
  <c r="Y46" i="80" a="1"/>
  <c r="Y46" i="80" s="1"/>
  <c r="Y38" i="80" a="1"/>
  <c r="Y38" i="80" s="1"/>
  <c r="W37" i="80" a="1"/>
  <c r="W37" i="80" s="1"/>
  <c r="W47" i="80" a="1"/>
  <c r="W47" i="80" s="1"/>
  <c r="Y37" i="80" a="1"/>
  <c r="Y37" i="80" s="1"/>
  <c r="AA37" i="80" a="1"/>
  <c r="AA37" i="80" s="1"/>
  <c r="X47" i="80" a="1"/>
  <c r="X47" i="80" s="1"/>
  <c r="AD42" i="80" a="1"/>
  <c r="AD42" i="80" s="1"/>
  <c r="V38" i="80" a="1"/>
  <c r="V38" i="80" s="1"/>
  <c r="V43" i="80" a="1"/>
  <c r="V43" i="80" s="1"/>
  <c r="W44" i="80" a="1"/>
  <c r="W44" i="80" s="1"/>
  <c r="X44" i="80" a="1"/>
  <c r="X44" i="80" s="1"/>
  <c r="AC39" i="80" a="1"/>
  <c r="AC39" i="80" s="1"/>
  <c r="AC45" i="80" a="1"/>
  <c r="AC45" i="80" s="1"/>
  <c r="V47" i="80" a="1"/>
  <c r="V47" i="80" s="1"/>
  <c r="W42" i="80" a="1"/>
  <c r="W42" i="80" s="1"/>
  <c r="Z43" i="80" a="1"/>
  <c r="Z43" i="80" s="1"/>
  <c r="AB44" i="80" a="1"/>
  <c r="AB44" i="80" s="1"/>
  <c r="AD45" i="80" a="1"/>
  <c r="AD45" i="80" s="1"/>
  <c r="AD37" i="80" a="1"/>
  <c r="AD37" i="80" s="1"/>
  <c r="AE46" i="80" a="1"/>
  <c r="AE46" i="80" s="1"/>
  <c r="AD47" i="80" a="1"/>
  <c r="AD47" i="80" s="1"/>
  <c r="V37" i="80" a="1"/>
  <c r="V37" i="80" s="1"/>
  <c r="Y44" i="80" a="1"/>
  <c r="Y44" i="80" s="1"/>
  <c r="Y42" i="80" a="1"/>
  <c r="Y42" i="80" s="1"/>
  <c r="Z41" i="80" a="1"/>
  <c r="Z41" i="80" s="1"/>
  <c r="AC37" i="80" a="1"/>
  <c r="AC37" i="80" s="1"/>
  <c r="AD38" i="80" a="1"/>
  <c r="AD38" i="80" s="1"/>
  <c r="V39" i="80" a="1"/>
  <c r="V39" i="80" s="1"/>
  <c r="W46" i="80" a="1"/>
  <c r="W46" i="80" s="1"/>
  <c r="V41" i="80" a="1"/>
  <c r="V41" i="80" s="1"/>
  <c r="X43" i="80" a="1"/>
  <c r="X43" i="80" s="1"/>
  <c r="AC43" i="80" a="1"/>
  <c r="AC43" i="80" s="1"/>
  <c r="AC36" i="80" a="1"/>
  <c r="AC36" i="80" s="1"/>
  <c r="Y39" i="80" a="1"/>
  <c r="Y39" i="80" s="1"/>
  <c r="W43" i="80" a="1"/>
  <c r="W43" i="80" s="1"/>
  <c r="AB41" i="80" a="1"/>
  <c r="AB41" i="80" s="1"/>
  <c r="Z38" i="80" a="1"/>
  <c r="Z38" i="80" s="1"/>
  <c r="Z44" i="80" a="1"/>
  <c r="Z44" i="80" s="1"/>
  <c r="AC41" i="80" a="1"/>
  <c r="AC41" i="80" s="1"/>
  <c r="AD41" i="80" a="1"/>
  <c r="AD41" i="80" s="1"/>
  <c r="V45" i="80" a="1"/>
  <c r="V45" i="80" s="1"/>
  <c r="W38" i="80" a="1"/>
  <c r="W38" i="80" s="1"/>
  <c r="AB46" i="80" a="1"/>
  <c r="AB46" i="80" s="1"/>
  <c r="W40" i="80" a="1"/>
  <c r="W40" i="80" s="1"/>
  <c r="AC40" i="80" a="1"/>
  <c r="AC40" i="80" s="1"/>
  <c r="AC42" i="80" a="1"/>
  <c r="AC42" i="80" s="1"/>
  <c r="AD46" i="80" a="1"/>
  <c r="AD46" i="80" s="1"/>
  <c r="Z47" i="80" a="1"/>
  <c r="Z47" i="80" s="1"/>
  <c r="X42" i="80" a="1"/>
  <c r="X42" i="80" s="1"/>
  <c r="V42" i="80" a="1"/>
  <c r="V42" i="80" s="1"/>
  <c r="AB39" i="80" a="1"/>
  <c r="AB39" i="80" s="1"/>
  <c r="AB43" i="80" a="1"/>
  <c r="AB43" i="80" s="1"/>
  <c r="AB38" i="80" a="1"/>
  <c r="AB38" i="80" s="1"/>
  <c r="AE40" i="80" a="1"/>
  <c r="AE40" i="80" s="1"/>
  <c r="V80" i="85" a="1"/>
  <c r="V80" i="85" s="1"/>
  <c r="V101" i="85" s="1" a="1"/>
  <c r="V101" i="85" s="1"/>
  <c r="V153" i="85" s="1" a="1"/>
  <c r="V153" i="85" s="1"/>
  <c r="AC76" i="85" a="1"/>
  <c r="AC76" i="85" s="1"/>
  <c r="AC97" i="85" s="1" a="1"/>
  <c r="AC97" i="85" s="1"/>
  <c r="AC149" i="85" s="1" a="1"/>
  <c r="AC149" i="85" s="1"/>
  <c r="AB85" i="85" a="1"/>
  <c r="AB85" i="85" s="1"/>
  <c r="AB106" i="85" s="1" a="1"/>
  <c r="AB106" i="85" s="1"/>
  <c r="AB158" i="85" s="1" a="1"/>
  <c r="AB158" i="85" s="1"/>
  <c r="AC79" i="85" a="1"/>
  <c r="AC79" i="85" s="1"/>
  <c r="AC100" i="85" s="1" a="1"/>
  <c r="AC100" i="85" s="1"/>
  <c r="AC152" i="85" s="1" a="1"/>
  <c r="AC152" i="85" s="1"/>
  <c r="V44" i="85"/>
  <c r="V76" i="85" s="1" a="1"/>
  <c r="V76" i="85" s="1"/>
  <c r="V97" i="85" s="1" a="1"/>
  <c r="V97" i="85" s="1"/>
  <c r="V149" i="85" s="1" a="1"/>
  <c r="V149" i="85" s="1"/>
  <c r="AE83" i="85" a="1"/>
  <c r="AE83" i="85" s="1"/>
  <c r="AE104" i="85" s="1" a="1"/>
  <c r="AE104" i="85" s="1"/>
  <c r="AE156" i="85" s="1" a="1"/>
  <c r="AE156" i="85" s="1"/>
  <c r="AD81" i="85" a="1"/>
  <c r="AD81" i="85" s="1"/>
  <c r="AD102" i="85" s="1" a="1"/>
  <c r="AD102" i="85" s="1"/>
  <c r="AD154" i="85" s="1" a="1"/>
  <c r="AD154" i="85" s="1"/>
  <c r="X80" i="85" a="1"/>
  <c r="X80" i="85" s="1"/>
  <c r="X101" i="85" s="1" a="1"/>
  <c r="X101" i="85" s="1"/>
  <c r="X153" i="85" s="1" a="1"/>
  <c r="X153" i="85" s="1"/>
  <c r="W76" i="85" a="1"/>
  <c r="W76" i="85" s="1"/>
  <c r="W97" i="85" s="1" a="1"/>
  <c r="W97" i="85" s="1"/>
  <c r="W149" i="85" s="1" a="1"/>
  <c r="W149" i="85" s="1"/>
  <c r="V84" i="85" a="1"/>
  <c r="V84" i="85" s="1"/>
  <c r="V105" i="85" s="1" a="1"/>
  <c r="V105" i="85" s="1"/>
  <c r="V157" i="85" s="1" a="1"/>
  <c r="V157" i="85" s="1"/>
  <c r="AB79" i="85" a="1"/>
  <c r="AB79" i="85" s="1"/>
  <c r="AB100" i="85" s="1" a="1"/>
  <c r="AB100" i="85" s="1"/>
  <c r="AB152" i="85" s="1" a="1"/>
  <c r="AB152" i="85" s="1"/>
  <c r="V81" i="85" a="1"/>
  <c r="V81" i="85" s="1"/>
  <c r="V102" i="85" s="1" a="1"/>
  <c r="V102" i="85" s="1"/>
  <c r="V154" i="85" s="1" a="1"/>
  <c r="V154" i="85" s="1"/>
  <c r="X82" i="85" a="1"/>
  <c r="X82" i="85" s="1"/>
  <c r="X103" i="85" s="1" a="1"/>
  <c r="X103" i="85" s="1"/>
  <c r="X155" i="85" s="1" a="1"/>
  <c r="X155" i="85" s="1"/>
  <c r="W80" i="85" a="1"/>
  <c r="W80" i="85" s="1"/>
  <c r="W101" i="85" s="1" a="1"/>
  <c r="W101" i="85" s="1"/>
  <c r="W153" i="85" s="1" a="1"/>
  <c r="W153" i="85" s="1"/>
  <c r="AD80" i="85" a="1"/>
  <c r="AD80" i="85" s="1"/>
  <c r="AD101" i="85" s="1" a="1"/>
  <c r="AD101" i="85" s="1"/>
  <c r="AD153" i="85" s="1" a="1"/>
  <c r="AD153" i="85" s="1"/>
  <c r="AC78" i="85" a="1"/>
  <c r="AC78" i="85" s="1"/>
  <c r="AC99" i="85" s="1" a="1"/>
  <c r="AC99" i="85" s="1"/>
  <c r="AC151" i="85" s="1" a="1"/>
  <c r="AC151" i="85" s="1"/>
  <c r="AC83" i="85" a="1"/>
  <c r="AC83" i="85" s="1"/>
  <c r="AC104" i="85" s="1" a="1"/>
  <c r="AC104" i="85" s="1"/>
  <c r="AC156" i="85" s="1" a="1"/>
  <c r="AC156" i="85" s="1"/>
  <c r="V79" i="85" a="1"/>
  <c r="V79" i="85" s="1"/>
  <c r="V100" i="85" s="1" a="1"/>
  <c r="V100" i="85" s="1"/>
  <c r="V152" i="85" s="1" a="1"/>
  <c r="V152" i="85" s="1"/>
  <c r="AD77" i="85" a="1"/>
  <c r="AD77" i="85" s="1"/>
  <c r="AD98" i="85" s="1" a="1"/>
  <c r="AD98" i="85" s="1"/>
  <c r="AD150" i="85" s="1" a="1"/>
  <c r="AD150" i="85" s="1"/>
  <c r="AD78" i="85" a="1"/>
  <c r="AD78" i="85" s="1"/>
  <c r="AD99" i="85" s="1" a="1"/>
  <c r="AD99" i="85" s="1"/>
  <c r="AD151" i="85" s="1" a="1"/>
  <c r="AD151" i="85" s="1"/>
  <c r="AB81" i="85" a="1"/>
  <c r="AB81" i="85" s="1"/>
  <c r="AB102" i="85" s="1" a="1"/>
  <c r="AB102" i="85" s="1"/>
  <c r="AB154" i="85" s="1" a="1"/>
  <c r="AB154" i="85" s="1"/>
  <c r="W77" i="85" a="1"/>
  <c r="W77" i="85" s="1"/>
  <c r="W98" i="85" s="1" a="1"/>
  <c r="W98" i="85" s="1"/>
  <c r="W150" i="85" s="1" a="1"/>
  <c r="W150" i="85" s="1"/>
  <c r="W78" i="85" a="1"/>
  <c r="W78" i="85" s="1"/>
  <c r="W99" i="85" s="1" a="1"/>
  <c r="W99" i="85" s="1"/>
  <c r="W151" i="85" s="1" a="1"/>
  <c r="W151" i="85" s="1"/>
  <c r="AE76" i="85" a="1"/>
  <c r="AE76" i="85" s="1"/>
  <c r="AE97" i="85" s="1" a="1"/>
  <c r="AE97" i="85" s="1"/>
  <c r="AE149" i="85" s="1" a="1"/>
  <c r="AE149" i="85" s="1"/>
  <c r="AB77" i="85" a="1"/>
  <c r="AB77" i="85" s="1"/>
  <c r="AB98" i="85" s="1" a="1"/>
  <c r="AB98" i="85" s="1"/>
  <c r="AB150" i="85" s="1" a="1"/>
  <c r="AB150" i="85" s="1"/>
  <c r="AD83" i="85" a="1"/>
  <c r="AD83" i="85" s="1"/>
  <c r="AD104" i="85" s="1" a="1"/>
  <c r="AD104" i="85" s="1"/>
  <c r="AD156" i="85" s="1" a="1"/>
  <c r="AD156" i="85" s="1"/>
  <c r="AD79" i="85" a="1"/>
  <c r="AD79" i="85" s="1"/>
  <c r="AD100" i="85" s="1" a="1"/>
  <c r="AD100" i="85" s="1"/>
  <c r="AD152" i="85" s="1" a="1"/>
  <c r="AD152" i="85" s="1"/>
  <c r="AB76" i="85" a="1"/>
  <c r="AB76" i="85" s="1"/>
  <c r="AB97" i="85" s="1" a="1"/>
  <c r="AB97" i="85" s="1"/>
  <c r="AB149" i="85" s="1" a="1"/>
  <c r="AB149" i="85" s="1"/>
  <c r="V77" i="85" a="1"/>
  <c r="V77" i="85" s="1"/>
  <c r="V98" i="85" s="1" a="1"/>
  <c r="V98" i="85" s="1"/>
  <c r="V150" i="85" s="1" a="1"/>
  <c r="V150" i="85" s="1"/>
  <c r="AB87" i="85" a="1"/>
  <c r="AB87" i="85" s="1"/>
  <c r="AB108" i="85" s="1" a="1"/>
  <c r="AB108" i="85" s="1"/>
  <c r="AB160" i="85" s="1" a="1"/>
  <c r="AB160" i="85" s="1"/>
  <c r="W85" i="85" a="1"/>
  <c r="W85" i="85" s="1"/>
  <c r="W106" i="85" s="1" a="1"/>
  <c r="W106" i="85" s="1"/>
  <c r="W158" i="85" s="1" a="1"/>
  <c r="W158" i="85" s="1"/>
  <c r="AD85" i="85" a="1"/>
  <c r="AD85" i="85" s="1"/>
  <c r="AD106" i="85" s="1" a="1"/>
  <c r="AD106" i="85" s="1"/>
  <c r="AD158" i="85" s="1" a="1"/>
  <c r="AD158" i="85" s="1"/>
  <c r="W79" i="85" a="1"/>
  <c r="W79" i="85" s="1"/>
  <c r="W100" i="85" s="1" a="1"/>
  <c r="W100" i="85" s="1"/>
  <c r="W152" i="85" s="1" a="1"/>
  <c r="W152" i="85" s="1"/>
  <c r="AA78" i="85" a="1"/>
  <c r="AA78" i="85" s="1"/>
  <c r="AA99" i="85" s="1" a="1"/>
  <c r="AA99" i="85" s="1"/>
  <c r="AA151" i="85" s="1" a="1"/>
  <c r="AA151" i="85" s="1"/>
  <c r="AE87" i="85" a="1"/>
  <c r="AE87" i="85" s="1"/>
  <c r="AE108" i="85" s="1" a="1"/>
  <c r="AE108" i="85" s="1"/>
  <c r="AE160" i="85" s="1" a="1"/>
  <c r="AE160" i="85" s="1"/>
  <c r="Z76" i="85" a="1"/>
  <c r="Z76" i="85" s="1"/>
  <c r="Z97" i="85" s="1" a="1"/>
  <c r="Z97" i="85" s="1"/>
  <c r="Z149" i="85" s="1" a="1"/>
  <c r="Z149" i="85" s="1"/>
  <c r="AC87" i="85" a="1"/>
  <c r="AC87" i="85" s="1"/>
  <c r="AC108" i="85" s="1" a="1"/>
  <c r="AC108" i="85" s="1"/>
  <c r="AC160" i="85" s="1" a="1"/>
  <c r="AC160" i="85" s="1"/>
  <c r="AB84" i="85" a="1"/>
  <c r="AB84" i="85" s="1"/>
  <c r="AB105" i="85" s="1" a="1"/>
  <c r="AB105" i="85" s="1"/>
  <c r="AB157" i="85" s="1" a="1"/>
  <c r="AB157" i="85" s="1"/>
  <c r="AB86" i="85" a="1"/>
  <c r="AB86" i="85" s="1"/>
  <c r="AB107" i="85" s="1" a="1"/>
  <c r="AB107" i="85" s="1"/>
  <c r="AB159" i="85" s="1" a="1"/>
  <c r="AB159" i="85" s="1"/>
  <c r="V82" i="85" a="1"/>
  <c r="V82" i="85" s="1"/>
  <c r="V103" i="85" s="1" a="1"/>
  <c r="V103" i="85" s="1"/>
  <c r="V155" i="85" s="1" a="1"/>
  <c r="V155" i="85" s="1"/>
  <c r="AC86" i="85" a="1"/>
  <c r="AC86" i="85" s="1"/>
  <c r="AC107" i="85" s="1" a="1"/>
  <c r="AC107" i="85" s="1"/>
  <c r="AC159" i="85" s="1" a="1"/>
  <c r="AC159" i="85" s="1"/>
  <c r="W81" i="85" a="1"/>
  <c r="W81" i="85" s="1"/>
  <c r="W102" i="85" s="1" a="1"/>
  <c r="W102" i="85" s="1"/>
  <c r="W154" i="85" s="1" a="1"/>
  <c r="W154" i="85" s="1"/>
  <c r="X87" i="85" a="1"/>
  <c r="X87" i="85" s="1"/>
  <c r="X108" i="85" s="1" a="1"/>
  <c r="X108" i="85" s="1"/>
  <c r="X160" i="85" s="1" a="1"/>
  <c r="X160" i="85" s="1"/>
  <c r="AD87" i="85" a="1"/>
  <c r="AD87" i="85" s="1"/>
  <c r="AD108" i="85" s="1" a="1"/>
  <c r="AD108" i="85" s="1"/>
  <c r="AD160" i="85" s="1" a="1"/>
  <c r="AD160" i="85" s="1"/>
  <c r="V87" i="85" a="1"/>
  <c r="V87" i="85" s="1"/>
  <c r="V108" i="85" s="1" a="1"/>
  <c r="V108" i="85" s="1"/>
  <c r="V160" i="85" s="1" a="1"/>
  <c r="V160" i="85" s="1"/>
  <c r="W87" i="85" a="1"/>
  <c r="W87" i="85" s="1"/>
  <c r="W108" i="85" s="1" a="1"/>
  <c r="W108" i="85" s="1"/>
  <c r="W160" i="85" s="1" a="1"/>
  <c r="W160" i="85" s="1"/>
  <c r="AC84" i="85" a="1"/>
  <c r="AC84" i="85" s="1"/>
  <c r="AC105" i="85" s="1" a="1"/>
  <c r="AC105" i="85" s="1"/>
  <c r="AC157" i="85" s="1" a="1"/>
  <c r="AC157" i="85" s="1"/>
  <c r="X78" i="85" a="1"/>
  <c r="X78" i="85" s="1"/>
  <c r="X99" i="85" s="1" a="1"/>
  <c r="X99" i="85" s="1"/>
  <c r="X151" i="85" s="1" a="1"/>
  <c r="X151" i="85" s="1"/>
  <c r="AE86" i="85" a="1"/>
  <c r="AE86" i="85" s="1"/>
  <c r="AE107" i="85" s="1" a="1"/>
  <c r="AE107" i="85" s="1"/>
  <c r="AE159" i="85" s="1" a="1"/>
  <c r="AE159" i="85" s="1"/>
  <c r="X85" i="85" a="1"/>
  <c r="X85" i="85" s="1"/>
  <c r="X106" i="85" s="1" a="1"/>
  <c r="X106" i="85" s="1"/>
  <c r="X158" i="85" s="1" a="1"/>
  <c r="X158" i="85" s="1"/>
  <c r="X86" i="85" a="1"/>
  <c r="X86" i="85" s="1"/>
  <c r="X107" i="85" s="1" a="1"/>
  <c r="X107" i="85" s="1"/>
  <c r="X159" i="85" s="1" a="1"/>
  <c r="X159" i="85" s="1"/>
  <c r="AD86" i="85" a="1"/>
  <c r="AD86" i="85" s="1"/>
  <c r="AD107" i="85" s="1" a="1"/>
  <c r="AD107" i="85" s="1"/>
  <c r="AD159" i="85" s="1" a="1"/>
  <c r="AD159" i="85" s="1"/>
  <c r="V86" i="85" a="1"/>
  <c r="V86" i="85" s="1"/>
  <c r="V107" i="85" s="1" a="1"/>
  <c r="V107" i="85" s="1"/>
  <c r="V159" i="85" s="1" a="1"/>
  <c r="V159" i="85" s="1"/>
  <c r="AC77" i="85" a="1"/>
  <c r="AC77" i="85" s="1"/>
  <c r="AC98" i="85" s="1" a="1"/>
  <c r="AC98" i="85" s="1"/>
  <c r="AC150" i="85" s="1" a="1"/>
  <c r="AC150" i="85" s="1"/>
  <c r="AD82" i="85" a="1"/>
  <c r="AD82" i="85" s="1"/>
  <c r="AD103" i="85" s="1" a="1"/>
  <c r="AD103" i="85" s="1"/>
  <c r="AD155" i="85" s="1" a="1"/>
  <c r="AD155" i="85" s="1"/>
  <c r="X76" i="85" a="1"/>
  <c r="X76" i="85" s="1"/>
  <c r="X97" i="85" s="1" a="1"/>
  <c r="X97" i="85" s="1"/>
  <c r="X149" i="85" s="1" a="1"/>
  <c r="X149" i="85" s="1"/>
  <c r="AE85" i="85" a="1"/>
  <c r="AE85" i="85" s="1"/>
  <c r="AE106" i="85" s="1" a="1"/>
  <c r="AE106" i="85" s="1"/>
  <c r="AE158" i="85" s="1" a="1"/>
  <c r="AE158" i="85" s="1"/>
  <c r="W86" i="85" a="1"/>
  <c r="W86" i="85" s="1"/>
  <c r="W107" i="85" s="1" a="1"/>
  <c r="W107" i="85" s="1"/>
  <c r="W159" i="85" s="1" a="1"/>
  <c r="W159" i="85" s="1"/>
  <c r="AC85" i="85" a="1"/>
  <c r="AC85" i="85" s="1"/>
  <c r="AC106" i="85" s="1" a="1"/>
  <c r="AC106" i="85" s="1"/>
  <c r="AC158" i="85" s="1" a="1"/>
  <c r="AC158" i="85" s="1"/>
  <c r="AB78" i="85" a="1"/>
  <c r="AB78" i="85" s="1"/>
  <c r="AB99" i="85" s="1" a="1"/>
  <c r="AB99" i="85" s="1"/>
  <c r="AB151" i="85" s="1" a="1"/>
  <c r="AB151" i="85" s="1"/>
  <c r="W83" i="85" a="1"/>
  <c r="W83" i="85" s="1"/>
  <c r="W104" i="85" s="1" a="1"/>
  <c r="W104" i="85" s="1"/>
  <c r="W156" i="85" s="1" a="1"/>
  <c r="W156" i="85" s="1"/>
  <c r="W82" i="85" a="1"/>
  <c r="W82" i="85" s="1"/>
  <c r="W103" i="85" s="1" a="1"/>
  <c r="W103" i="85" s="1"/>
  <c r="W155" i="85" s="1" a="1"/>
  <c r="W155" i="85" s="1"/>
  <c r="AC82" i="85" a="1"/>
  <c r="AC82" i="85" s="1"/>
  <c r="AC103" i="85" s="1" a="1"/>
  <c r="AC103" i="85" s="1"/>
  <c r="AC155" i="85" s="1" a="1"/>
  <c r="AC155" i="85" s="1"/>
  <c r="AE81" i="85" a="1"/>
  <c r="AE81" i="85" s="1"/>
  <c r="AE102" i="85" s="1" a="1"/>
  <c r="AE102" i="85" s="1"/>
  <c r="AE154" i="85" s="1" a="1"/>
  <c r="AE154" i="85" s="1"/>
  <c r="X84" i="85" a="1"/>
  <c r="X84" i="85" s="1"/>
  <c r="X105" i="85" s="1" a="1"/>
  <c r="X105" i="85" s="1"/>
  <c r="X157" i="85" s="1" a="1"/>
  <c r="X157" i="85" s="1"/>
  <c r="AD84" i="85" a="1"/>
  <c r="AD84" i="85" s="1"/>
  <c r="AD105" i="85" s="1" a="1"/>
  <c r="AD105" i="85" s="1"/>
  <c r="AD157" i="85" s="1" a="1"/>
  <c r="AD157" i="85" s="1"/>
  <c r="AE78" i="85" a="1"/>
  <c r="AE78" i="85" s="1"/>
  <c r="AE99" i="85" s="1" a="1"/>
  <c r="AE99" i="85" s="1"/>
  <c r="AE151" i="85" s="1" a="1"/>
  <c r="AE151" i="85" s="1"/>
  <c r="AC80" i="85" a="1"/>
  <c r="AC80" i="85" s="1"/>
  <c r="AC101" i="85" s="1" a="1"/>
  <c r="AC101" i="85" s="1"/>
  <c r="AC153" i="85" s="1" a="1"/>
  <c r="AC153" i="85" s="1"/>
  <c r="V83" i="85" a="1"/>
  <c r="V83" i="85" s="1"/>
  <c r="V104" i="85" s="1" a="1"/>
  <c r="V104" i="85" s="1"/>
  <c r="V156" i="85" s="1" a="1"/>
  <c r="V156" i="85" s="1"/>
  <c r="X83" i="85" a="1"/>
  <c r="X83" i="85" s="1"/>
  <c r="X104" i="85" s="1" a="1"/>
  <c r="X104" i="85" s="1"/>
  <c r="X156" i="85" s="1" a="1"/>
  <c r="X156" i="85" s="1"/>
  <c r="AB80" i="85" a="1"/>
  <c r="AB80" i="85" s="1"/>
  <c r="AB101" i="85" s="1" a="1"/>
  <c r="AB101" i="85" s="1"/>
  <c r="AB153" i="85" s="1" a="1"/>
  <c r="AB153" i="85" s="1"/>
  <c r="AE82" i="85" a="1"/>
  <c r="AE82" i="85" s="1"/>
  <c r="AE103" i="85" s="1" a="1"/>
  <c r="AE103" i="85" s="1"/>
  <c r="AE155" i="85" s="1" a="1"/>
  <c r="AE155" i="85" s="1"/>
  <c r="AE77" i="85" a="1"/>
  <c r="AE77" i="85" s="1"/>
  <c r="AE98" i="85" s="1" a="1"/>
  <c r="AE98" i="85" s="1"/>
  <c r="AE150" i="85" s="1" a="1"/>
  <c r="AE150" i="85" s="1"/>
  <c r="X77" i="85" a="1"/>
  <c r="X77" i="85" s="1"/>
  <c r="X98" i="85" s="1" a="1"/>
  <c r="X98" i="85" s="1"/>
  <c r="X150" i="85" s="1" a="1"/>
  <c r="X150" i="85" s="1"/>
  <c r="AE80" i="85" a="1"/>
  <c r="AE80" i="85" s="1"/>
  <c r="AE101" i="85" s="1" a="1"/>
  <c r="AE101" i="85" s="1"/>
  <c r="AE153" i="85" s="1" a="1"/>
  <c r="AE153" i="85" s="1"/>
  <c r="X81" i="85" a="1"/>
  <c r="X81" i="85" s="1"/>
  <c r="X102" i="85" s="1" a="1"/>
  <c r="X102" i="85" s="1"/>
  <c r="X154" i="85" s="1" a="1"/>
  <c r="X154" i="85" s="1"/>
  <c r="AB83" i="85" a="1"/>
  <c r="AB83" i="85" s="1"/>
  <c r="AB104" i="85" s="1" a="1"/>
  <c r="AB104" i="85" s="1"/>
  <c r="AB156" i="85" s="1" a="1"/>
  <c r="AB156" i="85" s="1"/>
  <c r="W84" i="85" a="1"/>
  <c r="W84" i="85" s="1"/>
  <c r="W105" i="85" s="1" a="1"/>
  <c r="W105" i="85" s="1"/>
  <c r="W157" i="85" s="1" a="1"/>
  <c r="W157" i="85" s="1"/>
  <c r="AE79" i="85" a="1"/>
  <c r="AE79" i="85" s="1"/>
  <c r="AE100" i="85" s="1" a="1"/>
  <c r="AE100" i="85" s="1"/>
  <c r="AE152" i="85" s="1" a="1"/>
  <c r="AE152" i="85" s="1"/>
  <c r="AC81" i="85" a="1"/>
  <c r="AC81" i="85" s="1"/>
  <c r="AC102" i="85" s="1" a="1"/>
  <c r="AC102" i="85" s="1"/>
  <c r="AC154" i="85" s="1" a="1"/>
  <c r="AC154" i="85" s="1"/>
  <c r="AD76" i="85" a="1"/>
  <c r="AD76" i="85" s="1"/>
  <c r="AD97" i="85" s="1" a="1"/>
  <c r="AD97" i="85" s="1"/>
  <c r="AD149" i="85" s="1" a="1"/>
  <c r="AD149" i="85" s="1"/>
  <c r="AB82" i="85" a="1"/>
  <c r="AB82" i="85" s="1"/>
  <c r="AB103" i="85" s="1" a="1"/>
  <c r="AB103" i="85" s="1"/>
  <c r="AB155" i="85" s="1" a="1"/>
  <c r="AB155" i="85" s="1"/>
  <c r="V78" i="85" a="1"/>
  <c r="V78" i="85" s="1"/>
  <c r="V99" i="85" s="1" a="1"/>
  <c r="V99" i="85" s="1"/>
  <c r="V151" i="85" s="1" a="1"/>
  <c r="V151" i="85" s="1"/>
  <c r="X79" i="85" a="1"/>
  <c r="X79" i="85" s="1"/>
  <c r="X100" i="85" s="1" a="1"/>
  <c r="X100" i="85" s="1"/>
  <c r="X152" i="85" s="1" a="1"/>
  <c r="X152" i="85" s="1"/>
  <c r="V85" i="85" a="1"/>
  <c r="V85" i="85" s="1"/>
  <c r="V106" i="85" s="1" a="1"/>
  <c r="V106" i="85" s="1"/>
  <c r="V158" i="85" s="1" a="1"/>
  <c r="V158" i="85" s="1"/>
  <c r="AE84" i="85" a="1"/>
  <c r="AE84" i="85" s="1"/>
  <c r="AE105" i="85" s="1" a="1"/>
  <c r="AE105" i="85" s="1"/>
  <c r="AE157" i="85" s="1" a="1"/>
  <c r="AE157" i="85" s="1"/>
  <c r="Y82" i="85" a="1"/>
  <c r="Y82" i="85" s="1"/>
  <c r="Y103" i="85" s="1" a="1"/>
  <c r="Y103" i="85" s="1"/>
  <c r="Y155" i="85" s="1" a="1"/>
  <c r="Y155" i="85" s="1"/>
  <c r="Y76" i="85" a="1"/>
  <c r="Y76" i="85" s="1"/>
  <c r="Y97" i="85" s="1" a="1"/>
  <c r="Y97" i="85" s="1"/>
  <c r="Y149" i="85" s="1" a="1"/>
  <c r="Y149" i="85" s="1"/>
  <c r="Y83" i="85" a="1"/>
  <c r="Y83" i="85" s="1"/>
  <c r="Y104" i="85" s="1" a="1"/>
  <c r="Y104" i="85" s="1"/>
  <c r="Y156" i="85" s="1" a="1"/>
  <c r="Y156" i="85" s="1"/>
  <c r="Y87" i="85" a="1"/>
  <c r="Y87" i="85" s="1"/>
  <c r="Y108" i="85" s="1" a="1"/>
  <c r="Y108" i="85" s="1"/>
  <c r="Y160" i="85" s="1" a="1"/>
  <c r="Y160" i="85" s="1"/>
  <c r="AA81" i="85" a="1"/>
  <c r="AA81" i="85" s="1"/>
  <c r="AA102" i="85" s="1" a="1"/>
  <c r="AA102" i="85" s="1"/>
  <c r="AA154" i="85" s="1" a="1"/>
  <c r="AA154" i="85" s="1"/>
  <c r="Z81" i="85" a="1"/>
  <c r="Z81" i="85" s="1"/>
  <c r="Z102" i="85" s="1" a="1"/>
  <c r="Z102" i="85" s="1"/>
  <c r="Z154" i="85" s="1" a="1"/>
  <c r="Z154" i="85" s="1"/>
  <c r="AA83" i="85" a="1"/>
  <c r="AA83" i="85" s="1"/>
  <c r="AA104" i="85" s="1" a="1"/>
  <c r="AA104" i="85" s="1"/>
  <c r="AA156" i="85" s="1" a="1"/>
  <c r="AA156" i="85" s="1"/>
  <c r="Y84" i="85" a="1"/>
  <c r="Y84" i="85" s="1"/>
  <c r="Y105" i="85" s="1" a="1"/>
  <c r="Y105" i="85" s="1"/>
  <c r="Y157" i="85" s="1" a="1"/>
  <c r="Y157" i="85" s="1"/>
  <c r="AA87" i="85" a="1"/>
  <c r="AA87" i="85" s="1"/>
  <c r="AA108" i="85" s="1" a="1"/>
  <c r="AA108" i="85" s="1"/>
  <c r="AA160" i="85" s="1" a="1"/>
  <c r="AA160" i="85" s="1"/>
  <c r="Z87" i="85" a="1"/>
  <c r="Z87" i="85" s="1"/>
  <c r="Z108" i="85" s="1" a="1"/>
  <c r="Z108" i="85" s="1"/>
  <c r="Z160" i="85" s="1" a="1"/>
  <c r="Z160" i="85" s="1"/>
  <c r="AA76" i="85" a="1"/>
  <c r="AA76" i="85" s="1"/>
  <c r="AA97" i="85" s="1" a="1"/>
  <c r="AA97" i="85" s="1"/>
  <c r="AA149" i="85" s="1" a="1"/>
  <c r="AA149" i="85" s="1"/>
  <c r="Z80" i="85" a="1"/>
  <c r="Z80" i="85" s="1"/>
  <c r="Z101" i="85" s="1" a="1"/>
  <c r="Z101" i="85" s="1"/>
  <c r="Z153" i="85" s="1" a="1"/>
  <c r="Z153" i="85" s="1"/>
  <c r="AA85" i="85" a="1"/>
  <c r="AA85" i="85" s="1"/>
  <c r="AA106" i="85" s="1" a="1"/>
  <c r="AA106" i="85" s="1"/>
  <c r="AA158" i="85" s="1" a="1"/>
  <c r="AA158" i="85" s="1"/>
  <c r="Z78" i="85" a="1"/>
  <c r="Z78" i="85" s="1"/>
  <c r="Z99" i="85" s="1" a="1"/>
  <c r="Z99" i="85" s="1"/>
  <c r="Z151" i="85" s="1" a="1"/>
  <c r="Z151" i="85" s="1"/>
  <c r="Z82" i="85" a="1"/>
  <c r="Z82" i="85" s="1"/>
  <c r="Z103" i="85" s="1" a="1"/>
  <c r="Z103" i="85" s="1"/>
  <c r="Z155" i="85" s="1" a="1"/>
  <c r="Z155" i="85" s="1"/>
  <c r="Y78" i="85" a="1"/>
  <c r="Y78" i="85" s="1"/>
  <c r="Y99" i="85" s="1" a="1"/>
  <c r="Y99" i="85" s="1"/>
  <c r="Y151" i="85" s="1" a="1"/>
  <c r="Y151" i="85" s="1"/>
  <c r="AA79" i="85" a="1"/>
  <c r="AA79" i="85" s="1"/>
  <c r="AA100" i="85" s="1" a="1"/>
  <c r="AA100" i="85" s="1"/>
  <c r="AA152" i="85" s="1" a="1"/>
  <c r="AA152" i="85" s="1"/>
  <c r="AA82" i="85" a="1"/>
  <c r="AA82" i="85" s="1"/>
  <c r="AA103" i="85" s="1" a="1"/>
  <c r="AA103" i="85" s="1"/>
  <c r="AA155" i="85" s="1" a="1"/>
  <c r="AA155" i="85" s="1"/>
  <c r="Y81" i="85" a="1"/>
  <c r="Y81" i="85" s="1"/>
  <c r="Y102" i="85" s="1" a="1"/>
  <c r="Y102" i="85" s="1"/>
  <c r="Y154" i="85" s="1" a="1"/>
  <c r="Y154" i="85" s="1"/>
  <c r="Z83" i="85" a="1"/>
  <c r="Z83" i="85" s="1"/>
  <c r="Z104" i="85" s="1" a="1"/>
  <c r="Z104" i="85" s="1"/>
  <c r="Z156" i="85" s="1" a="1"/>
  <c r="Z156" i="85" s="1"/>
  <c r="Z77" i="85" a="1"/>
  <c r="Z77" i="85" s="1"/>
  <c r="Z98" i="85" s="1" a="1"/>
  <c r="Z98" i="85" s="1"/>
  <c r="Z150" i="85" s="1" a="1"/>
  <c r="Z150" i="85" s="1"/>
  <c r="Y80" i="85" a="1"/>
  <c r="Y80" i="85" s="1"/>
  <c r="Y101" i="85" s="1" a="1"/>
  <c r="Y101" i="85" s="1"/>
  <c r="Y153" i="85" s="1" a="1"/>
  <c r="Y153" i="85" s="1"/>
  <c r="Y86" i="85" a="1"/>
  <c r="Y86" i="85" s="1"/>
  <c r="Y107" i="85" s="1" a="1"/>
  <c r="Y107" i="85" s="1"/>
  <c r="Y159" i="85" s="1" a="1"/>
  <c r="Y159" i="85" s="1"/>
  <c r="Y77" i="85" a="1"/>
  <c r="Y77" i="85" s="1"/>
  <c r="Y98" i="85" s="1" a="1"/>
  <c r="Y98" i="85" s="1"/>
  <c r="Y150" i="85" s="1" a="1"/>
  <c r="Y150" i="85" s="1"/>
  <c r="Z84" i="85" a="1"/>
  <c r="Z84" i="85" s="1"/>
  <c r="Z105" i="85" s="1" a="1"/>
  <c r="Z105" i="85" s="1"/>
  <c r="Z157" i="85" s="1" a="1"/>
  <c r="Z157" i="85" s="1"/>
  <c r="AA80" i="85" a="1"/>
  <c r="AA80" i="85" s="1"/>
  <c r="AA101" i="85" s="1" a="1"/>
  <c r="AA101" i="85" s="1"/>
  <c r="AA153" i="85" s="1" a="1"/>
  <c r="AA153" i="85" s="1"/>
  <c r="Z79" i="85" a="1"/>
  <c r="Z79" i="85" s="1"/>
  <c r="Z100" i="85" s="1" a="1"/>
  <c r="Z100" i="85" s="1"/>
  <c r="Z152" i="85" s="1" a="1"/>
  <c r="Z152" i="85" s="1"/>
  <c r="AA77" i="85" a="1"/>
  <c r="AA77" i="85" s="1"/>
  <c r="AA98" i="85" s="1" a="1"/>
  <c r="AA98" i="85" s="1"/>
  <c r="AA150" i="85" s="1" a="1"/>
  <c r="AA150" i="85" s="1"/>
  <c r="Z85" i="85" a="1"/>
  <c r="Z85" i="85" s="1"/>
  <c r="Z106" i="85" s="1" a="1"/>
  <c r="Z106" i="85" s="1"/>
  <c r="Z158" i="85" s="1" a="1"/>
  <c r="Z158" i="85" s="1"/>
  <c r="AA86" i="85" a="1"/>
  <c r="AA86" i="85" s="1"/>
  <c r="AA107" i="85" s="1" a="1"/>
  <c r="AA107" i="85" s="1"/>
  <c r="AA159" i="85" s="1" a="1"/>
  <c r="AA159" i="85" s="1"/>
  <c r="Y79" i="85" a="1"/>
  <c r="Y79" i="85" s="1"/>
  <c r="Y100" i="85" s="1" a="1"/>
  <c r="Y100" i="85" s="1"/>
  <c r="Y152" i="85" s="1" a="1"/>
  <c r="Y152" i="85" s="1"/>
  <c r="Y85" i="85" a="1"/>
  <c r="Y85" i="85" s="1"/>
  <c r="Y106" i="85" s="1" a="1"/>
  <c r="Y106" i="85" s="1"/>
  <c r="Y158" i="85" s="1" a="1"/>
  <c r="Y158" i="85" s="1"/>
  <c r="AA84" i="85" a="1"/>
  <c r="AA84" i="85" s="1"/>
  <c r="AA105" i="85" s="1" a="1"/>
  <c r="AA105" i="85" s="1"/>
  <c r="AA157" i="85" s="1" a="1"/>
  <c r="AA157" i="85" s="1"/>
  <c r="Z86" i="85" a="1"/>
  <c r="Z86" i="85" s="1"/>
  <c r="Z107" i="85" s="1" a="1"/>
  <c r="Z107" i="85" s="1"/>
  <c r="Z159" i="85" s="1" a="1"/>
  <c r="Z159" i="85" s="1"/>
  <c r="E72" i="87" a="1"/>
  <c r="E72" i="87" s="1"/>
  <c r="E64" i="87" a="1"/>
  <c r="E64" i="87" s="1"/>
  <c r="E80" i="87" s="1"/>
  <c r="E50" i="89" a="1"/>
  <c r="E50" i="89" s="1"/>
  <c r="L65" i="85" a="1"/>
  <c r="L65" i="85" s="1"/>
  <c r="L86" i="85" s="1" a="1"/>
  <c r="L86" i="85" s="1"/>
  <c r="L124" i="85" s="1" a="1"/>
  <c r="L124" i="85" s="1"/>
  <c r="K67" i="85" a="1"/>
  <c r="K67" i="85" s="1"/>
  <c r="K88" i="85" s="1" a="1"/>
  <c r="K88" i="85" s="1"/>
  <c r="K126" i="85" s="1" a="1"/>
  <c r="K126" i="85" s="1"/>
  <c r="N65" i="85" a="1"/>
  <c r="N65" i="85" s="1"/>
  <c r="N86" i="85" s="1" a="1"/>
  <c r="N86" i="85" s="1"/>
  <c r="N124" i="85" s="1" a="1"/>
  <c r="N124" i="85" s="1"/>
  <c r="N64" i="85" a="1"/>
  <c r="N64" i="85" s="1"/>
  <c r="N85" i="85" s="1" a="1"/>
  <c r="N85" i="85" s="1"/>
  <c r="N123" i="85" s="1" a="1"/>
  <c r="N123" i="85" s="1"/>
  <c r="K64" i="85" a="1"/>
  <c r="K64" i="85" s="1"/>
  <c r="K85" i="85" s="1" a="1"/>
  <c r="K85" i="85" s="1"/>
  <c r="K123" i="85" s="1" a="1"/>
  <c r="K123" i="85" s="1"/>
  <c r="E66" i="85" a="1"/>
  <c r="E66" i="85" s="1"/>
  <c r="E87" i="85" s="1" a="1"/>
  <c r="E87" i="85" s="1"/>
  <c r="E125" i="85" s="1" a="1"/>
  <c r="E125" i="85" s="1"/>
  <c r="G65" i="85" a="1"/>
  <c r="G65" i="85" s="1"/>
  <c r="G86" i="85" s="1" a="1"/>
  <c r="G86" i="85" s="1"/>
  <c r="G124" i="85" s="1" a="1"/>
  <c r="G124" i="85" s="1"/>
  <c r="E48" i="85"/>
  <c r="E64" i="85" s="1" a="1"/>
  <c r="E64" i="85" s="1"/>
  <c r="E85" i="85" s="1" a="1"/>
  <c r="E85" i="85" s="1"/>
  <c r="E123" i="85" s="1" a="1"/>
  <c r="E123" i="85" s="1"/>
  <c r="L66" i="85" a="1"/>
  <c r="L66" i="85" s="1"/>
  <c r="L87" i="85" s="1" a="1"/>
  <c r="L87" i="85" s="1"/>
  <c r="L125" i="85" s="1" a="1"/>
  <c r="L125" i="85" s="1"/>
  <c r="L67" i="85" a="1"/>
  <c r="L67" i="85" s="1"/>
  <c r="L88" i="85" s="1" a="1"/>
  <c r="L88" i="85" s="1"/>
  <c r="L126" i="85" s="1" a="1"/>
  <c r="L126" i="85" s="1"/>
  <c r="M66" i="85" a="1"/>
  <c r="M66" i="85" s="1"/>
  <c r="M87" i="85" s="1" a="1"/>
  <c r="M87" i="85" s="1"/>
  <c r="M125" i="85" s="1" a="1"/>
  <c r="M125" i="85" s="1"/>
  <c r="E67" i="85" a="1"/>
  <c r="E67" i="85" s="1"/>
  <c r="E88" i="85" s="1" a="1"/>
  <c r="E88" i="85" s="1"/>
  <c r="E126" i="85" s="1" a="1"/>
  <c r="E126" i="85" s="1"/>
  <c r="N67" i="85" a="1"/>
  <c r="N67" i="85" s="1"/>
  <c r="N88" i="85" s="1" a="1"/>
  <c r="N88" i="85" s="1"/>
  <c r="N126" i="85" s="1" a="1"/>
  <c r="N126" i="85" s="1"/>
  <c r="M65" i="85" a="1"/>
  <c r="M65" i="85" s="1"/>
  <c r="M86" i="85" s="1" a="1"/>
  <c r="M86" i="85" s="1"/>
  <c r="M124" i="85" s="1" a="1"/>
  <c r="M124" i="85" s="1"/>
  <c r="F65" i="85" a="1"/>
  <c r="F65" i="85" s="1"/>
  <c r="F86" i="85" s="1" a="1"/>
  <c r="F86" i="85" s="1"/>
  <c r="F124" i="85" s="1" a="1"/>
  <c r="F124" i="85" s="1"/>
  <c r="G66" i="85" a="1"/>
  <c r="G66" i="85" s="1"/>
  <c r="G87" i="85" s="1" a="1"/>
  <c r="G87" i="85" s="1"/>
  <c r="G125" i="85" s="1" a="1"/>
  <c r="G125" i="85" s="1"/>
  <c r="M64" i="85" a="1"/>
  <c r="M64" i="85" s="1"/>
  <c r="M85" i="85" s="1" a="1"/>
  <c r="M85" i="85" s="1"/>
  <c r="M123" i="85" s="1" a="1"/>
  <c r="M123" i="85" s="1"/>
  <c r="F66" i="85" a="1"/>
  <c r="F66" i="85" s="1"/>
  <c r="F87" i="85" s="1" a="1"/>
  <c r="F87" i="85" s="1"/>
  <c r="F125" i="85" s="1" a="1"/>
  <c r="F125" i="85" s="1"/>
  <c r="E65" i="85" a="1"/>
  <c r="E65" i="85" s="1"/>
  <c r="E86" i="85" s="1" a="1"/>
  <c r="E86" i="85" s="1"/>
  <c r="E124" i="85" s="1" a="1"/>
  <c r="E124" i="85" s="1"/>
  <c r="G64" i="85" a="1"/>
  <c r="G64" i="85" s="1"/>
  <c r="G85" i="85" s="1" a="1"/>
  <c r="G85" i="85" s="1"/>
  <c r="G123" i="85" s="1" a="1"/>
  <c r="G123" i="85" s="1"/>
  <c r="G67" i="85" a="1"/>
  <c r="G67" i="85" s="1"/>
  <c r="G88" i="85" s="1" a="1"/>
  <c r="G88" i="85" s="1"/>
  <c r="G126" i="85" s="1" a="1"/>
  <c r="G126" i="85" s="1"/>
  <c r="K65" i="85" a="1"/>
  <c r="K65" i="85" s="1"/>
  <c r="K86" i="85" s="1" a="1"/>
  <c r="K86" i="85" s="1"/>
  <c r="K124" i="85" s="1" a="1"/>
  <c r="K124" i="85" s="1"/>
  <c r="F67" i="85" a="1"/>
  <c r="F67" i="85" s="1"/>
  <c r="F88" i="85" s="1" a="1"/>
  <c r="F88" i="85" s="1"/>
  <c r="F126" i="85" s="1" a="1"/>
  <c r="F126" i="85" s="1"/>
  <c r="M67" i="85" a="1"/>
  <c r="M67" i="85" s="1"/>
  <c r="M88" i="85" s="1" a="1"/>
  <c r="M88" i="85" s="1"/>
  <c r="M126" i="85" s="1" a="1"/>
  <c r="M126" i="85" s="1"/>
  <c r="L64" i="85" a="1"/>
  <c r="L64" i="85" s="1"/>
  <c r="L85" i="85" s="1" a="1"/>
  <c r="L85" i="85" s="1"/>
  <c r="L123" i="85" s="1" a="1"/>
  <c r="L123" i="85" s="1"/>
  <c r="K66" i="85" a="1"/>
  <c r="K66" i="85" s="1"/>
  <c r="K87" i="85" s="1" a="1"/>
  <c r="K87" i="85" s="1"/>
  <c r="K125" i="85" s="1" a="1"/>
  <c r="K125" i="85" s="1"/>
  <c r="N66" i="85" a="1"/>
  <c r="N66" i="85" s="1"/>
  <c r="N87" i="85" s="1" a="1"/>
  <c r="N87" i="85" s="1"/>
  <c r="N125" i="85" s="1" a="1"/>
  <c r="N125" i="85" s="1"/>
  <c r="F64" i="85" a="1"/>
  <c r="F64" i="85" s="1"/>
  <c r="F85" i="85" s="1" a="1"/>
  <c r="F85" i="85" s="1"/>
  <c r="F123" i="85" s="1" a="1"/>
  <c r="F123" i="85" s="1"/>
  <c r="I65" i="85" a="1"/>
  <c r="I65" i="85" s="1"/>
  <c r="I86" i="85" s="1" a="1"/>
  <c r="I86" i="85" s="1"/>
  <c r="I124" i="85" s="1" a="1"/>
  <c r="I124" i="85" s="1"/>
  <c r="H66" i="85" a="1"/>
  <c r="H66" i="85" s="1"/>
  <c r="H87" i="85" s="1" a="1"/>
  <c r="H87" i="85" s="1"/>
  <c r="H125" i="85" s="1" a="1"/>
  <c r="H125" i="85" s="1"/>
  <c r="H64" i="85" a="1"/>
  <c r="H64" i="85" s="1"/>
  <c r="H85" i="85" s="1" a="1"/>
  <c r="H85" i="85" s="1"/>
  <c r="H123" i="85" s="1" a="1"/>
  <c r="H123" i="85" s="1"/>
  <c r="J65" i="85" a="1"/>
  <c r="J65" i="85" s="1"/>
  <c r="J86" i="85" s="1" a="1"/>
  <c r="J86" i="85" s="1"/>
  <c r="J124" i="85" s="1" a="1"/>
  <c r="J124" i="85" s="1"/>
  <c r="I67" i="85" a="1"/>
  <c r="I67" i="85" s="1"/>
  <c r="I88" i="85" s="1" a="1"/>
  <c r="I88" i="85" s="1"/>
  <c r="I126" i="85" s="1" a="1"/>
  <c r="I126" i="85" s="1"/>
  <c r="I64" i="85" a="1"/>
  <c r="I64" i="85" s="1"/>
  <c r="I85" i="85" s="1" a="1"/>
  <c r="I85" i="85" s="1"/>
  <c r="I123" i="85" s="1" a="1"/>
  <c r="I123" i="85" s="1"/>
  <c r="J67" i="85" a="1"/>
  <c r="J67" i="85" s="1"/>
  <c r="J88" i="85" s="1" a="1"/>
  <c r="J88" i="85" s="1"/>
  <c r="J126" i="85" s="1" a="1"/>
  <c r="J126" i="85" s="1"/>
  <c r="H67" i="85" a="1"/>
  <c r="H67" i="85" s="1"/>
  <c r="H88" i="85" s="1" a="1"/>
  <c r="H88" i="85" s="1"/>
  <c r="H126" i="85" s="1" a="1"/>
  <c r="H126" i="85" s="1"/>
  <c r="J64" i="85" a="1"/>
  <c r="J64" i="85" s="1"/>
  <c r="J85" i="85" s="1" a="1"/>
  <c r="J85" i="85" s="1"/>
  <c r="J123" i="85" s="1" a="1"/>
  <c r="J123" i="85" s="1"/>
  <c r="H65" i="85" a="1"/>
  <c r="H65" i="85" s="1"/>
  <c r="H86" i="85" s="1" a="1"/>
  <c r="H86" i="85" s="1"/>
  <c r="H124" i="85" s="1" a="1"/>
  <c r="H124" i="85" s="1"/>
  <c r="J66" i="85" a="1"/>
  <c r="J66" i="85" s="1"/>
  <c r="J87" i="85" s="1" a="1"/>
  <c r="J87" i="85" s="1"/>
  <c r="J125" i="85" s="1" a="1"/>
  <c r="J125" i="85" s="1"/>
  <c r="I66" i="85" a="1"/>
  <c r="I66" i="85" s="1"/>
  <c r="I87" i="85" s="1" a="1"/>
  <c r="I87" i="85" s="1"/>
  <c r="I125" i="85" s="1" a="1"/>
  <c r="I125" i="85" s="1"/>
  <c r="O86" i="87" a="1"/>
  <c r="O86" i="87" s="1"/>
  <c r="P86" i="87" s="1" a="1"/>
  <c r="P86" i="87" s="1"/>
  <c r="O82" i="87" a="1"/>
  <c r="O82" i="87" s="1"/>
  <c r="P82" i="87" s="1" a="1"/>
  <c r="P82" i="87" s="1"/>
  <c r="O79" i="87" a="1"/>
  <c r="O79" i="87" s="1"/>
  <c r="P79" i="87" s="1" a="1"/>
  <c r="P79" i="87" s="1"/>
  <c r="O84" i="87" a="1"/>
  <c r="O84" i="87" s="1"/>
  <c r="P84" i="87" s="1" a="1"/>
  <c r="P84" i="87" s="1"/>
  <c r="O80" i="87" a="1"/>
  <c r="O80" i="87" s="1"/>
  <c r="P80" i="87" s="1" a="1"/>
  <c r="P80" i="87" s="1"/>
  <c r="O77" i="87" a="1"/>
  <c r="O77" i="87" s="1"/>
  <c r="P77" i="87" s="1" a="1"/>
  <c r="P77" i="87" s="1"/>
  <c r="N88" i="87" s="1"/>
  <c r="O85" i="87" a="1"/>
  <c r="O85" i="87" s="1"/>
  <c r="P85" i="87" s="1" a="1"/>
  <c r="P85" i="87" s="1"/>
  <c r="O78" i="87" a="1"/>
  <c r="O78" i="87" s="1"/>
  <c r="P78" i="87" s="1" a="1"/>
  <c r="P78" i="87" s="1"/>
  <c r="O83" i="87" a="1"/>
  <c r="O83" i="87" s="1"/>
  <c r="P83" i="87" s="1" a="1"/>
  <c r="P83" i="87" s="1"/>
  <c r="O81" i="87" a="1"/>
  <c r="O81" i="87" s="1"/>
  <c r="P81" i="87" s="1" a="1"/>
  <c r="P81" i="87" s="1"/>
  <c r="F70" i="91" a="1"/>
  <c r="F70" i="91" s="1"/>
  <c r="F68" i="91" a="1"/>
  <c r="F68" i="91" s="1"/>
  <c r="E65" i="88" a="1"/>
  <c r="E65" i="88" s="1"/>
  <c r="E78" i="88" s="1"/>
  <c r="E13" i="13" s="1" a="1"/>
  <c r="E13" i="13" s="1"/>
  <c r="G87" i="79" a="1"/>
  <c r="G87" i="79" s="1"/>
  <c r="G134" i="79" s="1" a="1"/>
  <c r="G134" i="79" s="1"/>
  <c r="L85" i="79" a="1"/>
  <c r="L85" i="79" s="1"/>
  <c r="L132" i="79" s="1" a="1"/>
  <c r="L132" i="79" s="1"/>
  <c r="M86" i="79" a="1"/>
  <c r="M86" i="79" s="1"/>
  <c r="M133" i="79" s="1" a="1"/>
  <c r="M133" i="79" s="1"/>
  <c r="E85" i="79" a="1"/>
  <c r="E85" i="79" s="1"/>
  <c r="E132" i="79" s="1" a="1"/>
  <c r="E132" i="79" s="1"/>
  <c r="F86" i="79" a="1"/>
  <c r="F86" i="79" s="1"/>
  <c r="F133" i="79" s="1" a="1"/>
  <c r="F133" i="79" s="1"/>
  <c r="K86" i="79" a="1"/>
  <c r="K86" i="79" s="1"/>
  <c r="K133" i="79" s="1" a="1"/>
  <c r="K133" i="79" s="1"/>
  <c r="N87" i="79" a="1"/>
  <c r="N87" i="79" s="1"/>
  <c r="N134" i="79" s="1" a="1"/>
  <c r="N134" i="79" s="1"/>
  <c r="L86" i="79" a="1"/>
  <c r="L86" i="79" s="1"/>
  <c r="L133" i="79" s="1" a="1"/>
  <c r="L133" i="79" s="1"/>
  <c r="G84" i="79" a="1"/>
  <c r="G84" i="79" s="1"/>
  <c r="G131" i="79" s="1" a="1"/>
  <c r="G131" i="79" s="1"/>
  <c r="M87" i="79" a="1"/>
  <c r="M87" i="79" s="1"/>
  <c r="M134" i="79" s="1" a="1"/>
  <c r="M134" i="79" s="1"/>
  <c r="L87" i="79" a="1"/>
  <c r="L87" i="79" s="1"/>
  <c r="L134" i="79" s="1" a="1"/>
  <c r="L134" i="79" s="1"/>
  <c r="G85" i="79" a="1"/>
  <c r="G85" i="79" s="1"/>
  <c r="G132" i="79" s="1" a="1"/>
  <c r="G132" i="79" s="1"/>
  <c r="E87" i="79" a="1"/>
  <c r="E87" i="79" s="1"/>
  <c r="E134" i="79" s="1" a="1"/>
  <c r="E134" i="79" s="1"/>
  <c r="K84" i="79" a="1"/>
  <c r="K84" i="79" s="1"/>
  <c r="K131" i="79" s="1" a="1"/>
  <c r="K131" i="79" s="1"/>
  <c r="F87" i="79" a="1"/>
  <c r="F87" i="79" s="1"/>
  <c r="F134" i="79" s="1" a="1"/>
  <c r="F134" i="79" s="1"/>
  <c r="M85" i="79" a="1"/>
  <c r="M85" i="79" s="1"/>
  <c r="M132" i="79" s="1" a="1"/>
  <c r="M132" i="79" s="1"/>
  <c r="L84" i="79" a="1"/>
  <c r="L84" i="79" s="1"/>
  <c r="L131" i="79" s="1" a="1"/>
  <c r="L131" i="79" s="1"/>
  <c r="K85" i="79" a="1"/>
  <c r="K85" i="79" s="1"/>
  <c r="K132" i="79" s="1" a="1"/>
  <c r="K132" i="79" s="1"/>
  <c r="N85" i="79" a="1"/>
  <c r="N85" i="79" s="1"/>
  <c r="N132" i="79" s="1" a="1"/>
  <c r="N132" i="79" s="1"/>
  <c r="F85" i="79" a="1"/>
  <c r="F85" i="79" s="1"/>
  <c r="F132" i="79" s="1" a="1"/>
  <c r="F132" i="79" s="1"/>
  <c r="E52" i="79"/>
  <c r="E84" i="79" s="1" a="1"/>
  <c r="E84" i="79" s="1"/>
  <c r="E131" i="79" s="1" a="1"/>
  <c r="E131" i="79" s="1"/>
  <c r="N86" i="79" a="1"/>
  <c r="N86" i="79" s="1"/>
  <c r="N133" i="79" s="1" a="1"/>
  <c r="N133" i="79" s="1"/>
  <c r="M84" i="79" a="1"/>
  <c r="M84" i="79" s="1"/>
  <c r="M131" i="79" s="1" a="1"/>
  <c r="M131" i="79" s="1"/>
  <c r="F84" i="79" a="1"/>
  <c r="F84" i="79" s="1"/>
  <c r="F131" i="79" s="1" a="1"/>
  <c r="F131" i="79" s="1"/>
  <c r="K87" i="79" a="1"/>
  <c r="K87" i="79" s="1"/>
  <c r="K134" i="79" s="1" a="1"/>
  <c r="K134" i="79" s="1"/>
  <c r="N84" i="79" a="1"/>
  <c r="N84" i="79" s="1"/>
  <c r="N131" i="79" s="1" a="1"/>
  <c r="N131" i="79" s="1"/>
  <c r="G86" i="79" a="1"/>
  <c r="G86" i="79" s="1"/>
  <c r="G133" i="79" s="1" a="1"/>
  <c r="G133" i="79" s="1"/>
  <c r="E86" i="79" a="1"/>
  <c r="E86" i="79" s="1"/>
  <c r="E133" i="79" s="1" a="1"/>
  <c r="E133" i="79" s="1"/>
  <c r="J86" i="79" a="1"/>
  <c r="J86" i="79" s="1"/>
  <c r="J133" i="79" s="1" a="1"/>
  <c r="J133" i="79" s="1"/>
  <c r="J85" i="79" a="1"/>
  <c r="J85" i="79" s="1"/>
  <c r="J132" i="79" s="1" a="1"/>
  <c r="J132" i="79" s="1"/>
  <c r="H85" i="79" a="1"/>
  <c r="H85" i="79" s="1"/>
  <c r="H132" i="79" s="1" a="1"/>
  <c r="H132" i="79" s="1"/>
  <c r="J84" i="79" a="1"/>
  <c r="J84" i="79" s="1"/>
  <c r="J131" i="79" s="1" a="1"/>
  <c r="J131" i="79" s="1"/>
  <c r="J87" i="79" a="1"/>
  <c r="J87" i="79" s="1"/>
  <c r="J134" i="79" s="1" a="1"/>
  <c r="J134" i="79" s="1"/>
  <c r="H86" i="79" a="1"/>
  <c r="H86" i="79" s="1"/>
  <c r="H133" i="79" s="1" a="1"/>
  <c r="H133" i="79" s="1"/>
  <c r="H87" i="79" a="1"/>
  <c r="H87" i="79" s="1"/>
  <c r="H134" i="79" s="1" a="1"/>
  <c r="H134" i="79" s="1"/>
  <c r="I86" i="79" a="1"/>
  <c r="I86" i="79" s="1"/>
  <c r="I133" i="79" s="1" a="1"/>
  <c r="I133" i="79" s="1"/>
  <c r="I87" i="79" a="1"/>
  <c r="I87" i="79" s="1"/>
  <c r="I134" i="79" s="1" a="1"/>
  <c r="I134" i="79" s="1"/>
  <c r="I85" i="79" a="1"/>
  <c r="I85" i="79" s="1"/>
  <c r="I132" i="79" s="1" a="1"/>
  <c r="I132" i="79" s="1"/>
  <c r="H84" i="79" a="1"/>
  <c r="H84" i="79" s="1"/>
  <c r="H131" i="79" s="1" a="1"/>
  <c r="H131" i="79" s="1"/>
  <c r="I84" i="79" a="1"/>
  <c r="I84" i="79" s="1"/>
  <c r="I131" i="79" s="1" a="1"/>
  <c r="I131" i="79" s="1"/>
  <c r="F74" i="91" a="1"/>
  <c r="F74" i="91" s="1"/>
  <c r="F65" i="91" a="1"/>
  <c r="F65" i="91" s="1"/>
  <c r="E69" i="87" a="1"/>
  <c r="E69" i="87" s="1"/>
  <c r="L33" i="80" a="1"/>
  <c r="L33" i="80" s="1"/>
  <c r="E36" i="80" a="1"/>
  <c r="E36" i="80" s="1"/>
  <c r="E20" i="80"/>
  <c r="E33" i="80" s="1" a="1"/>
  <c r="E33" i="80" s="1"/>
  <c r="H33" i="80" a="1"/>
  <c r="H33" i="80" s="1"/>
  <c r="L34" i="80" a="1"/>
  <c r="L34" i="80" s="1"/>
  <c r="F34" i="80" a="1"/>
  <c r="F34" i="80" s="1"/>
  <c r="M34" i="80" a="1"/>
  <c r="M34" i="80" s="1"/>
  <c r="K36" i="80" a="1"/>
  <c r="K36" i="80" s="1"/>
  <c r="L36" i="80" a="1"/>
  <c r="L36" i="80" s="1"/>
  <c r="H35" i="80" a="1"/>
  <c r="H35" i="80" s="1"/>
  <c r="E35" i="80" a="1"/>
  <c r="E35" i="80" s="1"/>
  <c r="M33" i="80" a="1"/>
  <c r="M33" i="80" s="1"/>
  <c r="I36" i="80" a="1"/>
  <c r="I36" i="80" s="1"/>
  <c r="K33" i="80" a="1"/>
  <c r="K33" i="80" s="1"/>
  <c r="F36" i="80" a="1"/>
  <c r="F36" i="80" s="1"/>
  <c r="J35" i="80" a="1"/>
  <c r="J35" i="80" s="1"/>
  <c r="G35" i="80" a="1"/>
  <c r="G35" i="80" s="1"/>
  <c r="L35" i="80" a="1"/>
  <c r="L35" i="80" s="1"/>
  <c r="H34" i="80" a="1"/>
  <c r="H34" i="80" s="1"/>
  <c r="K35" i="80" a="1"/>
  <c r="K35" i="80" s="1"/>
  <c r="G36" i="80" a="1"/>
  <c r="G36" i="80" s="1"/>
  <c r="F35" i="80" a="1"/>
  <c r="F35" i="80" s="1"/>
  <c r="M35" i="80" a="1"/>
  <c r="M35" i="80" s="1"/>
  <c r="N35" i="80" a="1"/>
  <c r="N35" i="80" s="1"/>
  <c r="M36" i="80" a="1"/>
  <c r="M36" i="80" s="1"/>
  <c r="I34" i="80" a="1"/>
  <c r="I34" i="80" s="1"/>
  <c r="H36" i="80" a="1"/>
  <c r="H36" i="80" s="1"/>
  <c r="G34" i="80" a="1"/>
  <c r="G34" i="80" s="1"/>
  <c r="N34" i="80" a="1"/>
  <c r="N34" i="80" s="1"/>
  <c r="F33" i="80" a="1"/>
  <c r="F33" i="80" s="1"/>
  <c r="J36" i="80" a="1"/>
  <c r="J36" i="80" s="1"/>
  <c r="J33" i="80" a="1"/>
  <c r="J33" i="80" s="1"/>
  <c r="I35" i="80" a="1"/>
  <c r="I35" i="80" s="1"/>
  <c r="K34" i="80" a="1"/>
  <c r="K34" i="80" s="1"/>
  <c r="N36" i="80" a="1"/>
  <c r="N36" i="80" s="1"/>
  <c r="E34" i="80" a="1"/>
  <c r="E34" i="80" s="1"/>
  <c r="G33" i="80" a="1"/>
  <c r="G33" i="80" s="1"/>
  <c r="J34" i="80" a="1"/>
  <c r="J34" i="80" s="1"/>
  <c r="N33" i="80" a="1"/>
  <c r="N33" i="80" s="1"/>
  <c r="I33" i="80" a="1"/>
  <c r="I33" i="80" s="1"/>
  <c r="F135" i="91" a="1"/>
  <c r="F135" i="91" s="1"/>
  <c r="E146" i="91" s="1"/>
  <c r="E19" i="113" a="1"/>
  <c r="E19" i="113" s="1"/>
  <c r="J569" i="112" s="1"/>
  <c r="O19" i="113" a="1"/>
  <c r="O19" i="113" s="1"/>
  <c r="R569" i="112" s="1"/>
  <c r="M573" i="112" s="1" a="1"/>
  <c r="M573" i="112" s="1"/>
  <c r="O575" i="112" s="1"/>
  <c r="M578" i="112" s="1" a="1"/>
  <c r="M578" i="112" s="1"/>
  <c r="O40" i="105" a="1"/>
  <c r="O40" i="105" s="1"/>
  <c r="E40" i="105" a="1"/>
  <c r="E40" i="105" s="1"/>
  <c r="G221" i="112" a="1"/>
  <c r="G221" i="112" s="1"/>
  <c r="E248" i="112" s="1"/>
  <c r="H221" i="112" a="1"/>
  <c r="H221" i="112" s="1"/>
  <c r="E251" i="112" s="1"/>
  <c r="K221" i="112" a="1"/>
  <c r="K221" i="112" s="1"/>
  <c r="E252" i="112" s="1"/>
  <c r="J221" i="112" a="1"/>
  <c r="J221" i="112" s="1"/>
  <c r="E249" i="112" s="1"/>
  <c r="F66" i="91" a="1"/>
  <c r="F66" i="91" s="1"/>
  <c r="E90" i="113" a="1"/>
  <c r="E90" i="113" s="1"/>
  <c r="J571" i="112" s="1"/>
  <c r="O46" i="106" a="1"/>
  <c r="O46" i="106" s="1"/>
  <c r="O48" i="106" s="1"/>
  <c r="G148" i="91" l="1"/>
  <c r="E151" i="91" s="1" a="1"/>
  <c r="E151" i="91" s="1"/>
  <c r="E16" i="13" a="1"/>
  <c r="E16" i="13" s="1"/>
  <c r="G96" i="92"/>
  <c r="E99" i="92" s="1" a="1"/>
  <c r="E99" i="92" s="1"/>
  <c r="E17" i="13" a="1"/>
  <c r="E17" i="13" s="1"/>
  <c r="F13" i="13"/>
  <c r="I13" i="13" s="1"/>
  <c r="H13" i="13"/>
  <c r="P90" i="87"/>
  <c r="N93" i="87" s="1" a="1"/>
  <c r="N93" i="87" s="1"/>
  <c r="F12" i="13" a="1"/>
  <c r="F12" i="13" s="1"/>
  <c r="I12" i="13" s="1" a="1"/>
  <c r="I12" i="13" s="1"/>
  <c r="G82" i="87"/>
  <c r="E85" i="87" s="1" a="1"/>
  <c r="E85" i="87" s="1"/>
  <c r="E12" i="13" a="1"/>
  <c r="E12" i="13" s="1"/>
  <c r="H12" i="13" s="1" a="1"/>
  <c r="H12" i="13" s="1"/>
  <c r="O184" i="79" a="1"/>
  <c r="O184" i="79" s="1"/>
  <c r="O242" i="79" s="1" a="1"/>
  <c r="O242" i="79" s="1"/>
  <c r="O180" i="79" a="1"/>
  <c r="O180" i="79" s="1"/>
  <c r="O238" i="79" s="1" a="1"/>
  <c r="O238" i="79" s="1"/>
  <c r="L179" i="79" a="1"/>
  <c r="L179" i="79" s="1"/>
  <c r="L237" i="79" s="1" a="1"/>
  <c r="L237" i="79" s="1"/>
  <c r="L183" i="79" a="1"/>
  <c r="L183" i="79" s="1"/>
  <c r="L241" i="79" s="1" a="1"/>
  <c r="L241" i="79" s="1"/>
  <c r="N178" i="79" a="1"/>
  <c r="N178" i="79" s="1"/>
  <c r="N236" i="79" s="1" a="1"/>
  <c r="N236" i="79" s="1"/>
  <c r="N182" i="79" a="1"/>
  <c r="N182" i="79" s="1"/>
  <c r="N240" i="79" s="1" a="1"/>
  <c r="N240" i="79" s="1"/>
  <c r="AD200" i="79" a="1"/>
  <c r="AD200" i="79" s="1"/>
  <c r="AD274" i="79" s="1" a="1"/>
  <c r="AD274" i="79" s="1"/>
  <c r="AD188" i="79" a="1"/>
  <c r="AD188" i="79" s="1"/>
  <c r="AD262" i="79" s="1" a="1"/>
  <c r="AD262" i="79" s="1"/>
  <c r="Q50" i="106"/>
  <c r="O53" i="106" s="1" a="1"/>
  <c r="O53" i="106" s="1"/>
  <c r="F19" i="13" a="1"/>
  <c r="F19" i="13" s="1"/>
  <c r="I19" i="13" s="1" a="1"/>
  <c r="I19" i="13" s="1"/>
  <c r="I177" i="79" a="1"/>
  <c r="I177" i="79" s="1"/>
  <c r="I235" i="79" s="1" a="1"/>
  <c r="I235" i="79" s="1"/>
  <c r="I181" i="79" a="1"/>
  <c r="I181" i="79" s="1"/>
  <c r="I239" i="79" s="1" a="1"/>
  <c r="I239" i="79" s="1"/>
  <c r="J182" i="79" a="1"/>
  <c r="J182" i="79" s="1"/>
  <c r="J240" i="79" s="1" a="1"/>
  <c r="J240" i="79" s="1"/>
  <c r="J178" i="79" a="1"/>
  <c r="J178" i="79" s="1"/>
  <c r="J236" i="79" s="1" a="1"/>
  <c r="J236" i="79" s="1"/>
  <c r="G181" i="79" a="1"/>
  <c r="G181" i="79" s="1"/>
  <c r="G239" i="79" s="1" a="1"/>
  <c r="G239" i="79" s="1"/>
  <c r="G177" i="79" a="1"/>
  <c r="G177" i="79" s="1"/>
  <c r="G235" i="79" s="1" a="1"/>
  <c r="G235" i="79" s="1"/>
  <c r="N184" i="79" a="1"/>
  <c r="N184" i="79" s="1"/>
  <c r="N242" i="79" s="1" a="1"/>
  <c r="N242" i="79" s="1"/>
  <c r="N180" i="79" a="1"/>
  <c r="N180" i="79" s="1"/>
  <c r="N238" i="79" s="1" a="1"/>
  <c r="N238" i="79" s="1"/>
  <c r="E128" i="85"/>
  <c r="V161" i="85"/>
  <c r="AC177" i="79" a="1"/>
  <c r="AC177" i="79" s="1"/>
  <c r="AC251" i="79" s="1" a="1"/>
  <c r="AC251" i="79" s="1"/>
  <c r="AC189" i="79" a="1"/>
  <c r="AC189" i="79" s="1"/>
  <c r="AC263" i="79" s="1" a="1"/>
  <c r="AC263" i="79" s="1"/>
  <c r="AD198" i="79" a="1"/>
  <c r="AD198" i="79" s="1"/>
  <c r="AD272" i="79" s="1" a="1"/>
  <c r="AD272" i="79" s="1"/>
  <c r="AD186" i="79" a="1"/>
  <c r="AD186" i="79" s="1"/>
  <c r="AD260" i="79" s="1" a="1"/>
  <c r="AD260" i="79" s="1"/>
  <c r="AE192" i="79" a="1"/>
  <c r="AE192" i="79" s="1"/>
  <c r="AE266" i="79" s="1" a="1"/>
  <c r="AE266" i="79" s="1"/>
  <c r="AE180" i="79" a="1"/>
  <c r="AE180" i="79" s="1"/>
  <c r="AE254" i="79" s="1" a="1"/>
  <c r="AE254" i="79" s="1"/>
  <c r="AH183" i="79" a="1"/>
  <c r="AH183" i="79" s="1"/>
  <c r="AH257" i="79" s="1" a="1"/>
  <c r="AH257" i="79" s="1"/>
  <c r="AH195" i="79" a="1"/>
  <c r="AH195" i="79" s="1"/>
  <c r="AH269" i="79" s="1" a="1"/>
  <c r="AH269" i="79" s="1"/>
  <c r="AA178" i="79" a="1"/>
  <c r="AA178" i="79" s="1"/>
  <c r="AA252" i="79" s="1" a="1"/>
  <c r="AA252" i="79" s="1"/>
  <c r="AA190" i="79" a="1"/>
  <c r="AA190" i="79" s="1"/>
  <c r="AA264" i="79" s="1" a="1"/>
  <c r="AA264" i="79" s="1"/>
  <c r="AF186" i="79" a="1"/>
  <c r="AF186" i="79" s="1"/>
  <c r="AF260" i="79" s="1" a="1"/>
  <c r="AF260" i="79" s="1"/>
  <c r="AF198" i="79" a="1"/>
  <c r="AF198" i="79" s="1"/>
  <c r="AF272" i="79" s="1" a="1"/>
  <c r="AF272" i="79" s="1"/>
  <c r="Z188" i="79" a="1"/>
  <c r="Z188" i="79" s="1"/>
  <c r="Z262" i="79" s="1" a="1"/>
  <c r="Z262" i="79" s="1"/>
  <c r="Z200" i="79" a="1"/>
  <c r="Z200" i="79" s="1"/>
  <c r="Z274" i="79" s="1" a="1"/>
  <c r="Z274" i="79" s="1"/>
  <c r="AH196" i="79" a="1"/>
  <c r="AH196" i="79" s="1"/>
  <c r="AH270" i="79" s="1" a="1"/>
  <c r="AH270" i="79" s="1"/>
  <c r="AH184" i="79" a="1"/>
  <c r="AH184" i="79" s="1"/>
  <c r="AH258" i="79" s="1" a="1"/>
  <c r="AH258" i="79" s="1"/>
  <c r="G178" i="79" a="1"/>
  <c r="G178" i="79" s="1"/>
  <c r="G236" i="79" s="1" a="1"/>
  <c r="G236" i="79" s="1"/>
  <c r="G182" i="79" a="1"/>
  <c r="G182" i="79" s="1"/>
  <c r="G240" i="79" s="1" a="1"/>
  <c r="G240" i="79" s="1"/>
  <c r="AC180" i="79" a="1"/>
  <c r="AC180" i="79" s="1"/>
  <c r="AC254" i="79" s="1" a="1"/>
  <c r="AC254" i="79" s="1"/>
  <c r="AC192" i="79" a="1"/>
  <c r="AC192" i="79" s="1"/>
  <c r="AC266" i="79" s="1" a="1"/>
  <c r="AC266" i="79" s="1"/>
  <c r="G180" i="79" a="1"/>
  <c r="G180" i="79" s="1"/>
  <c r="G238" i="79" s="1" a="1"/>
  <c r="G238" i="79" s="1"/>
  <c r="G184" i="79" a="1"/>
  <c r="G184" i="79" s="1"/>
  <c r="G242" i="79" s="1" a="1"/>
  <c r="G242" i="79" s="1"/>
  <c r="H177" i="79" a="1"/>
  <c r="H177" i="79" s="1"/>
  <c r="H235" i="79" s="1" a="1"/>
  <c r="H235" i="79" s="1"/>
  <c r="H181" i="79" a="1"/>
  <c r="H181" i="79" s="1"/>
  <c r="H239" i="79" s="1" a="1"/>
  <c r="H239" i="79" s="1"/>
  <c r="AD178" i="79" a="1"/>
  <c r="AD178" i="79" s="1"/>
  <c r="AD252" i="79" s="1" a="1"/>
  <c r="AD252" i="79" s="1"/>
  <c r="AD190" i="79" a="1"/>
  <c r="AD190" i="79" s="1"/>
  <c r="AD264" i="79" s="1" a="1"/>
  <c r="AD264" i="79" s="1"/>
  <c r="AB196" i="79" a="1"/>
  <c r="AB196" i="79" s="1"/>
  <c r="AB270" i="79" s="1" a="1"/>
  <c r="AB270" i="79" s="1"/>
  <c r="AB184" i="79" a="1"/>
  <c r="AB184" i="79" s="1"/>
  <c r="AB258" i="79" s="1" a="1"/>
  <c r="AB258" i="79" s="1"/>
  <c r="Y183" i="79" a="1"/>
  <c r="Y183" i="79" s="1"/>
  <c r="Y257" i="79" s="1" a="1"/>
  <c r="Y257" i="79" s="1"/>
  <c r="Y195" i="79" a="1"/>
  <c r="Y195" i="79" s="1"/>
  <c r="Y269" i="79" s="1" a="1"/>
  <c r="Y269" i="79" s="1"/>
  <c r="AE178" i="79" a="1"/>
  <c r="AE178" i="79" s="1"/>
  <c r="AE252" i="79" s="1" a="1"/>
  <c r="AE252" i="79" s="1"/>
  <c r="AE190" i="79" a="1"/>
  <c r="AE190" i="79" s="1"/>
  <c r="AE264" i="79" s="1" a="1"/>
  <c r="AE264" i="79" s="1"/>
  <c r="Z185" i="79" a="1"/>
  <c r="Z185" i="79" s="1"/>
  <c r="Z259" i="79" s="1" a="1"/>
  <c r="Z259" i="79" s="1"/>
  <c r="Z197" i="79" a="1"/>
  <c r="Z197" i="79" s="1"/>
  <c r="Z271" i="79" s="1" a="1"/>
  <c r="Z271" i="79" s="1"/>
  <c r="Y187" i="79" a="1"/>
  <c r="Y187" i="79" s="1"/>
  <c r="Y261" i="79" s="1" a="1"/>
  <c r="Y261" i="79" s="1"/>
  <c r="Y199" i="79" a="1"/>
  <c r="Y199" i="79" s="1"/>
  <c r="Y273" i="79" s="1" a="1"/>
  <c r="Y273" i="79" s="1"/>
  <c r="AE200" i="79" a="1"/>
  <c r="AE200" i="79" s="1"/>
  <c r="AE274" i="79" s="1" a="1"/>
  <c r="AE274" i="79" s="1"/>
  <c r="AE188" i="79" a="1"/>
  <c r="AE188" i="79" s="1"/>
  <c r="AE262" i="79" s="1" a="1"/>
  <c r="AE262" i="79" s="1"/>
  <c r="AE194" i="79" a="1"/>
  <c r="AE194" i="79" s="1"/>
  <c r="AE268" i="79" s="1" a="1"/>
  <c r="AE268" i="79" s="1"/>
  <c r="AE182" i="79" a="1"/>
  <c r="AE182" i="79" s="1"/>
  <c r="AE256" i="79" s="1" a="1"/>
  <c r="AE256" i="79" s="1"/>
  <c r="H184" i="79" a="1"/>
  <c r="H184" i="79" s="1"/>
  <c r="H242" i="79" s="1" a="1"/>
  <c r="H242" i="79" s="1"/>
  <c r="H180" i="79" a="1"/>
  <c r="H180" i="79" s="1"/>
  <c r="H238" i="79" s="1" a="1"/>
  <c r="H238" i="79" s="1"/>
  <c r="J180" i="79" a="1"/>
  <c r="J180" i="79" s="1"/>
  <c r="J238" i="79" s="1" a="1"/>
  <c r="J238" i="79" s="1"/>
  <c r="J184" i="79" a="1"/>
  <c r="J184" i="79" s="1"/>
  <c r="J242" i="79" s="1" a="1"/>
  <c r="J242" i="79" s="1"/>
  <c r="N177" i="79" a="1"/>
  <c r="N177" i="79" s="1"/>
  <c r="N235" i="79" s="1" a="1"/>
  <c r="N235" i="79" s="1"/>
  <c r="N181" i="79" a="1"/>
  <c r="N181" i="79" s="1"/>
  <c r="N239" i="79" s="1" a="1"/>
  <c r="N239" i="79" s="1"/>
  <c r="J183" i="79" a="1"/>
  <c r="J183" i="79" s="1"/>
  <c r="J241" i="79" s="1" a="1"/>
  <c r="J241" i="79" s="1"/>
  <c r="J179" i="79" a="1"/>
  <c r="J179" i="79" s="1"/>
  <c r="J237" i="79" s="1" a="1"/>
  <c r="J237" i="79" s="1"/>
  <c r="O179" i="79" a="1"/>
  <c r="O179" i="79" s="1"/>
  <c r="O237" i="79" s="1" a="1"/>
  <c r="O237" i="79" s="1"/>
  <c r="O183" i="79" a="1"/>
  <c r="O183" i="79" s="1"/>
  <c r="O241" i="79" s="1" a="1"/>
  <c r="O241" i="79" s="1"/>
  <c r="M183" i="79" a="1"/>
  <c r="M183" i="79" s="1"/>
  <c r="M241" i="79" s="1" a="1"/>
  <c r="M241" i="79" s="1"/>
  <c r="M179" i="79" a="1"/>
  <c r="M179" i="79" s="1"/>
  <c r="M237" i="79" s="1" a="1"/>
  <c r="M237" i="79" s="1"/>
  <c r="AD179" i="79" a="1"/>
  <c r="AD179" i="79" s="1"/>
  <c r="AD253" i="79" s="1" a="1"/>
  <c r="AD253" i="79" s="1"/>
  <c r="AD191" i="79" a="1"/>
  <c r="AD191" i="79" s="1"/>
  <c r="AD265" i="79" s="1" a="1"/>
  <c r="AD265" i="79" s="1"/>
  <c r="AC184" i="79" a="1"/>
  <c r="AC184" i="79" s="1"/>
  <c r="AC258" i="79" s="1" a="1"/>
  <c r="AC258" i="79" s="1"/>
  <c r="AC196" i="79" a="1"/>
  <c r="AC196" i="79" s="1"/>
  <c r="AC270" i="79" s="1" a="1"/>
  <c r="AC270" i="79" s="1"/>
  <c r="AH197" i="79" a="1"/>
  <c r="AH197" i="79" s="1"/>
  <c r="AH271" i="79" s="1" a="1"/>
  <c r="AH271" i="79" s="1"/>
  <c r="AH185" i="79" a="1"/>
  <c r="AH185" i="79" s="1"/>
  <c r="AH259" i="79" s="1" a="1"/>
  <c r="AH259" i="79" s="1"/>
  <c r="AH190" i="79" a="1"/>
  <c r="AH190" i="79" s="1"/>
  <c r="AH264" i="79" s="1" a="1"/>
  <c r="AH264" i="79" s="1"/>
  <c r="AH178" i="79" a="1"/>
  <c r="AH178" i="79" s="1"/>
  <c r="AH252" i="79" s="1" a="1"/>
  <c r="AH252" i="79" s="1"/>
  <c r="AA181" i="79" a="1"/>
  <c r="AA181" i="79" s="1"/>
  <c r="AA255" i="79" s="1" a="1"/>
  <c r="AA255" i="79" s="1"/>
  <c r="AA193" i="79" a="1"/>
  <c r="AA193" i="79" s="1"/>
  <c r="AA267" i="79" s="1" a="1"/>
  <c r="AA267" i="79" s="1"/>
  <c r="Z195" i="79" a="1"/>
  <c r="Z195" i="79" s="1"/>
  <c r="Z269" i="79" s="1" a="1"/>
  <c r="Z269" i="79" s="1"/>
  <c r="Z183" i="79" a="1"/>
  <c r="Z183" i="79" s="1"/>
  <c r="Z257" i="79" s="1" a="1"/>
  <c r="Z257" i="79" s="1"/>
  <c r="AF182" i="79" a="1"/>
  <c r="AF182" i="79" s="1"/>
  <c r="AF256" i="79" s="1" a="1"/>
  <c r="AF256" i="79" s="1"/>
  <c r="AF194" i="79" a="1"/>
  <c r="AF194" i="79" s="1"/>
  <c r="AF268" i="79" s="1" a="1"/>
  <c r="AF268" i="79" s="1"/>
  <c r="AF189" i="79" a="1"/>
  <c r="AF189" i="79" s="1"/>
  <c r="AF263" i="79" s="1" a="1"/>
  <c r="AF263" i="79" s="1"/>
  <c r="AF177" i="79" a="1"/>
  <c r="AF177" i="79" s="1"/>
  <c r="AF251" i="79" s="1" a="1"/>
  <c r="AF251" i="79" s="1"/>
  <c r="AC178" i="79" a="1"/>
  <c r="AC178" i="79" s="1"/>
  <c r="AC252" i="79" s="1" a="1"/>
  <c r="AC252" i="79" s="1"/>
  <c r="AC190" i="79" a="1"/>
  <c r="AC190" i="79" s="1"/>
  <c r="AC264" i="79" s="1" a="1"/>
  <c r="AC264" i="79" s="1"/>
  <c r="AD192" i="79" a="1"/>
  <c r="AD192" i="79" s="1"/>
  <c r="AD266" i="79" s="1" a="1"/>
  <c r="AD266" i="79" s="1"/>
  <c r="AD180" i="79" a="1"/>
  <c r="AD180" i="79" s="1"/>
  <c r="AD254" i="79" s="1" a="1"/>
  <c r="AD254" i="79" s="1"/>
  <c r="AF183" i="79" a="1"/>
  <c r="AF183" i="79" s="1"/>
  <c r="AF257" i="79" s="1" a="1"/>
  <c r="AF257" i="79" s="1"/>
  <c r="AF195" i="79" a="1"/>
  <c r="AF195" i="79" s="1"/>
  <c r="AF269" i="79" s="1" a="1"/>
  <c r="AF269" i="79" s="1"/>
  <c r="AH189" i="79" a="1"/>
  <c r="AH189" i="79" s="1"/>
  <c r="AH263" i="79" s="1" a="1"/>
  <c r="AH263" i="79" s="1"/>
  <c r="AH177" i="79" a="1"/>
  <c r="AH177" i="79" s="1"/>
  <c r="AH251" i="79" s="1" a="1"/>
  <c r="AH251" i="79" s="1"/>
  <c r="AG189" i="79" a="1"/>
  <c r="AG189" i="79" s="1"/>
  <c r="AG263" i="79" s="1" a="1"/>
  <c r="AG263" i="79" s="1"/>
  <c r="AG177" i="79" a="1"/>
  <c r="AG177" i="79" s="1"/>
  <c r="AG251" i="79" s="1" a="1"/>
  <c r="AG251" i="79" s="1"/>
  <c r="AG178" i="79" a="1"/>
  <c r="AG178" i="79" s="1"/>
  <c r="AG252" i="79" s="1" a="1"/>
  <c r="AG252" i="79" s="1"/>
  <c r="AG190" i="79" a="1"/>
  <c r="AG190" i="79" s="1"/>
  <c r="AG264" i="79" s="1" a="1"/>
  <c r="AG264" i="79" s="1"/>
  <c r="Y180" i="79" a="1"/>
  <c r="Y180" i="79" s="1"/>
  <c r="Y254" i="79" s="1" a="1"/>
  <c r="Y254" i="79" s="1"/>
  <c r="Y192" i="79" a="1"/>
  <c r="Y192" i="79" s="1"/>
  <c r="Y266" i="79" s="1" a="1"/>
  <c r="Y266" i="79" s="1"/>
  <c r="AA186" i="79" a="1"/>
  <c r="AA186" i="79" s="1"/>
  <c r="AA260" i="79" s="1" a="1"/>
  <c r="AA260" i="79" s="1"/>
  <c r="AA198" i="79" a="1"/>
  <c r="AA198" i="79" s="1"/>
  <c r="AA272" i="79" s="1" a="1"/>
  <c r="AA272" i="79" s="1"/>
  <c r="AC187" i="79" a="1"/>
  <c r="AC187" i="79" s="1"/>
  <c r="AC261" i="79" s="1" a="1"/>
  <c r="AC261" i="79" s="1"/>
  <c r="AC199" i="79" a="1"/>
  <c r="AC199" i="79" s="1"/>
  <c r="AC273" i="79" s="1" a="1"/>
  <c r="AC273" i="79" s="1"/>
  <c r="AD197" i="79" a="1"/>
  <c r="AD197" i="79" s="1"/>
  <c r="AD271" i="79" s="1" a="1"/>
  <c r="AD271" i="79" s="1"/>
  <c r="AD185" i="79" a="1"/>
  <c r="AD185" i="79" s="1"/>
  <c r="AD259" i="79" s="1" a="1"/>
  <c r="AD259" i="79" s="1"/>
  <c r="Y181" i="79" a="1"/>
  <c r="Y181" i="79" s="1"/>
  <c r="Y255" i="79" s="1" a="1"/>
  <c r="Y255" i="79" s="1"/>
  <c r="Y193" i="79" a="1"/>
  <c r="Y193" i="79" s="1"/>
  <c r="Y267" i="79" s="1" a="1"/>
  <c r="Y267" i="79" s="1"/>
  <c r="AE187" i="79" a="1"/>
  <c r="AE187" i="79" s="1"/>
  <c r="AE261" i="79" s="1" a="1"/>
  <c r="AE261" i="79" s="1"/>
  <c r="AE199" i="79" a="1"/>
  <c r="AE199" i="79" s="1"/>
  <c r="AE273" i="79" s="1" a="1"/>
  <c r="AE273" i="79" s="1"/>
  <c r="AE177" i="79" a="1"/>
  <c r="AE177" i="79" s="1"/>
  <c r="AE251" i="79" s="1" a="1"/>
  <c r="AE251" i="79" s="1"/>
  <c r="AE189" i="79" a="1"/>
  <c r="AE189" i="79" s="1"/>
  <c r="AE263" i="79" s="1" a="1"/>
  <c r="AE263" i="79" s="1"/>
  <c r="AF179" i="79" a="1"/>
  <c r="AF179" i="79" s="1"/>
  <c r="AF253" i="79" s="1" a="1"/>
  <c r="AF253" i="79" s="1"/>
  <c r="AF191" i="79" a="1"/>
  <c r="AF191" i="79" s="1"/>
  <c r="AF265" i="79" s="1" a="1"/>
  <c r="AF265" i="79" s="1"/>
  <c r="AA184" i="79" a="1"/>
  <c r="AA184" i="79" s="1"/>
  <c r="AA258" i="79" s="1" a="1"/>
  <c r="AA258" i="79" s="1"/>
  <c r="AA196" i="79" a="1"/>
  <c r="AA196" i="79" s="1"/>
  <c r="AA270" i="79" s="1" a="1"/>
  <c r="AA270" i="79" s="1"/>
  <c r="G42" i="105"/>
  <c r="E45" i="105" s="1" a="1"/>
  <c r="E45" i="105" s="1"/>
  <c r="E18" i="13" a="1"/>
  <c r="E18" i="13" s="1"/>
  <c r="H18" i="13" s="1" a="1"/>
  <c r="H18" i="13" s="1"/>
  <c r="K184" i="79" a="1"/>
  <c r="K184" i="79" s="1"/>
  <c r="K242" i="79" s="1" a="1"/>
  <c r="K242" i="79" s="1"/>
  <c r="K180" i="79" a="1"/>
  <c r="K180" i="79" s="1"/>
  <c r="K238" i="79" s="1" a="1"/>
  <c r="K238" i="79" s="1"/>
  <c r="G183" i="79" a="1"/>
  <c r="G183" i="79" s="1"/>
  <c r="G241" i="79" s="1" a="1"/>
  <c r="G241" i="79" s="1"/>
  <c r="G179" i="79" a="1"/>
  <c r="G179" i="79" s="1"/>
  <c r="G237" i="79" s="1" a="1"/>
  <c r="G237" i="79" s="1"/>
  <c r="AD199" i="79" a="1"/>
  <c r="AD199" i="79" s="1"/>
  <c r="AD273" i="79" s="1" a="1"/>
  <c r="AD273" i="79" s="1"/>
  <c r="AD187" i="79" a="1"/>
  <c r="AD187" i="79" s="1"/>
  <c r="AD261" i="79" s="1" a="1"/>
  <c r="AD261" i="79" s="1"/>
  <c r="AB192" i="79" a="1"/>
  <c r="AB192" i="79" s="1"/>
  <c r="AB266" i="79" s="1" a="1"/>
  <c r="AB266" i="79" s="1"/>
  <c r="AB180" i="79" a="1"/>
  <c r="AB180" i="79" s="1"/>
  <c r="AB254" i="79" s="1" a="1"/>
  <c r="AB254" i="79" s="1"/>
  <c r="AE193" i="79" a="1"/>
  <c r="AE193" i="79" s="1"/>
  <c r="AE267" i="79" s="1" a="1"/>
  <c r="AE267" i="79" s="1"/>
  <c r="AE181" i="79" a="1"/>
  <c r="AE181" i="79" s="1"/>
  <c r="AE255" i="79" s="1" a="1"/>
  <c r="AE255" i="79" s="1"/>
  <c r="AH194" i="79" a="1"/>
  <c r="AH194" i="79" s="1"/>
  <c r="AH268" i="79" s="1" a="1"/>
  <c r="AH268" i="79" s="1"/>
  <c r="AH182" i="79" a="1"/>
  <c r="AH182" i="79" s="1"/>
  <c r="AH256" i="79" s="1" a="1"/>
  <c r="AH256" i="79" s="1"/>
  <c r="Z193" i="79" a="1"/>
  <c r="Z193" i="79" s="1"/>
  <c r="Z267" i="79" s="1" a="1"/>
  <c r="Z267" i="79" s="1"/>
  <c r="Z181" i="79" a="1"/>
  <c r="Z181" i="79" s="1"/>
  <c r="Z255" i="79" s="1" a="1"/>
  <c r="Z255" i="79" s="1"/>
  <c r="Y178" i="79" a="1"/>
  <c r="Y178" i="79" s="1"/>
  <c r="Y252" i="79" s="1" a="1"/>
  <c r="Y252" i="79" s="1"/>
  <c r="Y190" i="79" a="1"/>
  <c r="Y190" i="79" s="1"/>
  <c r="Y264" i="79" s="1" a="1"/>
  <c r="Y264" i="79" s="1"/>
  <c r="AE183" i="79" a="1"/>
  <c r="AE183" i="79" s="1"/>
  <c r="AE257" i="79" s="1" a="1"/>
  <c r="AE257" i="79" s="1"/>
  <c r="AE195" i="79" a="1"/>
  <c r="AE195" i="79" s="1"/>
  <c r="AE269" i="79" s="1" a="1"/>
  <c r="AE269" i="79" s="1"/>
  <c r="Y182" i="79" a="1"/>
  <c r="Y182" i="79" s="1"/>
  <c r="Y256" i="79" s="1" a="1"/>
  <c r="Y256" i="79" s="1"/>
  <c r="Y194" i="79" a="1"/>
  <c r="Y194" i="79" s="1"/>
  <c r="Y268" i="79" s="1" a="1"/>
  <c r="Y268" i="79" s="1"/>
  <c r="AA187" i="79" a="1"/>
  <c r="AA187" i="79" s="1"/>
  <c r="AA261" i="79" s="1" a="1"/>
  <c r="AA261" i="79" s="1"/>
  <c r="AA199" i="79" a="1"/>
  <c r="AA199" i="79" s="1"/>
  <c r="AA273" i="79" s="1" a="1"/>
  <c r="AA273" i="79" s="1"/>
  <c r="O178" i="79" a="1"/>
  <c r="O178" i="79" s="1"/>
  <c r="O236" i="79" s="1" a="1"/>
  <c r="O236" i="79" s="1"/>
  <c r="O182" i="79" a="1"/>
  <c r="O182" i="79" s="1"/>
  <c r="O240" i="79" s="1" a="1"/>
  <c r="O240" i="79" s="1"/>
  <c r="Q42" i="105"/>
  <c r="O45" i="105" s="1" a="1"/>
  <c r="O45" i="105" s="1"/>
  <c r="F18" i="13" a="1"/>
  <c r="F18" i="13" s="1"/>
  <c r="I18" i="13" s="1" a="1"/>
  <c r="I18" i="13" s="1"/>
  <c r="K181" i="79" a="1"/>
  <c r="K181" i="79" s="1"/>
  <c r="K239" i="79" s="1" a="1"/>
  <c r="K239" i="79" s="1"/>
  <c r="K177" i="79" a="1"/>
  <c r="K177" i="79" s="1"/>
  <c r="K235" i="79" s="1" a="1"/>
  <c r="K235" i="79" s="1"/>
  <c r="L178" i="79" a="1"/>
  <c r="L178" i="79" s="1"/>
  <c r="L236" i="79" s="1" a="1"/>
  <c r="L236" i="79" s="1"/>
  <c r="L182" i="79" a="1"/>
  <c r="L182" i="79" s="1"/>
  <c r="L240" i="79" s="1" a="1"/>
  <c r="L240" i="79" s="1"/>
  <c r="F178" i="79" a="1"/>
  <c r="F178" i="79" s="1"/>
  <c r="F236" i="79" s="1" a="1"/>
  <c r="F236" i="79" s="1"/>
  <c r="F182" i="79" a="1"/>
  <c r="F182" i="79" s="1"/>
  <c r="F240" i="79" s="1" a="1"/>
  <c r="F240" i="79" s="1"/>
  <c r="AC193" i="79" a="1"/>
  <c r="AC193" i="79" s="1"/>
  <c r="AC267" i="79" s="1" a="1"/>
  <c r="AC267" i="79" s="1"/>
  <c r="AC181" i="79" a="1"/>
  <c r="AC181" i="79" s="1"/>
  <c r="AC255" i="79" s="1" a="1"/>
  <c r="AC255" i="79" s="1"/>
  <c r="AB188" i="79" a="1"/>
  <c r="AB188" i="79" s="1"/>
  <c r="AB262" i="79" s="1" a="1"/>
  <c r="AB262" i="79" s="1"/>
  <c r="AB200" i="79" a="1"/>
  <c r="AB200" i="79" s="1"/>
  <c r="AB274" i="79" s="1" a="1"/>
  <c r="AB274" i="79" s="1"/>
  <c r="AB183" i="79" a="1"/>
  <c r="AB183" i="79" s="1"/>
  <c r="AB257" i="79" s="1" a="1"/>
  <c r="AB257" i="79" s="1"/>
  <c r="AB195" i="79" a="1"/>
  <c r="AB195" i="79" s="1"/>
  <c r="AB269" i="79" s="1" a="1"/>
  <c r="AB269" i="79" s="1"/>
  <c r="AG198" i="79" a="1"/>
  <c r="AG198" i="79" s="1"/>
  <c r="AG272" i="79" s="1" a="1"/>
  <c r="AG272" i="79" s="1"/>
  <c r="AG186" i="79" a="1"/>
  <c r="AG186" i="79" s="1"/>
  <c r="AG260" i="79" s="1" a="1"/>
  <c r="AG260" i="79" s="1"/>
  <c r="AF188" i="79" a="1"/>
  <c r="AF188" i="79" s="1"/>
  <c r="AF262" i="79" s="1" a="1"/>
  <c r="AF262" i="79" s="1"/>
  <c r="AF200" i="79" a="1"/>
  <c r="AF200" i="79" s="1"/>
  <c r="AF274" i="79" s="1" a="1"/>
  <c r="AF274" i="79" s="1"/>
  <c r="AE191" i="79" a="1"/>
  <c r="AE191" i="79" s="1"/>
  <c r="AE265" i="79" s="1" a="1"/>
  <c r="AE265" i="79" s="1"/>
  <c r="AE179" i="79" a="1"/>
  <c r="AE179" i="79" s="1"/>
  <c r="AE253" i="79" s="1" a="1"/>
  <c r="AE253" i="79" s="1"/>
  <c r="AF187" i="79" a="1"/>
  <c r="AF187" i="79" s="1"/>
  <c r="AF261" i="79" s="1" a="1"/>
  <c r="AF261" i="79" s="1"/>
  <c r="AF199" i="79" a="1"/>
  <c r="AF199" i="79" s="1"/>
  <c r="AF273" i="79" s="1" a="1"/>
  <c r="AF273" i="79" s="1"/>
  <c r="Y179" i="79" a="1"/>
  <c r="Y179" i="79" s="1"/>
  <c r="Y253" i="79" s="1" a="1"/>
  <c r="Y253" i="79" s="1"/>
  <c r="Y191" i="79" a="1"/>
  <c r="Y191" i="79" s="1"/>
  <c r="Y265" i="79" s="1" a="1"/>
  <c r="Y265" i="79" s="1"/>
  <c r="AA179" i="79" a="1"/>
  <c r="AA179" i="79" s="1"/>
  <c r="AA253" i="79" s="1" a="1"/>
  <c r="AA253" i="79" s="1"/>
  <c r="AA191" i="79" a="1"/>
  <c r="AA191" i="79" s="1"/>
  <c r="AA265" i="79" s="1" a="1"/>
  <c r="AA265" i="79" s="1"/>
  <c r="I178" i="79" a="1"/>
  <c r="I178" i="79" s="1"/>
  <c r="I236" i="79" s="1" a="1"/>
  <c r="I236" i="79" s="1"/>
  <c r="I182" i="79" a="1"/>
  <c r="I182" i="79" s="1"/>
  <c r="I240" i="79" s="1" a="1"/>
  <c r="I240" i="79" s="1"/>
  <c r="M177" i="79" a="1"/>
  <c r="M177" i="79" s="1"/>
  <c r="M235" i="79" s="1" a="1"/>
  <c r="M235" i="79" s="1"/>
  <c r="M181" i="79" a="1"/>
  <c r="M181" i="79" s="1"/>
  <c r="M239" i="79" s="1" a="1"/>
  <c r="M239" i="79" s="1"/>
  <c r="N183" i="79" a="1"/>
  <c r="N183" i="79" s="1"/>
  <c r="N241" i="79" s="1" a="1"/>
  <c r="N241" i="79" s="1"/>
  <c r="N179" i="79" a="1"/>
  <c r="N179" i="79" s="1"/>
  <c r="N237" i="79" s="1" a="1"/>
  <c r="N237" i="79" s="1"/>
  <c r="AB177" i="79" a="1"/>
  <c r="AB177" i="79" s="1"/>
  <c r="AB251" i="79" s="1" a="1"/>
  <c r="AB251" i="79" s="1"/>
  <c r="AB189" i="79" a="1"/>
  <c r="AB189" i="79" s="1"/>
  <c r="AB263" i="79" s="1" a="1"/>
  <c r="AB263" i="79" s="1"/>
  <c r="AC198" i="79" a="1"/>
  <c r="AC198" i="79" s="1"/>
  <c r="AC272" i="79" s="1" a="1"/>
  <c r="AC272" i="79" s="1"/>
  <c r="AC186" i="79" a="1"/>
  <c r="AC186" i="79" s="1"/>
  <c r="AC260" i="79" s="1" a="1"/>
  <c r="AC260" i="79" s="1"/>
  <c r="AB194" i="79" a="1"/>
  <c r="AB194" i="79" s="1"/>
  <c r="AB268" i="79" s="1" a="1"/>
  <c r="AB268" i="79" s="1"/>
  <c r="AB182" i="79" a="1"/>
  <c r="AB182" i="79" s="1"/>
  <c r="AB256" i="79" s="1" a="1"/>
  <c r="AB256" i="79" s="1"/>
  <c r="Y185" i="79" a="1"/>
  <c r="Y185" i="79" s="1"/>
  <c r="Y259" i="79" s="1" a="1"/>
  <c r="Y259" i="79" s="1"/>
  <c r="Y197" i="79" a="1"/>
  <c r="Y197" i="79" s="1"/>
  <c r="Y271" i="79" s="1" a="1"/>
  <c r="Y271" i="79" s="1"/>
  <c r="Y186" i="79" a="1"/>
  <c r="Y186" i="79" s="1"/>
  <c r="Y260" i="79" s="1" a="1"/>
  <c r="Y260" i="79" s="1"/>
  <c r="Y198" i="79" a="1"/>
  <c r="Y198" i="79" s="1"/>
  <c r="Y272" i="79" s="1" a="1"/>
  <c r="Y272" i="79" s="1"/>
  <c r="AH179" i="79" a="1"/>
  <c r="AH179" i="79" s="1"/>
  <c r="AH253" i="79" s="1" a="1"/>
  <c r="AH253" i="79" s="1"/>
  <c r="AH191" i="79" a="1"/>
  <c r="AH191" i="79" s="1"/>
  <c r="AH265" i="79" s="1" a="1"/>
  <c r="AH265" i="79" s="1"/>
  <c r="AG195" i="79" a="1"/>
  <c r="AG195" i="79" s="1"/>
  <c r="AG269" i="79" s="1" a="1"/>
  <c r="AG269" i="79" s="1"/>
  <c r="AG183" i="79" a="1"/>
  <c r="AG183" i="79" s="1"/>
  <c r="AG257" i="79" s="1" a="1"/>
  <c r="AG257" i="79" s="1"/>
  <c r="AH199" i="79" a="1"/>
  <c r="AH199" i="79" s="1"/>
  <c r="AH273" i="79" s="1" a="1"/>
  <c r="AH273" i="79" s="1"/>
  <c r="AH187" i="79" a="1"/>
  <c r="AH187" i="79" s="1"/>
  <c r="AH261" i="79" s="1" a="1"/>
  <c r="AH261" i="79" s="1"/>
  <c r="AG180" i="79" a="1"/>
  <c r="AG180" i="79" s="1"/>
  <c r="AG254" i="79" s="1" a="1"/>
  <c r="AG254" i="79" s="1"/>
  <c r="AG192" i="79" a="1"/>
  <c r="AG192" i="79" s="1"/>
  <c r="AG266" i="79" s="1" a="1"/>
  <c r="AG266" i="79" s="1"/>
  <c r="Z191" i="79" a="1"/>
  <c r="Z191" i="79" s="1"/>
  <c r="Z265" i="79" s="1" a="1"/>
  <c r="Z265" i="79" s="1"/>
  <c r="Z179" i="79" a="1"/>
  <c r="Z179" i="79" s="1"/>
  <c r="Z253" i="79" s="1" a="1"/>
  <c r="Z253" i="79" s="1"/>
  <c r="AA182" i="79" a="1"/>
  <c r="AA182" i="79" s="1"/>
  <c r="AA256" i="79" s="1" a="1"/>
  <c r="AA256" i="79" s="1"/>
  <c r="AA194" i="79" a="1"/>
  <c r="AA194" i="79" s="1"/>
  <c r="AA268" i="79" s="1" a="1"/>
  <c r="AA268" i="79" s="1"/>
  <c r="AG185" i="79" a="1"/>
  <c r="AG185" i="79" s="1"/>
  <c r="AG259" i="79" s="1" a="1"/>
  <c r="AG259" i="79" s="1"/>
  <c r="AG197" i="79" a="1"/>
  <c r="AG197" i="79" s="1"/>
  <c r="AG271" i="79" s="1" a="1"/>
  <c r="AG271" i="79" s="1"/>
  <c r="AA180" i="79" a="1"/>
  <c r="AA180" i="79" s="1"/>
  <c r="AA254" i="79" s="1" a="1"/>
  <c r="AA254" i="79" s="1"/>
  <c r="AA192" i="79" a="1"/>
  <c r="AA192" i="79" s="1"/>
  <c r="AA266" i="79" s="1" a="1"/>
  <c r="AA266" i="79" s="1"/>
  <c r="AH180" i="79" a="1"/>
  <c r="AH180" i="79" s="1"/>
  <c r="AH254" i="79" s="1" a="1"/>
  <c r="AH254" i="79" s="1"/>
  <c r="AH192" i="79" a="1"/>
  <c r="AH192" i="79" s="1"/>
  <c r="AH266" i="79" s="1" a="1"/>
  <c r="AH266" i="79" s="1"/>
  <c r="AA197" i="79" a="1"/>
  <c r="AA197" i="79" s="1"/>
  <c r="AA271" i="79" s="1" a="1"/>
  <c r="AA271" i="79" s="1"/>
  <c r="AA185" i="79" a="1"/>
  <c r="AA185" i="79" s="1"/>
  <c r="AA259" i="79" s="1" a="1"/>
  <c r="AA259" i="79" s="1"/>
  <c r="AB178" i="79" a="1"/>
  <c r="AB178" i="79" s="1"/>
  <c r="AB252" i="79" s="1" a="1"/>
  <c r="AB252" i="79" s="1"/>
  <c r="AB190" i="79" a="1"/>
  <c r="AB190" i="79" s="1"/>
  <c r="AB264" i="79" s="1" a="1"/>
  <c r="AB264" i="79" s="1"/>
  <c r="AD184" i="79" a="1"/>
  <c r="AD184" i="79" s="1"/>
  <c r="AD258" i="79" s="1" a="1"/>
  <c r="AD258" i="79" s="1"/>
  <c r="AD196" i="79" a="1"/>
  <c r="AD196" i="79" s="1"/>
  <c r="AD270" i="79" s="1" a="1"/>
  <c r="AD270" i="79" s="1"/>
  <c r="AD194" i="79" a="1"/>
  <c r="AD194" i="79" s="1"/>
  <c r="AD268" i="79" s="1" a="1"/>
  <c r="AD268" i="79" s="1"/>
  <c r="AD182" i="79" a="1"/>
  <c r="AD182" i="79" s="1"/>
  <c r="AD256" i="79" s="1" a="1"/>
  <c r="AD256" i="79" s="1"/>
  <c r="Y188" i="79" a="1"/>
  <c r="Y188" i="79" s="1"/>
  <c r="Y262" i="79" s="1" a="1"/>
  <c r="Y262" i="79" s="1"/>
  <c r="Y200" i="79" a="1"/>
  <c r="Y200" i="79" s="1"/>
  <c r="Y274" i="79" s="1" a="1"/>
  <c r="Y274" i="79" s="1"/>
  <c r="AB179" i="79" a="1"/>
  <c r="AB179" i="79" s="1"/>
  <c r="AB253" i="79" s="1" a="1"/>
  <c r="AB253" i="79" s="1"/>
  <c r="AB191" i="79" a="1"/>
  <c r="AB191" i="79" s="1"/>
  <c r="AB265" i="79" s="1" a="1"/>
  <c r="AB265" i="79" s="1"/>
  <c r="AH193" i="79" a="1"/>
  <c r="AH193" i="79" s="1"/>
  <c r="AH267" i="79" s="1" a="1"/>
  <c r="AH267" i="79" s="1"/>
  <c r="AH181" i="79" a="1"/>
  <c r="AH181" i="79" s="1"/>
  <c r="AH255" i="79" s="1" a="1"/>
  <c r="AH255" i="79" s="1"/>
  <c r="Z194" i="79" a="1"/>
  <c r="Z194" i="79" s="1"/>
  <c r="Z268" i="79" s="1" a="1"/>
  <c r="Z268" i="79" s="1"/>
  <c r="Z182" i="79" a="1"/>
  <c r="Z182" i="79" s="1"/>
  <c r="Z256" i="79" s="1" a="1"/>
  <c r="Z256" i="79" s="1"/>
  <c r="AF180" i="79" a="1"/>
  <c r="AF180" i="79" s="1"/>
  <c r="AF254" i="79" s="1" a="1"/>
  <c r="AF254" i="79" s="1"/>
  <c r="AF192" i="79" a="1"/>
  <c r="AF192" i="79" s="1"/>
  <c r="AF266" i="79" s="1" a="1"/>
  <c r="AF266" i="79" s="1"/>
  <c r="Z198" i="79" a="1"/>
  <c r="Z198" i="79" s="1"/>
  <c r="Z272" i="79" s="1" a="1"/>
  <c r="Z272" i="79" s="1"/>
  <c r="Z186" i="79" a="1"/>
  <c r="Z186" i="79" s="1"/>
  <c r="Z260" i="79" s="1" a="1"/>
  <c r="Z260" i="79" s="1"/>
  <c r="F177" i="79" a="1"/>
  <c r="F177" i="79" s="1"/>
  <c r="F235" i="79" s="1" a="1"/>
  <c r="F235" i="79" s="1"/>
  <c r="F181" i="79" a="1"/>
  <c r="F181" i="79" s="1"/>
  <c r="F239" i="79" s="1" a="1"/>
  <c r="F239" i="79" s="1"/>
  <c r="E25" i="72"/>
  <c r="I183" i="79" a="1"/>
  <c r="I183" i="79" s="1"/>
  <c r="I241" i="79" s="1" a="1"/>
  <c r="I241" i="79" s="1"/>
  <c r="I179" i="79" a="1"/>
  <c r="I179" i="79" s="1"/>
  <c r="I237" i="79" s="1" a="1"/>
  <c r="I237" i="79" s="1"/>
  <c r="L181" i="79" a="1"/>
  <c r="L181" i="79" s="1"/>
  <c r="L239" i="79" s="1" a="1"/>
  <c r="L239" i="79" s="1"/>
  <c r="L177" i="79" a="1"/>
  <c r="L177" i="79" s="1"/>
  <c r="L235" i="79" s="1" a="1"/>
  <c r="L235" i="79" s="1"/>
  <c r="AC188" i="79" a="1"/>
  <c r="AC188" i="79" s="1"/>
  <c r="AC262" i="79" s="1" a="1"/>
  <c r="AC262" i="79" s="1"/>
  <c r="AC200" i="79" a="1"/>
  <c r="AC200" i="79" s="1"/>
  <c r="AC274" i="79" s="1" a="1"/>
  <c r="AC274" i="79" s="1"/>
  <c r="AB185" i="79" a="1"/>
  <c r="AB185" i="79" s="1"/>
  <c r="AB259" i="79" s="1" a="1"/>
  <c r="AB259" i="79" s="1"/>
  <c r="AB197" i="79" a="1"/>
  <c r="AB197" i="79" s="1"/>
  <c r="AB271" i="79" s="1" a="1"/>
  <c r="AB271" i="79" s="1"/>
  <c r="AD195" i="79" a="1"/>
  <c r="AD195" i="79" s="1"/>
  <c r="AD269" i="79" s="1" a="1"/>
  <c r="AD269" i="79" s="1"/>
  <c r="AD183" i="79" a="1"/>
  <c r="AD183" i="79" s="1"/>
  <c r="AD257" i="79" s="1" a="1"/>
  <c r="AD257" i="79" s="1"/>
  <c r="Y189" i="79" a="1"/>
  <c r="Y189" i="79" s="1"/>
  <c r="Y263" i="79" s="1" a="1"/>
  <c r="Y263" i="79" s="1"/>
  <c r="Y177" i="79" a="1"/>
  <c r="Y177" i="79" s="1"/>
  <c r="Y251" i="79" s="1" a="1"/>
  <c r="Y251" i="79" s="1"/>
  <c r="E26" i="72"/>
  <c r="AE197" i="79" a="1"/>
  <c r="AE197" i="79" s="1"/>
  <c r="AE271" i="79" s="1" a="1"/>
  <c r="AE271" i="79" s="1"/>
  <c r="AE185" i="79" a="1"/>
  <c r="AE185" i="79" s="1"/>
  <c r="AE259" i="79" s="1" a="1"/>
  <c r="AE259" i="79" s="1"/>
  <c r="AA189" i="79" a="1"/>
  <c r="AA189" i="79" s="1"/>
  <c r="AA263" i="79" s="1" a="1"/>
  <c r="AA263" i="79" s="1"/>
  <c r="AA177" i="79" a="1"/>
  <c r="AA177" i="79" s="1"/>
  <c r="AA251" i="79" s="1" a="1"/>
  <c r="AA251" i="79" s="1"/>
  <c r="AG191" i="79" a="1"/>
  <c r="AG191" i="79" s="1"/>
  <c r="AG265" i="79" s="1" a="1"/>
  <c r="AG265" i="79" s="1"/>
  <c r="AG179" i="79" a="1"/>
  <c r="AG179" i="79" s="1"/>
  <c r="AG253" i="79" s="1" a="1"/>
  <c r="AG253" i="79" s="1"/>
  <c r="AC182" i="79" a="1"/>
  <c r="AC182" i="79" s="1"/>
  <c r="AC256" i="79" s="1" a="1"/>
  <c r="AC256" i="79" s="1"/>
  <c r="AC194" i="79" a="1"/>
  <c r="AC194" i="79" s="1"/>
  <c r="AC268" i="79" s="1" a="1"/>
  <c r="AC268" i="79" s="1"/>
  <c r="AA195" i="79" a="1"/>
  <c r="AA195" i="79" s="1"/>
  <c r="AA269" i="79" s="1" a="1"/>
  <c r="AA269" i="79" s="1"/>
  <c r="AA183" i="79" a="1"/>
  <c r="AA183" i="79" s="1"/>
  <c r="AA257" i="79" s="1" a="1"/>
  <c r="AA257" i="79" s="1"/>
  <c r="AD181" i="79" a="1"/>
  <c r="AD181" i="79" s="1"/>
  <c r="AD255" i="79" s="1" a="1"/>
  <c r="AD255" i="79" s="1"/>
  <c r="AD193" i="79" a="1"/>
  <c r="AD193" i="79" s="1"/>
  <c r="AD267" i="79" s="1" a="1"/>
  <c r="AD267" i="79" s="1"/>
  <c r="AC185" i="79" a="1"/>
  <c r="AC185" i="79" s="1"/>
  <c r="AC259" i="79" s="1" a="1"/>
  <c r="AC259" i="79" s="1"/>
  <c r="AC197" i="79" a="1"/>
  <c r="AC197" i="79" s="1"/>
  <c r="AC271" i="79" s="1" a="1"/>
  <c r="AC271" i="79" s="1"/>
  <c r="AC195" i="79" a="1"/>
  <c r="AC195" i="79" s="1"/>
  <c r="AC269" i="79" s="1" a="1"/>
  <c r="AC269" i="79" s="1"/>
  <c r="AC183" i="79" a="1"/>
  <c r="AC183" i="79" s="1"/>
  <c r="AC257" i="79" s="1" a="1"/>
  <c r="AC257" i="79" s="1"/>
  <c r="AF185" i="79" a="1"/>
  <c r="AF185" i="79" s="1"/>
  <c r="AF259" i="79" s="1" a="1"/>
  <c r="AF259" i="79" s="1"/>
  <c r="AF197" i="79" a="1"/>
  <c r="AF197" i="79" s="1"/>
  <c r="AF271" i="79" s="1" a="1"/>
  <c r="AF271" i="79" s="1"/>
  <c r="Z177" i="79" a="1"/>
  <c r="Z177" i="79" s="1"/>
  <c r="Z251" i="79" s="1" a="1"/>
  <c r="Z251" i="79" s="1"/>
  <c r="Z189" i="79" a="1"/>
  <c r="Z189" i="79" s="1"/>
  <c r="Z263" i="79" s="1" a="1"/>
  <c r="Z263" i="79" s="1"/>
  <c r="Y196" i="79" a="1"/>
  <c r="Y196" i="79" s="1"/>
  <c r="Y270" i="79" s="1" a="1"/>
  <c r="Y270" i="79" s="1"/>
  <c r="Y184" i="79" a="1"/>
  <c r="Y184" i="79" s="1"/>
  <c r="Y258" i="79" s="1" a="1"/>
  <c r="Y258" i="79" s="1"/>
  <c r="AG196" i="79" a="1"/>
  <c r="AG196" i="79" s="1"/>
  <c r="AG270" i="79" s="1" a="1"/>
  <c r="AG270" i="79" s="1"/>
  <c r="AG184" i="79" a="1"/>
  <c r="AG184" i="79" s="1"/>
  <c r="AG258" i="79" s="1" a="1"/>
  <c r="AG258" i="79" s="1"/>
  <c r="AF196" i="79" a="1"/>
  <c r="AF196" i="79" s="1"/>
  <c r="AF270" i="79" s="1" a="1"/>
  <c r="AF270" i="79" s="1"/>
  <c r="AF184" i="79" a="1"/>
  <c r="AF184" i="79" s="1"/>
  <c r="AF258" i="79" s="1" a="1"/>
  <c r="AF258" i="79" s="1"/>
  <c r="AH200" i="79" a="1"/>
  <c r="AH200" i="79" s="1"/>
  <c r="AH274" i="79" s="1" a="1"/>
  <c r="AH274" i="79" s="1"/>
  <c r="AH188" i="79" a="1"/>
  <c r="AH188" i="79" s="1"/>
  <c r="AH262" i="79" s="1" a="1"/>
  <c r="AH262" i="79" s="1"/>
  <c r="M178" i="79" a="1"/>
  <c r="M178" i="79" s="1"/>
  <c r="M236" i="79" s="1" a="1"/>
  <c r="M236" i="79" s="1"/>
  <c r="M182" i="79" a="1"/>
  <c r="M182" i="79" s="1"/>
  <c r="M240" i="79" s="1" a="1"/>
  <c r="M240" i="79" s="1"/>
  <c r="G52" i="89"/>
  <c r="E55" i="89" s="1" a="1"/>
  <c r="E55" i="89" s="1"/>
  <c r="E14" i="13" a="1"/>
  <c r="E14" i="13" s="1"/>
  <c r="J181" i="79" a="1"/>
  <c r="J181" i="79" s="1"/>
  <c r="J239" i="79" s="1" a="1"/>
  <c r="J239" i="79" s="1"/>
  <c r="J177" i="79" a="1"/>
  <c r="J177" i="79" s="1"/>
  <c r="J235" i="79" s="1" a="1"/>
  <c r="J235" i="79" s="1"/>
  <c r="O177" i="79" a="1"/>
  <c r="O177" i="79" s="1"/>
  <c r="O235" i="79" s="1" a="1"/>
  <c r="O235" i="79" s="1"/>
  <c r="O181" i="79" a="1"/>
  <c r="O181" i="79" s="1"/>
  <c r="O239" i="79" s="1" a="1"/>
  <c r="O239" i="79" s="1"/>
  <c r="H178" i="79" a="1"/>
  <c r="H178" i="79" s="1"/>
  <c r="H236" i="79" s="1" a="1"/>
  <c r="H236" i="79" s="1"/>
  <c r="H182" i="79" a="1"/>
  <c r="H182" i="79" s="1"/>
  <c r="H240" i="79" s="1" a="1"/>
  <c r="H240" i="79" s="1"/>
  <c r="AC191" i="79" a="1"/>
  <c r="AC191" i="79" s="1"/>
  <c r="AC265" i="79" s="1" a="1"/>
  <c r="AC265" i="79" s="1"/>
  <c r="AC179" i="79" a="1"/>
  <c r="AC179" i="79" s="1"/>
  <c r="AC253" i="79" s="1" a="1"/>
  <c r="AC253" i="79" s="1"/>
  <c r="AB199" i="79" a="1"/>
  <c r="AB199" i="79" s="1"/>
  <c r="AB273" i="79" s="1" a="1"/>
  <c r="AB273" i="79" s="1"/>
  <c r="AB187" i="79" a="1"/>
  <c r="AB187" i="79" s="1"/>
  <c r="AB261" i="79" s="1" a="1"/>
  <c r="AB261" i="79" s="1"/>
  <c r="AG200" i="79" a="1"/>
  <c r="AG200" i="79" s="1"/>
  <c r="AG274" i="79" s="1" a="1"/>
  <c r="AG274" i="79" s="1"/>
  <c r="AG188" i="79" a="1"/>
  <c r="AG188" i="79" s="1"/>
  <c r="AG262" i="79" s="1" a="1"/>
  <c r="AG262" i="79" s="1"/>
  <c r="Z196" i="79" a="1"/>
  <c r="Z196" i="79" s="1"/>
  <c r="Z270" i="79" s="1" a="1"/>
  <c r="Z270" i="79" s="1"/>
  <c r="Z184" i="79" a="1"/>
  <c r="Z184" i="79" s="1"/>
  <c r="Z258" i="79" s="1" a="1"/>
  <c r="Z258" i="79" s="1"/>
  <c r="Z199" i="79" a="1"/>
  <c r="Z199" i="79" s="1"/>
  <c r="Z273" i="79" s="1" a="1"/>
  <c r="Z273" i="79" s="1"/>
  <c r="Z187" i="79" a="1"/>
  <c r="Z187" i="79" s="1"/>
  <c r="Z261" i="79" s="1" a="1"/>
  <c r="Z261" i="79" s="1"/>
  <c r="AE186" i="79" a="1"/>
  <c r="AE186" i="79" s="1"/>
  <c r="AE260" i="79" s="1" a="1"/>
  <c r="AE260" i="79" s="1"/>
  <c r="AE198" i="79" a="1"/>
  <c r="AE198" i="79" s="1"/>
  <c r="AE272" i="79" s="1" a="1"/>
  <c r="AE272" i="79" s="1"/>
  <c r="AF193" i="79" a="1"/>
  <c r="AF193" i="79" s="1"/>
  <c r="AF267" i="79" s="1" a="1"/>
  <c r="AF267" i="79" s="1"/>
  <c r="AF181" i="79" a="1"/>
  <c r="AF181" i="79" s="1"/>
  <c r="AF255" i="79" s="1" a="1"/>
  <c r="AF255" i="79" s="1"/>
  <c r="Z190" i="79" a="1"/>
  <c r="Z190" i="79" s="1"/>
  <c r="Z264" i="79" s="1" a="1"/>
  <c r="Z264" i="79" s="1"/>
  <c r="Z178" i="79" a="1"/>
  <c r="Z178" i="79" s="1"/>
  <c r="Z252" i="79" s="1" a="1"/>
  <c r="Z252" i="79" s="1"/>
  <c r="AG199" i="79" a="1"/>
  <c r="AG199" i="79" s="1"/>
  <c r="AG273" i="79" s="1" a="1"/>
  <c r="AG273" i="79" s="1"/>
  <c r="AG187" i="79" a="1"/>
  <c r="AG187" i="79" s="1"/>
  <c r="AG261" i="79" s="1" a="1"/>
  <c r="AG261" i="79" s="1"/>
  <c r="I180" i="79" a="1"/>
  <c r="I180" i="79" s="1"/>
  <c r="I238" i="79" s="1" a="1"/>
  <c r="I238" i="79" s="1"/>
  <c r="I184" i="79" a="1"/>
  <c r="I184" i="79" s="1"/>
  <c r="I242" i="79" s="1" a="1"/>
  <c r="I242" i="79" s="1"/>
  <c r="K182" i="79" a="1"/>
  <c r="K182" i="79" s="1"/>
  <c r="K240" i="79" s="1" a="1"/>
  <c r="K240" i="79" s="1"/>
  <c r="K178" i="79" a="1"/>
  <c r="K178" i="79" s="1"/>
  <c r="K236" i="79" s="1" a="1"/>
  <c r="K236" i="79" s="1"/>
  <c r="AD177" i="79" a="1"/>
  <c r="AD177" i="79" s="1"/>
  <c r="AD251" i="79" s="1" a="1"/>
  <c r="AD251" i="79" s="1"/>
  <c r="AD189" i="79" a="1"/>
  <c r="AD189" i="79" s="1"/>
  <c r="AD263" i="79" s="1" a="1"/>
  <c r="AD263" i="79" s="1"/>
  <c r="K183" i="79" a="1"/>
  <c r="K183" i="79" s="1"/>
  <c r="K241" i="79" s="1" a="1"/>
  <c r="K241" i="79" s="1"/>
  <c r="K179" i="79" a="1"/>
  <c r="K179" i="79" s="1"/>
  <c r="K237" i="79" s="1" a="1"/>
  <c r="K237" i="79" s="1"/>
  <c r="F179" i="79" a="1"/>
  <c r="F179" i="79" s="1"/>
  <c r="F237" i="79" s="1" a="1"/>
  <c r="F237" i="79" s="1"/>
  <c r="F183" i="79" a="1"/>
  <c r="F183" i="79" s="1"/>
  <c r="F241" i="79" s="1" a="1"/>
  <c r="F241" i="79" s="1"/>
  <c r="H183" i="79" a="1"/>
  <c r="H183" i="79" s="1"/>
  <c r="H241" i="79" s="1" a="1"/>
  <c r="H241" i="79" s="1"/>
  <c r="H179" i="79" a="1"/>
  <c r="H179" i="79" s="1"/>
  <c r="H237" i="79" s="1" a="1"/>
  <c r="H237" i="79" s="1"/>
  <c r="F184" i="79" a="1"/>
  <c r="F184" i="79" s="1"/>
  <c r="F242" i="79" s="1" a="1"/>
  <c r="F242" i="79" s="1"/>
  <c r="F180" i="79" a="1"/>
  <c r="F180" i="79" s="1"/>
  <c r="F238" i="79" s="1" a="1"/>
  <c r="F238" i="79" s="1"/>
  <c r="E573" i="112" a="1"/>
  <c r="E573" i="112" s="1"/>
  <c r="G575" i="112" s="1"/>
  <c r="E578" i="112" s="1" a="1"/>
  <c r="E578" i="112" s="1"/>
  <c r="L180" i="79" a="1"/>
  <c r="L180" i="79" s="1"/>
  <c r="L238" i="79" s="1" a="1"/>
  <c r="L238" i="79" s="1"/>
  <c r="L184" i="79" a="1"/>
  <c r="L184" i="79" s="1"/>
  <c r="L242" i="79" s="1" a="1"/>
  <c r="L242" i="79" s="1"/>
  <c r="M180" i="79" a="1"/>
  <c r="M180" i="79" s="1"/>
  <c r="M238" i="79" s="1" a="1"/>
  <c r="M238" i="79" s="1"/>
  <c r="M184" i="79" a="1"/>
  <c r="M184" i="79" s="1"/>
  <c r="M242" i="79" s="1" a="1"/>
  <c r="M242" i="79" s="1"/>
  <c r="AB193" i="79" a="1"/>
  <c r="AB193" i="79" s="1"/>
  <c r="AB267" i="79" s="1" a="1"/>
  <c r="AB267" i="79" s="1"/>
  <c r="AB181" i="79" a="1"/>
  <c r="AB181" i="79" s="1"/>
  <c r="AB255" i="79" s="1" a="1"/>
  <c r="AB255" i="79" s="1"/>
  <c r="AB198" i="79" a="1"/>
  <c r="AB198" i="79" s="1"/>
  <c r="AB272" i="79" s="1" a="1"/>
  <c r="AB272" i="79" s="1"/>
  <c r="AB186" i="79" a="1"/>
  <c r="AB186" i="79" s="1"/>
  <c r="AB260" i="79" s="1" a="1"/>
  <c r="AB260" i="79" s="1"/>
  <c r="AE196" i="79" a="1"/>
  <c r="AE196" i="79" s="1"/>
  <c r="AE270" i="79" s="1" a="1"/>
  <c r="AE270" i="79" s="1"/>
  <c r="AE184" i="79" a="1"/>
  <c r="AE184" i="79" s="1"/>
  <c r="AE258" i="79" s="1" a="1"/>
  <c r="AE258" i="79" s="1"/>
  <c r="Z192" i="79" a="1"/>
  <c r="Z192" i="79" s="1"/>
  <c r="Z266" i="79" s="1" a="1"/>
  <c r="Z266" i="79" s="1"/>
  <c r="Z180" i="79" a="1"/>
  <c r="Z180" i="79" s="1"/>
  <c r="Z254" i="79" s="1" a="1"/>
  <c r="Z254" i="79" s="1"/>
  <c r="AF190" i="79" a="1"/>
  <c r="AF190" i="79" s="1"/>
  <c r="AF264" i="79" s="1" a="1"/>
  <c r="AF264" i="79" s="1"/>
  <c r="AF178" i="79" a="1"/>
  <c r="AF178" i="79" s="1"/>
  <c r="AF252" i="79" s="1" a="1"/>
  <c r="AF252" i="79" s="1"/>
  <c r="AG194" i="79" a="1"/>
  <c r="AG194" i="79" s="1"/>
  <c r="AG268" i="79" s="1" a="1"/>
  <c r="AG268" i="79" s="1"/>
  <c r="AG182" i="79" a="1"/>
  <c r="AG182" i="79" s="1"/>
  <c r="AG256" i="79" s="1" a="1"/>
  <c r="AG256" i="79" s="1"/>
  <c r="AA200" i="79" a="1"/>
  <c r="AA200" i="79" s="1"/>
  <c r="AA274" i="79" s="1" a="1"/>
  <c r="AA274" i="79" s="1"/>
  <c r="AA188" i="79" a="1"/>
  <c r="AA188" i="79" s="1"/>
  <c r="AA262" i="79" s="1" a="1"/>
  <c r="AA262" i="79" s="1"/>
  <c r="AG193" i="79" a="1"/>
  <c r="AG193" i="79" s="1"/>
  <c r="AG267" i="79" s="1" a="1"/>
  <c r="AG267" i="79" s="1"/>
  <c r="AG181" i="79" a="1"/>
  <c r="AG181" i="79" s="1"/>
  <c r="AG255" i="79" s="1" a="1"/>
  <c r="AG255" i="79" s="1"/>
  <c r="AH186" i="79" a="1"/>
  <c r="AH186" i="79" s="1"/>
  <c r="AH260" i="79" s="1" a="1"/>
  <c r="AH260" i="79" s="1"/>
  <c r="AH198" i="79" a="1"/>
  <c r="AH198" i="79" s="1"/>
  <c r="AH272" i="79" s="1" a="1"/>
  <c r="AH272" i="79" s="1"/>
  <c r="E7" i="13" a="1"/>
  <c r="E7" i="13" s="1"/>
  <c r="H7" i="13" s="1" a="1"/>
  <c r="H7" i="13" s="1"/>
  <c r="G130" i="85"/>
  <c r="E133" i="85" s="1" a="1"/>
  <c r="E133" i="85" s="1"/>
  <c r="F66" i="13" l="1"/>
  <c r="F68" i="13"/>
  <c r="F76" i="13" s="1"/>
  <c r="E244" i="79"/>
  <c r="X276" i="79"/>
  <c r="H17" i="13" a="1"/>
  <c r="H17" i="13" s="1"/>
  <c r="F17" i="13"/>
  <c r="I17" i="13" s="1" a="1"/>
  <c r="I17" i="13" s="1"/>
  <c r="F14" i="13"/>
  <c r="I14" i="13" s="1" a="1"/>
  <c r="I14" i="13" s="1"/>
  <c r="H14" i="13" a="1"/>
  <c r="H14" i="13" s="1"/>
  <c r="F16" i="13"/>
  <c r="I16" i="13" s="1" a="1"/>
  <c r="I16" i="13" s="1"/>
  <c r="H16" i="13" a="1"/>
  <c r="H16" i="13" s="1"/>
  <c r="F7" i="13" a="1"/>
  <c r="F7" i="13" s="1"/>
  <c r="I7" i="13" s="1" a="1"/>
  <c r="I7" i="13" s="1"/>
  <c r="X163" i="85"/>
  <c r="V166" i="85" s="1" a="1"/>
  <c r="V166" i="85" s="1"/>
  <c r="F74" i="13" l="1"/>
  <c r="F67" i="13"/>
  <c r="F75" i="13" s="1"/>
  <c r="G64" i="13"/>
  <c r="G65" i="13" s="1"/>
  <c r="G66" i="13"/>
  <c r="G67" i="13" s="1"/>
  <c r="Z58" i="80"/>
  <c r="V63" i="80"/>
  <c r="AC59" i="80"/>
  <c r="AC58" i="80"/>
  <c r="Y60" i="80"/>
  <c r="V57" i="80"/>
  <c r="X67" i="80"/>
  <c r="AC64" i="80"/>
  <c r="Z63" i="80"/>
  <c r="Z57" i="80"/>
  <c r="AE65" i="80"/>
  <c r="Y58" i="80"/>
  <c r="AB58" i="80"/>
  <c r="AA66" i="80"/>
  <c r="AE59" i="80"/>
  <c r="Y56" i="80"/>
  <c r="Z66" i="80"/>
  <c r="AE60" i="80"/>
  <c r="AC67" i="80"/>
  <c r="W58" i="80"/>
  <c r="AB66" i="80"/>
  <c r="AA63" i="80"/>
  <c r="X66" i="80"/>
  <c r="AE63" i="80"/>
  <c r="Z65" i="80"/>
  <c r="AD66" i="80"/>
  <c r="AD64" i="80"/>
  <c r="W56" i="80"/>
  <c r="X63" i="80"/>
  <c r="AB67" i="80"/>
  <c r="AD60" i="80"/>
  <c r="V58" i="80"/>
  <c r="Y61" i="80"/>
  <c r="X62" i="80"/>
  <c r="AA56" i="80"/>
  <c r="Y67" i="80"/>
  <c r="AB64" i="80"/>
  <c r="W61" i="80"/>
  <c r="V66" i="80"/>
  <c r="AE58" i="80"/>
  <c r="X59" i="80"/>
  <c r="AE67" i="80"/>
  <c r="AA61" i="80"/>
  <c r="AC60" i="80"/>
  <c r="AB57" i="80"/>
  <c r="X58" i="80"/>
  <c r="X65" i="80"/>
  <c r="Y66" i="80"/>
  <c r="AE62" i="80"/>
  <c r="AC57" i="80"/>
  <c r="W62" i="80"/>
  <c r="AE64" i="80"/>
  <c r="AB65" i="80"/>
  <c r="V65" i="80"/>
  <c r="X61" i="80"/>
  <c r="X57" i="80"/>
  <c r="V67" i="80"/>
  <c r="AE61" i="80"/>
  <c r="AB63" i="80"/>
  <c r="W60" i="80"/>
  <c r="W64" i="80"/>
  <c r="AD56" i="80"/>
  <c r="AC62" i="80"/>
  <c r="X64" i="80"/>
  <c r="Y65" i="80"/>
  <c r="W65" i="80"/>
  <c r="AA64" i="80"/>
  <c r="AC66" i="80"/>
  <c r="V62" i="80"/>
  <c r="AD61" i="80"/>
  <c r="Z59" i="80"/>
  <c r="Z61" i="80"/>
  <c r="AA62" i="80"/>
  <c r="X56" i="80"/>
  <c r="V60" i="80"/>
  <c r="W63" i="80"/>
  <c r="AC56" i="80"/>
  <c r="H54" i="80"/>
  <c r="G54" i="80"/>
  <c r="J57" i="80"/>
  <c r="N54" i="80"/>
  <c r="I56" i="80"/>
  <c r="I55" i="80"/>
  <c r="L57" i="80"/>
  <c r="E55" i="80"/>
  <c r="E56" i="80"/>
  <c r="E57" i="80"/>
  <c r="M55" i="80"/>
  <c r="F55" i="80"/>
  <c r="H56" i="80"/>
  <c r="M54" i="80"/>
  <c r="N57" i="80"/>
  <c r="N55" i="80"/>
  <c r="L54" i="80"/>
  <c r="I54" i="80"/>
  <c r="M56" i="80"/>
  <c r="H57" i="80"/>
  <c r="F54" i="80"/>
  <c r="L55" i="80"/>
  <c r="J54" i="80"/>
  <c r="J55" i="80"/>
  <c r="G55" i="80"/>
  <c r="L56" i="80"/>
  <c r="N56" i="80"/>
  <c r="I57" i="80"/>
  <c r="F57" i="80"/>
  <c r="H55" i="80"/>
  <c r="M57" i="80"/>
  <c r="K54" i="80"/>
  <c r="K56" i="80"/>
  <c r="F56" i="80"/>
  <c r="AC72" i="80" l="1" a="1"/>
  <c r="AC72" i="80" s="1"/>
  <c r="AC136" i="80" s="1" a="1"/>
  <c r="AC136" i="80" s="1"/>
  <c r="AC196" i="80" s="1" a="1"/>
  <c r="AC196" i="80" s="1"/>
  <c r="AC248" i="80" s="1" a="1"/>
  <c r="AC248" i="80" s="1"/>
  <c r="V81" i="80" a="1"/>
  <c r="V81" i="80" s="1"/>
  <c r="V145" i="80" s="1" a="1"/>
  <c r="V145" i="80" s="1"/>
  <c r="V205" i="80" s="1" a="1"/>
  <c r="V205" i="80" s="1"/>
  <c r="V257" i="80" s="1" a="1"/>
  <c r="V257" i="80" s="1"/>
  <c r="AB73" i="80" a="1"/>
  <c r="AB73" i="80" s="1"/>
  <c r="AB137" i="80" s="1" a="1"/>
  <c r="AB137" i="80" s="1"/>
  <c r="AB197" i="80" s="1" a="1"/>
  <c r="AB197" i="80" s="1"/>
  <c r="AB249" i="80" s="1" a="1"/>
  <c r="AB249" i="80" s="1"/>
  <c r="Y83" i="80" a="1"/>
  <c r="Y83" i="80" s="1"/>
  <c r="Y147" i="80" s="1" a="1"/>
  <c r="Y147" i="80" s="1"/>
  <c r="Y207" i="80" s="1" a="1"/>
  <c r="Y207" i="80" s="1"/>
  <c r="Y259" i="80" s="1" a="1"/>
  <c r="Y259" i="80" s="1"/>
  <c r="I65" i="80" a="1"/>
  <c r="I65" i="80" s="1"/>
  <c r="I130" i="80" s="1" a="1"/>
  <c r="I130" i="80" s="1"/>
  <c r="I172" i="80" s="1" a="1"/>
  <c r="I172" i="80" s="1"/>
  <c r="I210" i="80" s="1" a="1"/>
  <c r="I210" i="80" s="1"/>
  <c r="L62" i="80" a="1"/>
  <c r="L62" i="80" s="1"/>
  <c r="L127" i="80" s="1" a="1"/>
  <c r="L127" i="80" s="1"/>
  <c r="L169" i="80" s="1" a="1"/>
  <c r="L169" i="80" s="1"/>
  <c r="L207" i="80" s="1" a="1"/>
  <c r="L207" i="80" s="1"/>
  <c r="I64" i="80" a="1"/>
  <c r="I64" i="80" s="1"/>
  <c r="I129" i="80" s="1" a="1"/>
  <c r="I129" i="80" s="1"/>
  <c r="I171" i="80" s="1" a="1"/>
  <c r="I171" i="80" s="1"/>
  <c r="I209" i="80" s="1" a="1"/>
  <c r="I209" i="80" s="1"/>
  <c r="AB59" i="80"/>
  <c r="AC82" i="80" a="1"/>
  <c r="AC82" i="80" s="1"/>
  <c r="AC146" i="80" s="1" a="1"/>
  <c r="AC146" i="80" s="1"/>
  <c r="AC206" i="80" s="1" a="1"/>
  <c r="AC206" i="80" s="1"/>
  <c r="AC258" i="80" s="1" a="1"/>
  <c r="AC258" i="80" s="1"/>
  <c r="X60" i="80"/>
  <c r="Z67" i="80"/>
  <c r="AC76" i="80" a="1"/>
  <c r="AC76" i="80" s="1"/>
  <c r="AC140" i="80" s="1" a="1"/>
  <c r="AC140" i="80" s="1"/>
  <c r="AC200" i="80" s="1" a="1"/>
  <c r="AC200" i="80" s="1"/>
  <c r="AC252" i="80" s="1" a="1"/>
  <c r="AC252" i="80" s="1"/>
  <c r="AA72" i="80" a="1"/>
  <c r="AA72" i="80" s="1"/>
  <c r="AA136" i="80" s="1" a="1"/>
  <c r="AA136" i="80" s="1"/>
  <c r="AA196" i="80" s="1" a="1"/>
  <c r="AA196" i="80" s="1"/>
  <c r="AA248" i="80" s="1" a="1"/>
  <c r="AA248" i="80" s="1"/>
  <c r="Z81" i="80" a="1"/>
  <c r="Z81" i="80" s="1"/>
  <c r="Z145" i="80" s="1" a="1"/>
  <c r="Z145" i="80" s="1"/>
  <c r="Z205" i="80" s="1" a="1"/>
  <c r="Z205" i="80" s="1"/>
  <c r="Z257" i="80" s="1" a="1"/>
  <c r="Z257" i="80" s="1"/>
  <c r="AE75" i="80" a="1"/>
  <c r="AE75" i="80" s="1"/>
  <c r="AE139" i="80" s="1" a="1"/>
  <c r="AE139" i="80" s="1"/>
  <c r="AE199" i="80" s="1" a="1"/>
  <c r="AE199" i="80" s="1"/>
  <c r="AE251" i="80" s="1" a="1"/>
  <c r="AE251" i="80" s="1"/>
  <c r="X83" i="80" a="1"/>
  <c r="X83" i="80" s="1"/>
  <c r="X147" i="80" s="1" a="1"/>
  <c r="X147" i="80" s="1"/>
  <c r="X207" i="80" s="1" a="1"/>
  <c r="X207" i="80" s="1"/>
  <c r="X259" i="80" s="1" a="1"/>
  <c r="X259" i="80" s="1"/>
  <c r="AE80" i="80" a="1"/>
  <c r="AE80" i="80" s="1"/>
  <c r="AE144" i="80" s="1" a="1"/>
  <c r="AE144" i="80" s="1"/>
  <c r="AE204" i="80" s="1" a="1"/>
  <c r="AE204" i="80" s="1"/>
  <c r="AE256" i="80" s="1" a="1"/>
  <c r="AE256" i="80" s="1"/>
  <c r="M65" i="80" a="1"/>
  <c r="M65" i="80" s="1"/>
  <c r="M130" i="80" s="1" a="1"/>
  <c r="M130" i="80" s="1"/>
  <c r="M172" i="80" s="1" a="1"/>
  <c r="M172" i="80" s="1"/>
  <c r="M210" i="80" s="1" a="1"/>
  <c r="M210" i="80" s="1"/>
  <c r="E63" i="80" a="1"/>
  <c r="E63" i="80" s="1"/>
  <c r="E128" i="80" s="1" a="1"/>
  <c r="E128" i="80" s="1"/>
  <c r="E170" i="80" s="1" a="1"/>
  <c r="E170" i="80" s="1"/>
  <c r="E208" i="80" s="1" a="1"/>
  <c r="E208" i="80" s="1"/>
  <c r="Z60" i="80"/>
  <c r="L65" i="80" a="1"/>
  <c r="L65" i="80" s="1"/>
  <c r="L130" i="80" s="1" a="1"/>
  <c r="L130" i="80" s="1"/>
  <c r="L172" i="80" s="1" a="1"/>
  <c r="L172" i="80" s="1"/>
  <c r="L210" i="80" s="1" a="1"/>
  <c r="L210" i="80" s="1"/>
  <c r="AD77" i="80" a="1"/>
  <c r="AD77" i="80" s="1"/>
  <c r="AD141" i="80" s="1" a="1"/>
  <c r="AD141" i="80" s="1"/>
  <c r="AD201" i="80" s="1" a="1"/>
  <c r="AD201" i="80" s="1"/>
  <c r="AD253" i="80" s="1" a="1"/>
  <c r="AD253" i="80" s="1"/>
  <c r="V56" i="80"/>
  <c r="N64" i="80" a="1"/>
  <c r="N64" i="80" s="1"/>
  <c r="N129" i="80" s="1" a="1"/>
  <c r="N129" i="80" s="1"/>
  <c r="N171" i="80" s="1" a="1"/>
  <c r="N171" i="80" s="1"/>
  <c r="N209" i="80" s="1" a="1"/>
  <c r="N209" i="80" s="1"/>
  <c r="N63" i="80" a="1"/>
  <c r="N63" i="80" s="1"/>
  <c r="N128" i="80" s="1" a="1"/>
  <c r="N128" i="80" s="1"/>
  <c r="N170" i="80" s="1" a="1"/>
  <c r="N170" i="80" s="1"/>
  <c r="N208" i="80" s="1" a="1"/>
  <c r="N208" i="80" s="1"/>
  <c r="N62" i="80" a="1"/>
  <c r="N62" i="80" s="1"/>
  <c r="N127" i="80" s="1" a="1"/>
  <c r="N127" i="80" s="1"/>
  <c r="N169" i="80" s="1" a="1"/>
  <c r="N169" i="80" s="1"/>
  <c r="N207" i="80" s="1" a="1"/>
  <c r="N207" i="80" s="1"/>
  <c r="W57" i="80"/>
  <c r="AA80" i="80" a="1"/>
  <c r="AA80" i="80" s="1"/>
  <c r="AA144" i="80" s="1" a="1"/>
  <c r="AA144" i="80" s="1"/>
  <c r="AA204" i="80" s="1" a="1"/>
  <c r="AA204" i="80" s="1"/>
  <c r="AA256" i="80" s="1" a="1"/>
  <c r="AA256" i="80" s="1"/>
  <c r="V61" i="80"/>
  <c r="AA57" i="80"/>
  <c r="AD63" i="80"/>
  <c r="X78" i="80" a="1"/>
  <c r="X78" i="80" s="1"/>
  <c r="X142" i="80" s="1" a="1"/>
  <c r="X142" i="80" s="1"/>
  <c r="X202" i="80" s="1" a="1"/>
  <c r="X202" i="80" s="1"/>
  <c r="X254" i="80" s="1" a="1"/>
  <c r="X254" i="80" s="1"/>
  <c r="Y62" i="80"/>
  <c r="AA82" i="80" a="1"/>
  <c r="AA82" i="80" s="1"/>
  <c r="AA146" i="80" s="1" a="1"/>
  <c r="AA146" i="80" s="1"/>
  <c r="AA206" i="80" s="1" a="1"/>
  <c r="AA206" i="80" s="1"/>
  <c r="AA258" i="80" s="1" a="1"/>
  <c r="AA258" i="80" s="1"/>
  <c r="AA60" i="80"/>
  <c r="H64" i="80" a="1"/>
  <c r="H64" i="80" s="1"/>
  <c r="H129" i="80" s="1" a="1"/>
  <c r="H129" i="80" s="1"/>
  <c r="H171" i="80" s="1" a="1"/>
  <c r="H171" i="80" s="1"/>
  <c r="H209" i="80" s="1" a="1"/>
  <c r="H209" i="80" s="1"/>
  <c r="X72" i="80" a="1"/>
  <c r="X72" i="80" s="1"/>
  <c r="X136" i="80" s="1" a="1"/>
  <c r="X136" i="80" s="1"/>
  <c r="X196" i="80" s="1" a="1"/>
  <c r="X196" i="80" s="1"/>
  <c r="X248" i="80" s="1" a="1"/>
  <c r="X248" i="80" s="1"/>
  <c r="W78" i="80" a="1"/>
  <c r="W78" i="80" s="1"/>
  <c r="W142" i="80" s="1" a="1"/>
  <c r="W142" i="80" s="1"/>
  <c r="W202" i="80" s="1" a="1"/>
  <c r="W202" i="80" s="1"/>
  <c r="W254" i="80" s="1" a="1"/>
  <c r="W254" i="80" s="1"/>
  <c r="AB62" i="80"/>
  <c r="V74" i="80" a="1"/>
  <c r="V74" i="80" s="1"/>
  <c r="V138" i="80" s="1" a="1"/>
  <c r="V138" i="80" s="1"/>
  <c r="V198" i="80" s="1" a="1"/>
  <c r="V198" i="80" s="1"/>
  <c r="V250" i="80" s="1" a="1"/>
  <c r="V250" i="80" s="1"/>
  <c r="X82" i="80" a="1"/>
  <c r="X82" i="80" s="1"/>
  <c r="X146" i="80" s="1" a="1"/>
  <c r="X146" i="80" s="1"/>
  <c r="X206" i="80" s="1" a="1"/>
  <c r="X206" i="80" s="1"/>
  <c r="X258" i="80" s="1" a="1"/>
  <c r="X258" i="80" s="1"/>
  <c r="Y74" i="80" a="1"/>
  <c r="Y74" i="80" s="1"/>
  <c r="Y138" i="80" s="1" a="1"/>
  <c r="Y138" i="80" s="1"/>
  <c r="Y198" i="80" s="1" a="1"/>
  <c r="Y198" i="80" s="1"/>
  <c r="Y250" i="80" s="1" a="1"/>
  <c r="Y250" i="80" s="1"/>
  <c r="Y76" i="80" a="1"/>
  <c r="Y76" i="80" s="1"/>
  <c r="Y140" i="80" s="1" a="1"/>
  <c r="Y140" i="80" s="1"/>
  <c r="Y200" i="80" s="1" a="1"/>
  <c r="Y200" i="80" s="1"/>
  <c r="Y252" i="80" s="1" a="1"/>
  <c r="Y252" i="80" s="1"/>
  <c r="E54" i="80"/>
  <c r="K55" i="80"/>
  <c r="F63" i="80" a="1"/>
  <c r="F63" i="80" s="1"/>
  <c r="F128" i="80" s="1" a="1"/>
  <c r="F128" i="80" s="1"/>
  <c r="F170" i="80" s="1" a="1"/>
  <c r="F170" i="80" s="1"/>
  <c r="F208" i="80" s="1" a="1"/>
  <c r="F208" i="80" s="1"/>
  <c r="AE57" i="80"/>
  <c r="AB60" i="80"/>
  <c r="AB79" i="80" a="1"/>
  <c r="AB79" i="80" s="1"/>
  <c r="AB143" i="80" s="1" a="1"/>
  <c r="AB143" i="80" s="1"/>
  <c r="AB203" i="80" s="1" a="1"/>
  <c r="AB203" i="80" s="1"/>
  <c r="AB255" i="80" s="1" a="1"/>
  <c r="AB255" i="80" s="1"/>
  <c r="AC73" i="80" a="1"/>
  <c r="AC73" i="80" s="1"/>
  <c r="AC137" i="80" s="1" a="1"/>
  <c r="AC137" i="80" s="1"/>
  <c r="AC197" i="80" s="1" a="1"/>
  <c r="AC197" i="80" s="1"/>
  <c r="AC249" i="80" s="1" a="1"/>
  <c r="AC249" i="80" s="1"/>
  <c r="AE83" i="80" a="1"/>
  <c r="AE83" i="80" s="1"/>
  <c r="AE147" i="80" s="1" a="1"/>
  <c r="AE147" i="80" s="1"/>
  <c r="AE207" i="80" s="1" a="1"/>
  <c r="AE207" i="80" s="1"/>
  <c r="AE259" i="80" s="1" a="1"/>
  <c r="AE259" i="80" s="1"/>
  <c r="AD76" i="80" a="1"/>
  <c r="AD76" i="80" s="1"/>
  <c r="AD140" i="80" s="1" a="1"/>
  <c r="AD140" i="80" s="1"/>
  <c r="AD200" i="80" s="1" a="1"/>
  <c r="AD200" i="80" s="1"/>
  <c r="AD252" i="80" s="1" a="1"/>
  <c r="AD252" i="80" s="1"/>
  <c r="AA79" i="80" a="1"/>
  <c r="AA79" i="80" s="1"/>
  <c r="AA143" i="80" s="1" a="1"/>
  <c r="AA143" i="80" s="1"/>
  <c r="AA203" i="80" s="1" a="1"/>
  <c r="AA203" i="80" s="1"/>
  <c r="AA255" i="80" s="1" a="1"/>
  <c r="AA255" i="80" s="1"/>
  <c r="W80" i="80" a="1"/>
  <c r="W80" i="80" s="1"/>
  <c r="W144" i="80" s="1" a="1"/>
  <c r="W144" i="80" s="1"/>
  <c r="W204" i="80" s="1" a="1"/>
  <c r="W204" i="80" s="1"/>
  <c r="W256" i="80" s="1" a="1"/>
  <c r="W256" i="80" s="1"/>
  <c r="AA77" i="80" a="1"/>
  <c r="AA77" i="80" s="1"/>
  <c r="AA141" i="80" s="1" a="1"/>
  <c r="AA141" i="80" s="1"/>
  <c r="AA201" i="80" s="1" a="1"/>
  <c r="AA201" i="80" s="1"/>
  <c r="AA253" i="80" s="1" a="1"/>
  <c r="AA253" i="80" s="1"/>
  <c r="J62" i="80" a="1"/>
  <c r="J62" i="80" s="1"/>
  <c r="J127" i="80" s="1" a="1"/>
  <c r="J127" i="80" s="1"/>
  <c r="J169" i="80" s="1" a="1"/>
  <c r="J169" i="80" s="1"/>
  <c r="J207" i="80" s="1" a="1"/>
  <c r="J207" i="80" s="1"/>
  <c r="AA78" i="80" a="1"/>
  <c r="AA78" i="80" s="1"/>
  <c r="AA142" i="80" s="1" a="1"/>
  <c r="AA142" i="80" s="1"/>
  <c r="AA202" i="80" s="1" a="1"/>
  <c r="AA202" i="80" s="1"/>
  <c r="AA254" i="80" s="1" a="1"/>
  <c r="AA254" i="80" s="1"/>
  <c r="X80" i="80" a="1"/>
  <c r="X80" i="80" s="1"/>
  <c r="X144" i="80" s="1" a="1"/>
  <c r="X144" i="80" s="1"/>
  <c r="X204" i="80" s="1" a="1"/>
  <c r="X204" i="80" s="1"/>
  <c r="X256" i="80" s="1" a="1"/>
  <c r="X256" i="80" s="1"/>
  <c r="AE77" i="80" a="1"/>
  <c r="AE77" i="80" s="1"/>
  <c r="AE141" i="80" s="1" a="1"/>
  <c r="AE141" i="80" s="1"/>
  <c r="AE201" i="80" s="1" a="1"/>
  <c r="AE201" i="80" s="1"/>
  <c r="AE253" i="80" s="1" a="1"/>
  <c r="AE253" i="80" s="1"/>
  <c r="AE78" i="80" a="1"/>
  <c r="AE78" i="80" s="1"/>
  <c r="AE142" i="80" s="1" a="1"/>
  <c r="AE142" i="80" s="1"/>
  <c r="AE202" i="80" s="1" a="1"/>
  <c r="AE202" i="80" s="1"/>
  <c r="AE254" i="80" s="1" a="1"/>
  <c r="AE254" i="80" s="1"/>
  <c r="X75" i="80" a="1"/>
  <c r="X75" i="80" s="1"/>
  <c r="X139" i="80" s="1" a="1"/>
  <c r="X139" i="80" s="1"/>
  <c r="X199" i="80" s="1" a="1"/>
  <c r="X199" i="80" s="1"/>
  <c r="X251" i="80" s="1" a="1"/>
  <c r="X251" i="80" s="1"/>
  <c r="AD58" i="80"/>
  <c r="Y57" i="80"/>
  <c r="AE81" i="80" a="1"/>
  <c r="AE81" i="80" s="1"/>
  <c r="AE145" i="80" s="1" a="1"/>
  <c r="AE145" i="80" s="1"/>
  <c r="AE205" i="80" s="1" a="1"/>
  <c r="AE205" i="80" s="1"/>
  <c r="AE257" i="80" s="1" a="1"/>
  <c r="AE257" i="80" s="1"/>
  <c r="AC74" i="80" a="1"/>
  <c r="AC74" i="80" s="1"/>
  <c r="AC138" i="80" s="1" a="1"/>
  <c r="AC138" i="80" s="1"/>
  <c r="AC198" i="80" s="1" a="1"/>
  <c r="AC198" i="80" s="1"/>
  <c r="AC250" i="80" s="1" a="1"/>
  <c r="AC250" i="80" s="1"/>
  <c r="W76" i="80" a="1"/>
  <c r="W76" i="80" s="1"/>
  <c r="W140" i="80" s="1" a="1"/>
  <c r="W140" i="80" s="1"/>
  <c r="W200" i="80" s="1" a="1"/>
  <c r="W200" i="80" s="1"/>
  <c r="W252" i="80" s="1" a="1"/>
  <c r="W252" i="80" s="1"/>
  <c r="AB74" i="80" a="1"/>
  <c r="AB74" i="80" s="1"/>
  <c r="AB138" i="80" s="1" a="1"/>
  <c r="AB138" i="80" s="1"/>
  <c r="AB198" i="80" s="1" a="1"/>
  <c r="AB198" i="80" s="1"/>
  <c r="AB250" i="80" s="1" a="1"/>
  <c r="AB250" i="80" s="1"/>
  <c r="J63" i="80" a="1"/>
  <c r="J63" i="80" s="1"/>
  <c r="J128" i="80" s="1" a="1"/>
  <c r="J128" i="80" s="1"/>
  <c r="J170" i="80" s="1" a="1"/>
  <c r="J170" i="80" s="1"/>
  <c r="J208" i="80" s="1" a="1"/>
  <c r="J208" i="80" s="1"/>
  <c r="J65" i="80" a="1"/>
  <c r="J65" i="80" s="1"/>
  <c r="J130" i="80" s="1" a="1"/>
  <c r="J130" i="80" s="1"/>
  <c r="J172" i="80" s="1" a="1"/>
  <c r="J172" i="80" s="1"/>
  <c r="J210" i="80" s="1" a="1"/>
  <c r="J210" i="80" s="1"/>
  <c r="V64" i="80"/>
  <c r="M63" i="80" a="1"/>
  <c r="M63" i="80" s="1"/>
  <c r="M128" i="80" s="1" a="1"/>
  <c r="M128" i="80" s="1"/>
  <c r="M170" i="80" s="1" a="1"/>
  <c r="M170" i="80" s="1"/>
  <c r="M208" i="80" s="1" a="1"/>
  <c r="M208" i="80" s="1"/>
  <c r="G56" i="80"/>
  <c r="L63" i="80" a="1"/>
  <c r="L63" i="80" s="1"/>
  <c r="L128" i="80" s="1" a="1"/>
  <c r="L128" i="80" s="1"/>
  <c r="L170" i="80" s="1" a="1"/>
  <c r="L170" i="80" s="1"/>
  <c r="L208" i="80" s="1" a="1"/>
  <c r="L208" i="80" s="1"/>
  <c r="K57" i="80"/>
  <c r="H62" i="80" a="1"/>
  <c r="H62" i="80" s="1"/>
  <c r="H127" i="80" s="1" a="1"/>
  <c r="H127" i="80" s="1"/>
  <c r="H169" i="80" s="1" a="1"/>
  <c r="H169" i="80" s="1"/>
  <c r="H207" i="80" s="1" a="1"/>
  <c r="H207" i="80" s="1"/>
  <c r="Z77" i="80" a="1"/>
  <c r="Z77" i="80" s="1"/>
  <c r="Z141" i="80" s="1" a="1"/>
  <c r="Z141" i="80" s="1"/>
  <c r="Z201" i="80" s="1" a="1"/>
  <c r="Z201" i="80" s="1"/>
  <c r="Z253" i="80" s="1" a="1"/>
  <c r="Z253" i="80" s="1"/>
  <c r="AB56" i="80"/>
  <c r="V83" i="80" a="1"/>
  <c r="V83" i="80" s="1"/>
  <c r="V147" i="80" s="1" a="1"/>
  <c r="V147" i="80" s="1"/>
  <c r="V207" i="80" s="1" a="1"/>
  <c r="V207" i="80" s="1"/>
  <c r="V259" i="80" s="1" a="1"/>
  <c r="V259" i="80" s="1"/>
  <c r="Y82" i="80" a="1"/>
  <c r="Y82" i="80" s="1"/>
  <c r="Y146" i="80" s="1" a="1"/>
  <c r="Y146" i="80" s="1"/>
  <c r="Y206" i="80" s="1" a="1"/>
  <c r="Y206" i="80" s="1"/>
  <c r="Y258" i="80" s="1" a="1"/>
  <c r="Y258" i="80" s="1"/>
  <c r="AE74" i="80" a="1"/>
  <c r="AE74" i="80" s="1"/>
  <c r="AE138" i="80" s="1" a="1"/>
  <c r="AE138" i="80" s="1"/>
  <c r="AE198" i="80" s="1" a="1"/>
  <c r="AE198" i="80" s="1"/>
  <c r="AE250" i="80" s="1" a="1"/>
  <c r="AE250" i="80" s="1"/>
  <c r="AB83" i="80" a="1"/>
  <c r="AB83" i="80" s="1"/>
  <c r="AB147" i="80" s="1" a="1"/>
  <c r="AB147" i="80" s="1"/>
  <c r="AB207" i="80" s="1" a="1"/>
  <c r="AB207" i="80" s="1"/>
  <c r="AB259" i="80" s="1" a="1"/>
  <c r="AB259" i="80" s="1"/>
  <c r="AB82" i="80" a="1"/>
  <c r="AB82" i="80" s="1"/>
  <c r="AB146" i="80" s="1" a="1"/>
  <c r="AB146" i="80" s="1"/>
  <c r="AB206" i="80" s="1" a="1"/>
  <c r="AB206" i="80" s="1"/>
  <c r="AB258" i="80" s="1" a="1"/>
  <c r="AB258" i="80" s="1"/>
  <c r="N65" i="80" a="1"/>
  <c r="N65" i="80" s="1"/>
  <c r="N130" i="80" s="1" a="1"/>
  <c r="N130" i="80" s="1"/>
  <c r="N172" i="80" s="1" a="1"/>
  <c r="N172" i="80" s="1"/>
  <c r="N210" i="80" s="1" a="1"/>
  <c r="N210" i="80" s="1"/>
  <c r="AB61" i="80"/>
  <c r="G63" i="80" a="1"/>
  <c r="G63" i="80" s="1"/>
  <c r="G128" i="80" s="1" a="1"/>
  <c r="G128" i="80" s="1"/>
  <c r="G170" i="80" s="1" a="1"/>
  <c r="G170" i="80" s="1"/>
  <c r="G208" i="80" s="1" a="1"/>
  <c r="G208" i="80" s="1"/>
  <c r="AC61" i="80"/>
  <c r="Y81" i="80" a="1"/>
  <c r="Y81" i="80" s="1"/>
  <c r="Y145" i="80" s="1" a="1"/>
  <c r="Y145" i="80" s="1"/>
  <c r="Y205" i="80" s="1" a="1"/>
  <c r="Y205" i="80" s="1"/>
  <c r="Y257" i="80" s="1" a="1"/>
  <c r="Y257" i="80" s="1"/>
  <c r="G62" i="80" a="1"/>
  <c r="G62" i="80" s="1"/>
  <c r="G127" i="80" s="1" a="1"/>
  <c r="G127" i="80" s="1"/>
  <c r="G169" i="80" s="1" a="1"/>
  <c r="G169" i="80" s="1"/>
  <c r="G207" i="80" s="1" a="1"/>
  <c r="G207" i="80" s="1"/>
  <c r="F64" i="80" a="1"/>
  <c r="F64" i="80" s="1"/>
  <c r="F129" i="80" s="1" a="1"/>
  <c r="F129" i="80" s="1"/>
  <c r="F171" i="80" s="1" a="1"/>
  <c r="F171" i="80" s="1"/>
  <c r="F209" i="80" s="1" a="1"/>
  <c r="F209" i="80" s="1"/>
  <c r="E65" i="80" a="1"/>
  <c r="E65" i="80" s="1"/>
  <c r="E130" i="80" s="1" a="1"/>
  <c r="E130" i="80" s="1"/>
  <c r="E172" i="80" s="1" a="1"/>
  <c r="E172" i="80" s="1"/>
  <c r="E210" i="80" s="1" a="1"/>
  <c r="E210" i="80" s="1"/>
  <c r="AC65" i="80"/>
  <c r="AD59" i="80"/>
  <c r="X73" i="80" a="1"/>
  <c r="X73" i="80" s="1"/>
  <c r="X137" i="80" s="1" a="1"/>
  <c r="X137" i="80" s="1"/>
  <c r="X197" i="80" s="1" a="1"/>
  <c r="X197" i="80" s="1"/>
  <c r="X249" i="80" s="1" a="1"/>
  <c r="X249" i="80" s="1"/>
  <c r="X81" i="80" a="1"/>
  <c r="X81" i="80" s="1"/>
  <c r="X145" i="80" s="1" a="1"/>
  <c r="X145" i="80" s="1"/>
  <c r="X205" i="80" s="1" a="1"/>
  <c r="X205" i="80" s="1"/>
  <c r="X257" i="80" s="1" a="1"/>
  <c r="X257" i="80" s="1"/>
  <c r="Y64" i="80"/>
  <c r="Y59" i="80"/>
  <c r="W74" i="80" a="1"/>
  <c r="W74" i="80" s="1"/>
  <c r="W138" i="80" s="1" a="1"/>
  <c r="W138" i="80" s="1"/>
  <c r="W198" i="80" s="1" a="1"/>
  <c r="W198" i="80" s="1"/>
  <c r="W250" i="80" s="1" a="1"/>
  <c r="W250" i="80" s="1"/>
  <c r="Z73" i="80" a="1"/>
  <c r="Z73" i="80" s="1"/>
  <c r="Z137" i="80" s="1" a="1"/>
  <c r="Z137" i="80" s="1"/>
  <c r="Z197" i="80" s="1" a="1"/>
  <c r="Z197" i="80" s="1"/>
  <c r="Z249" i="80" s="1" a="1"/>
  <c r="Z249" i="80" s="1"/>
  <c r="AC75" i="80" a="1"/>
  <c r="AC75" i="80" s="1"/>
  <c r="AC139" i="80" s="1" a="1"/>
  <c r="AC139" i="80" s="1"/>
  <c r="AC199" i="80" s="1" a="1"/>
  <c r="AC199" i="80" s="1"/>
  <c r="AC251" i="80" s="1" a="1"/>
  <c r="AC251" i="80" s="1"/>
  <c r="W66" i="80"/>
  <c r="AE79" i="80" a="1"/>
  <c r="AE79" i="80" s="1"/>
  <c r="AE143" i="80" s="1" a="1"/>
  <c r="AE143" i="80" s="1"/>
  <c r="AE203" i="80" s="1" a="1"/>
  <c r="AE203" i="80" s="1"/>
  <c r="AE255" i="80" s="1" a="1"/>
  <c r="AE255" i="80" s="1"/>
  <c r="V73" i="80" a="1"/>
  <c r="V73" i="80" s="1"/>
  <c r="V137" i="80" s="1" a="1"/>
  <c r="V137" i="80" s="1"/>
  <c r="V197" i="80" s="1" a="1"/>
  <c r="V197" i="80" s="1"/>
  <c r="V249" i="80" s="1" a="1"/>
  <c r="V249" i="80" s="1"/>
  <c r="M62" i="80" a="1"/>
  <c r="M62" i="80" s="1"/>
  <c r="M127" i="80" s="1" a="1"/>
  <c r="M127" i="80" s="1"/>
  <c r="M169" i="80" s="1" a="1"/>
  <c r="M169" i="80" s="1"/>
  <c r="M207" i="80" s="1" a="1"/>
  <c r="M207" i="80" s="1"/>
  <c r="V76" i="80" a="1"/>
  <c r="V76" i="80" s="1"/>
  <c r="V140" i="80" s="1" a="1"/>
  <c r="V140" i="80" s="1"/>
  <c r="V200" i="80" s="1" a="1"/>
  <c r="V200" i="80" s="1"/>
  <c r="V252" i="80" s="1" a="1"/>
  <c r="V252" i="80" s="1"/>
  <c r="AE56" i="80"/>
  <c r="K64" i="80" a="1"/>
  <c r="K64" i="80" s="1"/>
  <c r="K129" i="80" s="1" a="1"/>
  <c r="K129" i="80" s="1"/>
  <c r="K171" i="80" s="1" a="1"/>
  <c r="K171" i="80" s="1"/>
  <c r="K209" i="80" s="1" a="1"/>
  <c r="K209" i="80" s="1"/>
  <c r="E64" i="80" a="1"/>
  <c r="E64" i="80" s="1"/>
  <c r="E129" i="80" s="1" a="1"/>
  <c r="E129" i="80" s="1"/>
  <c r="E171" i="80" s="1" a="1"/>
  <c r="E171" i="80" s="1"/>
  <c r="E209" i="80" s="1" a="1"/>
  <c r="E209" i="80" s="1"/>
  <c r="V59" i="80"/>
  <c r="Z75" i="80" a="1"/>
  <c r="Z75" i="80" s="1"/>
  <c r="Z139" i="80" s="1" a="1"/>
  <c r="Z139" i="80" s="1"/>
  <c r="Z199" i="80" s="1" a="1"/>
  <c r="Z199" i="80" s="1"/>
  <c r="Z251" i="80" s="1" a="1"/>
  <c r="Z251" i="80" s="1"/>
  <c r="AC78" i="80" a="1"/>
  <c r="AC78" i="80" s="1"/>
  <c r="AC142" i="80" s="1" a="1"/>
  <c r="AC142" i="80" s="1"/>
  <c r="AC202" i="80" s="1" a="1"/>
  <c r="AC202" i="80" s="1"/>
  <c r="AC254" i="80" s="1" a="1"/>
  <c r="AC254" i="80" s="1"/>
  <c r="X77" i="80" a="1"/>
  <c r="X77" i="80" s="1"/>
  <c r="X141" i="80" s="1" a="1"/>
  <c r="X141" i="80" s="1"/>
  <c r="X201" i="80" s="1" a="1"/>
  <c r="X201" i="80" s="1"/>
  <c r="X253" i="80" s="1" a="1"/>
  <c r="X253" i="80" s="1"/>
  <c r="X74" i="80" a="1"/>
  <c r="X74" i="80" s="1"/>
  <c r="X138" i="80" s="1" a="1"/>
  <c r="X138" i="80" s="1"/>
  <c r="X198" i="80" s="1" a="1"/>
  <c r="X198" i="80" s="1"/>
  <c r="X250" i="80" s="1" a="1"/>
  <c r="X250" i="80" s="1"/>
  <c r="V82" i="80" a="1"/>
  <c r="V82" i="80" s="1"/>
  <c r="V146" i="80" s="1" a="1"/>
  <c r="V146" i="80" s="1"/>
  <c r="V206" i="80" s="1" a="1"/>
  <c r="V206" i="80" s="1"/>
  <c r="V258" i="80" s="1" a="1"/>
  <c r="V258" i="80" s="1"/>
  <c r="X79" i="80" a="1"/>
  <c r="X79" i="80" s="1"/>
  <c r="X143" i="80" s="1" a="1"/>
  <c r="X143" i="80" s="1"/>
  <c r="X203" i="80" s="1" a="1"/>
  <c r="X203" i="80" s="1"/>
  <c r="X255" i="80" s="1" a="1"/>
  <c r="X255" i="80" s="1"/>
  <c r="W59" i="80"/>
  <c r="W81" i="80" a="1"/>
  <c r="W81" i="80" s="1"/>
  <c r="W145" i="80" s="1" a="1"/>
  <c r="W145" i="80" s="1"/>
  <c r="W205" i="80" s="1" a="1"/>
  <c r="W205" i="80" s="1"/>
  <c r="W257" i="80" s="1" a="1"/>
  <c r="W257" i="80" s="1"/>
  <c r="AD57" i="80"/>
  <c r="Y77" i="80" a="1"/>
  <c r="Y77" i="80" s="1"/>
  <c r="Y141" i="80" s="1" a="1"/>
  <c r="Y141" i="80" s="1"/>
  <c r="Y201" i="80" s="1" a="1"/>
  <c r="Y201" i="80" s="1"/>
  <c r="Y253" i="80" s="1" a="1"/>
  <c r="Y253" i="80" s="1"/>
  <c r="F62" i="80" a="1"/>
  <c r="F62" i="80" s="1"/>
  <c r="F127" i="80" s="1" a="1"/>
  <c r="F127" i="80" s="1"/>
  <c r="F169" i="80" s="1" a="1"/>
  <c r="F169" i="80" s="1"/>
  <c r="F207" i="80" s="1" a="1"/>
  <c r="F207" i="80" s="1"/>
  <c r="AC63" i="80"/>
  <c r="H65" i="80" a="1"/>
  <c r="H65" i="80" s="1"/>
  <c r="H130" i="80" s="1" a="1"/>
  <c r="H130" i="80" s="1"/>
  <c r="H172" i="80" s="1" a="1"/>
  <c r="H172" i="80" s="1"/>
  <c r="H210" i="80" s="1" a="1"/>
  <c r="H210" i="80" s="1"/>
  <c r="K62" i="80" a="1"/>
  <c r="K62" i="80" s="1"/>
  <c r="K127" i="80" s="1" a="1"/>
  <c r="K127" i="80" s="1"/>
  <c r="K169" i="80" s="1" a="1"/>
  <c r="K169" i="80" s="1"/>
  <c r="K207" i="80" s="1" a="1"/>
  <c r="K207" i="80" s="1"/>
  <c r="M64" i="80" a="1"/>
  <c r="M64" i="80" s="1"/>
  <c r="M129" i="80" s="1" a="1"/>
  <c r="M129" i="80" s="1"/>
  <c r="M171" i="80" s="1" a="1"/>
  <c r="M171" i="80" s="1"/>
  <c r="M209" i="80" s="1" a="1"/>
  <c r="M209" i="80" s="1"/>
  <c r="G57" i="80"/>
  <c r="AD62" i="80"/>
  <c r="AA67" i="80"/>
  <c r="AD65" i="80"/>
  <c r="Y63" i="80"/>
  <c r="Z64" i="80"/>
  <c r="W77" i="80" a="1"/>
  <c r="W77" i="80" s="1"/>
  <c r="W141" i="80" s="1" a="1"/>
  <c r="W141" i="80" s="1"/>
  <c r="W201" i="80" s="1" a="1"/>
  <c r="W201" i="80" s="1"/>
  <c r="W253" i="80" s="1" a="1"/>
  <c r="W253" i="80" s="1"/>
  <c r="W72" i="80" a="1"/>
  <c r="W72" i="80" s="1"/>
  <c r="W136" i="80" s="1" a="1"/>
  <c r="W136" i="80" s="1"/>
  <c r="W196" i="80" s="1" a="1"/>
  <c r="W196" i="80" s="1"/>
  <c r="W248" i="80" s="1" a="1"/>
  <c r="W248" i="80" s="1"/>
  <c r="AC83" i="80" a="1"/>
  <c r="AC83" i="80" s="1"/>
  <c r="AC147" i="80" s="1" a="1"/>
  <c r="AC147" i="80" s="1"/>
  <c r="AC207" i="80" s="1" a="1"/>
  <c r="AC207" i="80" s="1"/>
  <c r="AC259" i="80" s="1" a="1"/>
  <c r="AC259" i="80" s="1"/>
  <c r="Z79" i="80" a="1"/>
  <c r="Z79" i="80" s="1"/>
  <c r="Z143" i="80" s="1" a="1"/>
  <c r="Z143" i="80" s="1"/>
  <c r="Z203" i="80" s="1" a="1"/>
  <c r="Z203" i="80" s="1"/>
  <c r="Z255" i="80" s="1" a="1"/>
  <c r="Z255" i="80" s="1"/>
  <c r="V79" i="80" a="1"/>
  <c r="V79" i="80" s="1"/>
  <c r="V143" i="80" s="1" a="1"/>
  <c r="V143" i="80" s="1"/>
  <c r="V203" i="80" s="1" a="1"/>
  <c r="V203" i="80" s="1"/>
  <c r="V255" i="80" s="1" a="1"/>
  <c r="V255" i="80" s="1"/>
  <c r="L64" i="80" a="1"/>
  <c r="L64" i="80" s="1"/>
  <c r="L129" i="80" s="1" a="1"/>
  <c r="L129" i="80" s="1"/>
  <c r="L171" i="80" s="1" a="1"/>
  <c r="L171" i="80" s="1"/>
  <c r="L209" i="80" s="1" a="1"/>
  <c r="L209" i="80" s="1"/>
  <c r="J56" i="80"/>
  <c r="AE66" i="80"/>
  <c r="AD72" i="80" a="1"/>
  <c r="AD72" i="80" s="1"/>
  <c r="AD136" i="80" s="1" a="1"/>
  <c r="AD136" i="80" s="1"/>
  <c r="AD196" i="80" s="1" a="1"/>
  <c r="AD196" i="80" s="1"/>
  <c r="AD248" i="80" s="1" a="1"/>
  <c r="AD248" i="80" s="1"/>
  <c r="AD67" i="80"/>
  <c r="AA59" i="80"/>
  <c r="AB80" i="80" a="1"/>
  <c r="AB80" i="80" s="1"/>
  <c r="AB144" i="80" s="1" a="1"/>
  <c r="AB144" i="80" s="1"/>
  <c r="AB204" i="80" s="1" a="1"/>
  <c r="AB204" i="80" s="1"/>
  <c r="AB256" i="80" s="1" a="1"/>
  <c r="AB256" i="80" s="1"/>
  <c r="AD80" i="80" a="1"/>
  <c r="AD80" i="80" s="1"/>
  <c r="AD144" i="80" s="1" a="1"/>
  <c r="AD144" i="80" s="1"/>
  <c r="AD204" i="80" s="1" a="1"/>
  <c r="AD204" i="80" s="1"/>
  <c r="AD256" i="80" s="1" a="1"/>
  <c r="AD256" i="80" s="1"/>
  <c r="AE76" i="80" a="1"/>
  <c r="AE76" i="80" s="1"/>
  <c r="AE140" i="80" s="1" a="1"/>
  <c r="AE140" i="80" s="1"/>
  <c r="AE200" i="80" s="1" a="1"/>
  <c r="AE200" i="80" s="1"/>
  <c r="AE252" i="80" s="1" a="1"/>
  <c r="AE252" i="80" s="1"/>
  <c r="Z74" i="80" a="1"/>
  <c r="Z74" i="80" s="1"/>
  <c r="Z138" i="80" s="1" a="1"/>
  <c r="Z138" i="80" s="1"/>
  <c r="Z198" i="80" s="1" a="1"/>
  <c r="Z198" i="80" s="1"/>
  <c r="Z250" i="80" s="1" a="1"/>
  <c r="Z250" i="80" s="1"/>
  <c r="AA58" i="80"/>
  <c r="H63" i="80" a="1"/>
  <c r="H63" i="80" s="1"/>
  <c r="H128" i="80" s="1" a="1"/>
  <c r="H128" i="80" s="1"/>
  <c r="H170" i="80" s="1" a="1"/>
  <c r="H170" i="80" s="1"/>
  <c r="H208" i="80" s="1" a="1"/>
  <c r="H208" i="80" s="1"/>
  <c r="AD82" i="80" a="1"/>
  <c r="AD82" i="80" s="1"/>
  <c r="AD146" i="80" s="1" a="1"/>
  <c r="AD146" i="80" s="1"/>
  <c r="AD206" i="80" s="1" a="1"/>
  <c r="AD206" i="80" s="1"/>
  <c r="AD258" i="80" s="1" a="1"/>
  <c r="AD258" i="80" s="1"/>
  <c r="Z82" i="80" a="1"/>
  <c r="Z82" i="80" s="1"/>
  <c r="Z146" i="80" s="1" a="1"/>
  <c r="Z146" i="80" s="1"/>
  <c r="Z206" i="80" s="1" a="1"/>
  <c r="Z206" i="80" s="1"/>
  <c r="Z258" i="80" s="1" a="1"/>
  <c r="Z258" i="80" s="1"/>
  <c r="AC80" i="80" a="1"/>
  <c r="AC80" i="80" s="1"/>
  <c r="AC144" i="80" s="1" a="1"/>
  <c r="AC144" i="80" s="1"/>
  <c r="AC204" i="80" s="1" a="1"/>
  <c r="AC204" i="80" s="1"/>
  <c r="AC256" i="80" s="1" a="1"/>
  <c r="AC256" i="80" s="1"/>
  <c r="F65" i="80" a="1"/>
  <c r="F65" i="80" s="1"/>
  <c r="F130" i="80" s="1" a="1"/>
  <c r="F130" i="80" s="1"/>
  <c r="F172" i="80" s="1" a="1"/>
  <c r="F172" i="80" s="1"/>
  <c r="F210" i="80" s="1" a="1"/>
  <c r="F210" i="80" s="1"/>
  <c r="I62" i="80" a="1"/>
  <c r="I62" i="80" s="1"/>
  <c r="I127" i="80" s="1" a="1"/>
  <c r="I127" i="80" s="1"/>
  <c r="I169" i="80" s="1" a="1"/>
  <c r="I169" i="80" s="1"/>
  <c r="I207" i="80" s="1" a="1"/>
  <c r="I207" i="80" s="1"/>
  <c r="I63" i="80" a="1"/>
  <c r="I63" i="80" s="1"/>
  <c r="I128" i="80" s="1" a="1"/>
  <c r="I128" i="80" s="1"/>
  <c r="I170" i="80" s="1" a="1"/>
  <c r="I170" i="80" s="1"/>
  <c r="I208" i="80" s="1" a="1"/>
  <c r="I208" i="80" s="1"/>
  <c r="W79" i="80" a="1"/>
  <c r="W79" i="80" s="1"/>
  <c r="W143" i="80" s="1" a="1"/>
  <c r="W143" i="80" s="1"/>
  <c r="W203" i="80" s="1" a="1"/>
  <c r="W203" i="80" s="1"/>
  <c r="W255" i="80" s="1" a="1"/>
  <c r="W255" i="80" s="1"/>
  <c r="V78" i="80" a="1"/>
  <c r="V78" i="80" s="1"/>
  <c r="V142" i="80" s="1" a="1"/>
  <c r="V142" i="80" s="1"/>
  <c r="V202" i="80" s="1" a="1"/>
  <c r="V202" i="80" s="1"/>
  <c r="V254" i="80" s="1" a="1"/>
  <c r="V254" i="80" s="1"/>
  <c r="Z56" i="80"/>
  <c r="AB81" i="80" a="1"/>
  <c r="AB81" i="80" s="1"/>
  <c r="AB145" i="80" s="1" a="1"/>
  <c r="AB145" i="80" s="1"/>
  <c r="AB205" i="80" s="1" a="1"/>
  <c r="AB205" i="80" s="1"/>
  <c r="AB257" i="80" s="1" a="1"/>
  <c r="AB257" i="80" s="1"/>
  <c r="AA65" i="80"/>
  <c r="Z62" i="80"/>
  <c r="W67" i="80"/>
  <c r="Y72" i="80" a="1"/>
  <c r="Y72" i="80" s="1"/>
  <c r="Y136" i="80" s="1" a="1"/>
  <c r="Y136" i="80" s="1"/>
  <c r="Y196" i="80" s="1" a="1"/>
  <c r="Y196" i="80" s="1"/>
  <c r="Y248" i="80" s="1" a="1"/>
  <c r="Y248" i="80" s="1"/>
  <c r="AB72" i="80" l="1" a="1"/>
  <c r="AB72" i="80" s="1"/>
  <c r="AB136" i="80" s="1" a="1"/>
  <c r="AB136" i="80" s="1"/>
  <c r="AB196" i="80" s="1" a="1"/>
  <c r="AB196" i="80" s="1"/>
  <c r="AB248" i="80" s="1" a="1"/>
  <c r="AB248" i="80" s="1"/>
  <c r="AA75" i="80" a="1"/>
  <c r="AA75" i="80" s="1"/>
  <c r="AA139" i="80" s="1" a="1"/>
  <c r="AA139" i="80" s="1"/>
  <c r="AA199" i="80" s="1" a="1"/>
  <c r="AA199" i="80" s="1"/>
  <c r="AA251" i="80" s="1" a="1"/>
  <c r="AA251" i="80" s="1"/>
  <c r="AD83" i="80" a="1"/>
  <c r="AD83" i="80" s="1"/>
  <c r="AD147" i="80" s="1" a="1"/>
  <c r="AD147" i="80" s="1"/>
  <c r="AD207" i="80" s="1" a="1"/>
  <c r="AD207" i="80" s="1"/>
  <c r="AD259" i="80" s="1" a="1"/>
  <c r="AD259" i="80" s="1"/>
  <c r="AD78" i="80" a="1"/>
  <c r="AD78" i="80" s="1"/>
  <c r="AD142" i="80" s="1" a="1"/>
  <c r="AD142" i="80" s="1"/>
  <c r="AD202" i="80" s="1" a="1"/>
  <c r="AD202" i="80" s="1"/>
  <c r="AD254" i="80" s="1" a="1"/>
  <c r="AD254" i="80" s="1"/>
  <c r="AA83" i="80" a="1"/>
  <c r="AA83" i="80" s="1"/>
  <c r="AA147" i="80" s="1" a="1"/>
  <c r="AA147" i="80" s="1"/>
  <c r="AA207" i="80" s="1" a="1"/>
  <c r="AA207" i="80" s="1"/>
  <c r="AA259" i="80" s="1" a="1"/>
  <c r="AA259" i="80" s="1"/>
  <c r="Y75" i="80" a="1"/>
  <c r="Y75" i="80" s="1"/>
  <c r="Y139" i="80" s="1" a="1"/>
  <c r="Y139" i="80" s="1"/>
  <c r="Y199" i="80" s="1" a="1"/>
  <c r="Y199" i="80" s="1"/>
  <c r="Y251" i="80" s="1" a="1"/>
  <c r="Y251" i="80" s="1"/>
  <c r="AE73" i="80" a="1"/>
  <c r="AE73" i="80" s="1"/>
  <c r="AE137" i="80" s="1" a="1"/>
  <c r="AE137" i="80" s="1"/>
  <c r="AE197" i="80" s="1" a="1"/>
  <c r="AE197" i="80" s="1"/>
  <c r="AE249" i="80" s="1" a="1"/>
  <c r="AE249" i="80" s="1"/>
  <c r="Y78" i="80" a="1"/>
  <c r="Y78" i="80" s="1"/>
  <c r="Y142" i="80" s="1" a="1"/>
  <c r="Y142" i="80" s="1"/>
  <c r="Y202" i="80" s="1" a="1"/>
  <c r="Y202" i="80" s="1"/>
  <c r="Y254" i="80" s="1" a="1"/>
  <c r="Y254" i="80" s="1"/>
  <c r="Z76" i="80" a="1"/>
  <c r="Z76" i="80" s="1"/>
  <c r="Z140" i="80" s="1" a="1"/>
  <c r="Z140" i="80" s="1"/>
  <c r="Z200" i="80" s="1" a="1"/>
  <c r="Z200" i="80" s="1"/>
  <c r="Z252" i="80" s="1" a="1"/>
  <c r="Z252" i="80" s="1"/>
  <c r="W83" i="80" a="1"/>
  <c r="W83" i="80" s="1"/>
  <c r="W147" i="80" s="1" a="1"/>
  <c r="W147" i="80" s="1"/>
  <c r="W207" i="80" s="1" a="1"/>
  <c r="W207" i="80" s="1"/>
  <c r="W259" i="80" s="1" a="1"/>
  <c r="W259" i="80" s="1"/>
  <c r="AD73" i="80" a="1"/>
  <c r="AD73" i="80" s="1"/>
  <c r="AD137" i="80" s="1" a="1"/>
  <c r="AD137" i="80" s="1"/>
  <c r="AD197" i="80" s="1" a="1"/>
  <c r="AD197" i="80" s="1"/>
  <c r="AD249" i="80" s="1" a="1"/>
  <c r="AD249" i="80" s="1"/>
  <c r="Z83" i="80" a="1"/>
  <c r="Z83" i="80" s="1"/>
  <c r="Z147" i="80" s="1" a="1"/>
  <c r="Z147" i="80" s="1"/>
  <c r="Z207" i="80" s="1" a="1"/>
  <c r="Z207" i="80" s="1"/>
  <c r="Z259" i="80" s="1" a="1"/>
  <c r="Z259" i="80" s="1"/>
  <c r="AA81" i="80" a="1"/>
  <c r="AA81" i="80" s="1"/>
  <c r="AA145" i="80" s="1" a="1"/>
  <c r="AA145" i="80" s="1"/>
  <c r="AA205" i="80" s="1" a="1"/>
  <c r="AA205" i="80" s="1"/>
  <c r="AA257" i="80" s="1" a="1"/>
  <c r="AA257" i="80" s="1"/>
  <c r="J64" i="80" a="1"/>
  <c r="J64" i="80" s="1"/>
  <c r="J129" i="80" s="1" a="1"/>
  <c r="J129" i="80" s="1"/>
  <c r="J171" i="80" s="1" a="1"/>
  <c r="J171" i="80" s="1"/>
  <c r="J209" i="80" s="1" a="1"/>
  <c r="J209" i="80" s="1"/>
  <c r="Z80" i="80" a="1"/>
  <c r="Z80" i="80" s="1"/>
  <c r="Z144" i="80" s="1" a="1"/>
  <c r="Z144" i="80" s="1"/>
  <c r="Z204" i="80" s="1" a="1"/>
  <c r="Z204" i="80" s="1"/>
  <c r="Z256" i="80" s="1" a="1"/>
  <c r="Z256" i="80" s="1"/>
  <c r="W75" i="80" a="1"/>
  <c r="W75" i="80" s="1"/>
  <c r="W139" i="80" s="1" a="1"/>
  <c r="W139" i="80" s="1"/>
  <c r="W199" i="80" s="1" a="1"/>
  <c r="W199" i="80" s="1"/>
  <c r="W251" i="80" s="1" a="1"/>
  <c r="W251" i="80" s="1"/>
  <c r="V75" i="80" a="1"/>
  <c r="V75" i="80" s="1"/>
  <c r="V139" i="80" s="1" a="1"/>
  <c r="V139" i="80" s="1"/>
  <c r="V199" i="80" s="1" a="1"/>
  <c r="V199" i="80" s="1"/>
  <c r="V251" i="80" s="1" a="1"/>
  <c r="V251" i="80" s="1"/>
  <c r="K63" i="80" a="1"/>
  <c r="K63" i="80" s="1"/>
  <c r="K128" i="80" s="1" a="1"/>
  <c r="K128" i="80" s="1"/>
  <c r="K170" i="80" s="1" a="1"/>
  <c r="K170" i="80" s="1"/>
  <c r="K208" i="80" s="1" a="1"/>
  <c r="K208" i="80" s="1"/>
  <c r="AD79" i="80" a="1"/>
  <c r="AD79" i="80" s="1"/>
  <c r="AD143" i="80" s="1" a="1"/>
  <c r="AD143" i="80" s="1"/>
  <c r="AD203" i="80" s="1" a="1"/>
  <c r="AD203" i="80" s="1"/>
  <c r="AD255" i="80" s="1" a="1"/>
  <c r="AD255" i="80" s="1"/>
  <c r="X76" i="80" a="1"/>
  <c r="X76" i="80" s="1"/>
  <c r="X140" i="80" s="1" a="1"/>
  <c r="X140" i="80" s="1"/>
  <c r="X200" i="80" s="1" a="1"/>
  <c r="X200" i="80" s="1"/>
  <c r="X252" i="80" s="1" a="1"/>
  <c r="X252" i="80" s="1"/>
  <c r="Z78" i="80" a="1"/>
  <c r="Z78" i="80" s="1"/>
  <c r="Z142" i="80" s="1" a="1"/>
  <c r="Z142" i="80" s="1"/>
  <c r="Z202" i="80" s="1" a="1"/>
  <c r="Z202" i="80" s="1"/>
  <c r="Z254" i="80" s="1" a="1"/>
  <c r="Z254" i="80" s="1"/>
  <c r="K65" i="80" a="1"/>
  <c r="K65" i="80" s="1"/>
  <c r="K130" i="80" s="1" a="1"/>
  <c r="K130" i="80" s="1"/>
  <c r="K172" i="80" s="1" a="1"/>
  <c r="K172" i="80" s="1"/>
  <c r="K210" i="80" s="1" a="1"/>
  <c r="K210" i="80" s="1"/>
  <c r="AB78" i="80" a="1"/>
  <c r="AB78" i="80" s="1"/>
  <c r="AB142" i="80" s="1" a="1"/>
  <c r="AB142" i="80" s="1"/>
  <c r="AB202" i="80" s="1" a="1"/>
  <c r="AB202" i="80" s="1"/>
  <c r="AB254" i="80" s="1" a="1"/>
  <c r="AB254" i="80" s="1"/>
  <c r="G65" i="80" a="1"/>
  <c r="G65" i="80" s="1"/>
  <c r="G130" i="80" s="1" a="1"/>
  <c r="G130" i="80" s="1"/>
  <c r="G172" i="80" s="1" a="1"/>
  <c r="G172" i="80" s="1"/>
  <c r="G210" i="80" s="1" a="1"/>
  <c r="G210" i="80" s="1"/>
  <c r="Y80" i="80" a="1"/>
  <c r="Y80" i="80" s="1"/>
  <c r="Y144" i="80" s="1" a="1"/>
  <c r="Y144" i="80" s="1"/>
  <c r="Y204" i="80" s="1" a="1"/>
  <c r="Y204" i="80" s="1"/>
  <c r="Y256" i="80" s="1" a="1"/>
  <c r="Y256" i="80" s="1"/>
  <c r="Y79" i="80" a="1"/>
  <c r="Y79" i="80" s="1"/>
  <c r="Y143" i="80" s="1" a="1"/>
  <c r="Y143" i="80" s="1"/>
  <c r="Y203" i="80" s="1" a="1"/>
  <c r="Y203" i="80" s="1"/>
  <c r="Y255" i="80" s="1" a="1"/>
  <c r="Y255" i="80" s="1"/>
  <c r="W82" i="80" a="1"/>
  <c r="W82" i="80" s="1"/>
  <c r="W146" i="80" s="1" a="1"/>
  <c r="W146" i="80" s="1"/>
  <c r="W206" i="80" s="1" a="1"/>
  <c r="W206" i="80" s="1"/>
  <c r="W258" i="80" s="1" a="1"/>
  <c r="W258" i="80" s="1"/>
  <c r="AC77" i="80" a="1"/>
  <c r="AC77" i="80" s="1"/>
  <c r="AC141" i="80" s="1" a="1"/>
  <c r="AC141" i="80" s="1"/>
  <c r="AC201" i="80" s="1" a="1"/>
  <c r="AC201" i="80" s="1"/>
  <c r="AC253" i="80" s="1" a="1"/>
  <c r="AC253" i="80" s="1"/>
  <c r="G64" i="80" a="1"/>
  <c r="G64" i="80" s="1"/>
  <c r="G129" i="80" s="1" a="1"/>
  <c r="G129" i="80" s="1"/>
  <c r="G171" i="80" s="1" a="1"/>
  <c r="G171" i="80" s="1"/>
  <c r="G209" i="80" s="1" a="1"/>
  <c r="G209" i="80" s="1"/>
  <c r="E62" i="80" a="1"/>
  <c r="E62" i="80" s="1"/>
  <c r="E127" i="80" s="1" a="1"/>
  <c r="E127" i="80" s="1"/>
  <c r="E169" i="80" s="1" a="1"/>
  <c r="E169" i="80" s="1"/>
  <c r="E207" i="80" s="1" a="1"/>
  <c r="E207" i="80" s="1"/>
  <c r="AA73" i="80" a="1"/>
  <c r="AA73" i="80" s="1"/>
  <c r="AA137" i="80" s="1" a="1"/>
  <c r="AA137" i="80" s="1"/>
  <c r="AA197" i="80" s="1" a="1"/>
  <c r="AA197" i="80" s="1"/>
  <c r="AA249" i="80" s="1" a="1"/>
  <c r="AA249" i="80" s="1"/>
  <c r="V72" i="80" a="1"/>
  <c r="V72" i="80" s="1"/>
  <c r="V136" i="80" s="1" a="1"/>
  <c r="V136" i="80" s="1"/>
  <c r="V196" i="80" s="1" a="1"/>
  <c r="V196" i="80" s="1"/>
  <c r="V248" i="80" s="1" a="1"/>
  <c r="V248" i="80" s="1"/>
  <c r="W73" i="80" a="1"/>
  <c r="W73" i="80" s="1"/>
  <c r="W137" i="80" s="1" a="1"/>
  <c r="W137" i="80" s="1"/>
  <c r="W197" i="80" s="1" a="1"/>
  <c r="W197" i="80" s="1"/>
  <c r="W249" i="80" s="1" a="1"/>
  <c r="W249" i="80" s="1"/>
  <c r="AE72" i="80" a="1"/>
  <c r="AE72" i="80" s="1"/>
  <c r="AE136" i="80" s="1" a="1"/>
  <c r="AE136" i="80" s="1"/>
  <c r="AE196" i="80" s="1" a="1"/>
  <c r="AE196" i="80" s="1"/>
  <c r="AE248" i="80" s="1" a="1"/>
  <c r="AE248" i="80" s="1"/>
  <c r="AC81" i="80" a="1"/>
  <c r="AC81" i="80" s="1"/>
  <c r="AC145" i="80" s="1" a="1"/>
  <c r="AC145" i="80" s="1"/>
  <c r="AC205" i="80" s="1" a="1"/>
  <c r="AC205" i="80" s="1"/>
  <c r="AC257" i="80" s="1" a="1"/>
  <c r="AC257" i="80" s="1"/>
  <c r="AB77" i="80" a="1"/>
  <c r="AB77" i="80" s="1"/>
  <c r="AB141" i="80" s="1" a="1"/>
  <c r="AB141" i="80" s="1"/>
  <c r="AB201" i="80" s="1" a="1"/>
  <c r="AB201" i="80" s="1"/>
  <c r="AB253" i="80" s="1" a="1"/>
  <c r="AB253" i="80" s="1"/>
  <c r="V80" i="80" a="1"/>
  <c r="V80" i="80" s="1"/>
  <c r="V144" i="80" s="1" a="1"/>
  <c r="V144" i="80" s="1"/>
  <c r="V204" i="80" s="1" a="1"/>
  <c r="V204" i="80" s="1"/>
  <c r="V256" i="80" s="1" a="1"/>
  <c r="V256" i="80" s="1"/>
  <c r="Y73" i="80" a="1"/>
  <c r="Y73" i="80" s="1"/>
  <c r="Y137" i="80" s="1" a="1"/>
  <c r="Y137" i="80" s="1"/>
  <c r="Y197" i="80" s="1" a="1"/>
  <c r="Y197" i="80" s="1"/>
  <c r="Y249" i="80" s="1" a="1"/>
  <c r="Y249" i="80" s="1"/>
  <c r="AA76" i="80" a="1"/>
  <c r="AA76" i="80" s="1"/>
  <c r="AA140" i="80" s="1" a="1"/>
  <c r="AA140" i="80" s="1"/>
  <c r="AA200" i="80" s="1" a="1"/>
  <c r="AA200" i="80" s="1"/>
  <c r="AA252" i="80" s="1" a="1"/>
  <c r="AA252" i="80" s="1"/>
  <c r="AD74" i="80" a="1"/>
  <c r="AD74" i="80" s="1"/>
  <c r="AD138" i="80" s="1" a="1"/>
  <c r="AD138" i="80" s="1"/>
  <c r="AD198" i="80" s="1" a="1"/>
  <c r="AD198" i="80" s="1"/>
  <c r="AD250" i="80" s="1" a="1"/>
  <c r="AD250" i="80" s="1"/>
  <c r="AB76" i="80" a="1"/>
  <c r="AB76" i="80" s="1"/>
  <c r="AB140" i="80" s="1" a="1"/>
  <c r="AB140" i="80" s="1"/>
  <c r="AB200" i="80" s="1" a="1"/>
  <c r="AB200" i="80" s="1"/>
  <c r="AB252" i="80" s="1" a="1"/>
  <c r="AB252" i="80" s="1"/>
  <c r="AA74" i="80" a="1"/>
  <c r="AA74" i="80" s="1"/>
  <c r="AA138" i="80" s="1" a="1"/>
  <c r="AA138" i="80" s="1"/>
  <c r="AA198" i="80" s="1" a="1"/>
  <c r="AA198" i="80" s="1"/>
  <c r="AA250" i="80" s="1" a="1"/>
  <c r="AA250" i="80" s="1"/>
  <c r="AE82" i="80" a="1"/>
  <c r="AE82" i="80" s="1"/>
  <c r="AE146" i="80" s="1" a="1"/>
  <c r="AE146" i="80" s="1"/>
  <c r="AE206" i="80" s="1" a="1"/>
  <c r="AE206" i="80" s="1"/>
  <c r="AE258" i="80" s="1" a="1"/>
  <c r="AE258" i="80" s="1"/>
  <c r="Z72" i="80" a="1"/>
  <c r="Z72" i="80" s="1"/>
  <c r="Z136" i="80" s="1" a="1"/>
  <c r="Z136" i="80" s="1"/>
  <c r="Z196" i="80" s="1" a="1"/>
  <c r="Z196" i="80" s="1"/>
  <c r="Z248" i="80" s="1" a="1"/>
  <c r="Z248" i="80" s="1"/>
  <c r="AD81" i="80" a="1"/>
  <c r="AD81" i="80" s="1"/>
  <c r="AD145" i="80" s="1" a="1"/>
  <c r="AD145" i="80" s="1"/>
  <c r="AD205" i="80" s="1" a="1"/>
  <c r="AD205" i="80" s="1"/>
  <c r="AD257" i="80" s="1" a="1"/>
  <c r="AD257" i="80" s="1"/>
  <c r="AC79" i="80" a="1"/>
  <c r="AC79" i="80" s="1"/>
  <c r="AC143" i="80" s="1" a="1"/>
  <c r="AC143" i="80" s="1"/>
  <c r="AC203" i="80" s="1" a="1"/>
  <c r="AC203" i="80" s="1"/>
  <c r="AC255" i="80" s="1" a="1"/>
  <c r="AC255" i="80" s="1"/>
  <c r="AD75" i="80" a="1"/>
  <c r="AD75" i="80" s="1"/>
  <c r="AD139" i="80" s="1" a="1"/>
  <c r="AD139" i="80" s="1"/>
  <c r="AD199" i="80" s="1" a="1"/>
  <c r="AD199" i="80" s="1"/>
  <c r="AD251" i="80" s="1" a="1"/>
  <c r="AD251" i="80" s="1"/>
  <c r="V77" i="80" a="1"/>
  <c r="V77" i="80" s="1"/>
  <c r="V141" i="80" s="1" a="1"/>
  <c r="V141" i="80" s="1"/>
  <c r="V201" i="80" s="1" a="1"/>
  <c r="V201" i="80" s="1"/>
  <c r="V253" i="80" s="1" a="1"/>
  <c r="V253" i="80" s="1"/>
  <c r="AB75" i="80" a="1"/>
  <c r="AB75" i="80" s="1"/>
  <c r="AB139" i="80" s="1" a="1"/>
  <c r="AB139" i="80" s="1"/>
  <c r="AB199" i="80" s="1" a="1"/>
  <c r="AB199" i="80" s="1"/>
  <c r="AB251" i="80" s="1" a="1"/>
  <c r="AB251" i="80" s="1"/>
  <c r="V261" i="80" l="1"/>
  <c r="E212" i="80"/>
  <c r="J13" i="81" s="1"/>
  <c r="E16" i="81" s="1" a="1"/>
  <c r="E16" i="81" s="1"/>
  <c r="I28" i="81" s="1"/>
  <c r="E35" i="81" s="1" a="1"/>
  <c r="E35" i="81" s="1"/>
  <c r="G246" i="79"/>
  <c r="E249" i="79" s="1" a="1"/>
  <c r="E249" i="79" s="1"/>
  <c r="E229" i="80" l="1"/>
  <c r="G231" i="80" s="1"/>
  <c r="E234" i="80" s="1" a="1"/>
  <c r="E234" i="80" s="1"/>
  <c r="I13" i="82"/>
  <c r="E20" i="82" s="1" a="1"/>
  <c r="E20" i="82" s="1"/>
  <c r="I32" i="82" s="1"/>
  <c r="E36" i="82" s="1" a="1"/>
  <c r="E36" i="82" s="1"/>
  <c r="E11" i="13" s="1" a="1"/>
  <c r="E11" i="13" s="1"/>
  <c r="H11" i="13" s="1" a="1"/>
  <c r="H11" i="13" s="1"/>
  <c r="E10" i="13" a="1"/>
  <c r="E10" i="13" s="1"/>
  <c r="H10" i="13" s="1" a="1"/>
  <c r="H10" i="13" s="1"/>
  <c r="G37" i="81"/>
  <c r="E40" i="81" s="1" a="1"/>
  <c r="E40" i="81" s="1"/>
  <c r="E8" i="13" a="1"/>
  <c r="E8" i="13" s="1"/>
  <c r="H8" i="13" s="1" a="1"/>
  <c r="H8" i="13" s="1"/>
  <c r="Z278" i="79"/>
  <c r="X281" i="79" s="1" a="1"/>
  <c r="X281" i="79" s="1"/>
  <c r="E9" i="13" l="1" a="1"/>
  <c r="E9" i="13" s="1"/>
  <c r="H9" i="13" s="1" a="1"/>
  <c r="H9" i="13" s="1"/>
  <c r="H28" i="13" s="1"/>
  <c r="E38" i="13" s="1"/>
  <c r="E42" i="13" s="1"/>
  <c r="H64" i="13" s="1"/>
  <c r="G38" i="82"/>
  <c r="E41" i="82" s="1" a="1"/>
  <c r="E41" i="82" s="1"/>
  <c r="T13" i="81"/>
  <c r="O16" i="81" s="1" a="1"/>
  <c r="O16" i="81" s="1"/>
  <c r="S28" i="81" s="1"/>
  <c r="O35" i="81" s="1" a="1"/>
  <c r="O35" i="81" s="1"/>
  <c r="R13" i="82"/>
  <c r="N20" i="82" s="1" a="1"/>
  <c r="N20" i="82" s="1"/>
  <c r="R32" i="82" s="1"/>
  <c r="N36" i="82" s="1" a="1"/>
  <c r="N36" i="82" s="1"/>
  <c r="V267" i="80"/>
  <c r="F8" i="13" a="1"/>
  <c r="F8" i="13" s="1"/>
  <c r="I8" i="13" s="1" a="1"/>
  <c r="I8" i="13" s="1"/>
  <c r="X269" i="80" l="1"/>
  <c r="V272" i="80" s="1" a="1"/>
  <c r="V272" i="80" s="1"/>
  <c r="H74" i="13"/>
  <c r="H72" i="13"/>
  <c r="E59" i="13"/>
  <c r="H73" i="13" s="1"/>
  <c r="H66" i="13"/>
  <c r="F11" i="13" a="1"/>
  <c r="F11" i="13" s="1"/>
  <c r="I11" i="13" s="1" a="1"/>
  <c r="I11" i="13" s="1"/>
  <c r="P38" i="82"/>
  <c r="N41" i="82" s="1" a="1"/>
  <c r="N41" i="82" s="1"/>
  <c r="F10" i="13" a="1"/>
  <c r="F10" i="13" s="1"/>
  <c r="I10" i="13" s="1" a="1"/>
  <c r="I10" i="13" s="1"/>
  <c r="Q37" i="81"/>
  <c r="O40" i="81" s="1" a="1"/>
  <c r="O40" i="81" s="1"/>
  <c r="F9" i="13" a="1"/>
  <c r="F9" i="13" s="1"/>
  <c r="I9" i="13" s="1" a="1"/>
  <c r="I9" i="13" s="1"/>
  <c r="H80" i="13" l="1"/>
  <c r="H75" i="13"/>
  <c r="H67" i="13"/>
  <c r="H65" i="13"/>
  <c r="I28" i="13"/>
  <c r="F38" i="13" s="1"/>
  <c r="F42" i="13" s="1"/>
  <c r="I74" i="13" s="1"/>
  <c r="I66" i="13" l="1"/>
  <c r="I64" i="13"/>
  <c r="F59" i="13"/>
  <c r="I67" i="13" s="1"/>
  <c r="I72" i="13"/>
  <c r="I81" i="13" l="1"/>
  <c r="I65" i="13"/>
  <c r="I73" i="13"/>
  <c r="I75"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<sst xmlns="http://schemas.openxmlformats.org/spreadsheetml/2006/main" count="4858" uniqueCount="1204">
  <si>
    <t>INPUTS</t>
  </si>
  <si>
    <t>APPENDICES</t>
  </si>
  <si>
    <t>CALCULATIONS</t>
  </si>
  <si>
    <t>Scope 1 source</t>
  </si>
  <si>
    <t>Total</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</si>
  <si>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</si>
  <si>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</si>
  <si>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</si>
  <si>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</si>
  <si>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</si>
  <si>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</si>
  <si>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</si>
  <si>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</si>
  <si>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</si>
  <si>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</si>
  <si>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</si>
  <si>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</si>
  <si>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</si>
  <si>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</si>
  <si>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</si>
  <si>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</si>
  <si>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</si>
  <si>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</si>
  <si>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</si>
  <si>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</si>
  <si>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</si>
  <si>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</si>
  <si>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</si>
  <si>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</si>
  <si>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</si>
  <si>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</si>
  <si>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</si>
  <si>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</si>
  <si>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</si>
  <si>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</si>
  <si>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</si>
  <si>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</si>
  <si>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</si>
  <si>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</si>
  <si>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</si>
  <si>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</si>
  <si>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</si>
  <si>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</si>
  <si>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</si>
  <si>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</si>
  <si>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</si>
  <si>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</si>
  <si>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</si>
  <si>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</si>
  <si>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</si>
  <si>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</si>
  <si>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</si>
  <si>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</si>
  <si>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</si>
  <si>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</si>
  <si>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</si>
  <si>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</si>
  <si>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</si>
  <si>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</si>
  <si>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</si>
  <si>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</si>
  <si>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</si>
  <si>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</si>
  <si>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</si>
  <si>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</si>
  <si>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</si>
  <si>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</si>
  <si>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</si>
  <si>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</si>
  <si>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</si>
  <si>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</si>
  <si>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</si>
  <si>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</si>
  <si>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</si>
  <si>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</si>
  <si>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</si>
  <si>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</si>
  <si>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</si>
  <si>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</si>
  <si>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</si>
  <si>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</si>
  <si>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</si>
  <si>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</si>
  <si>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</si>
  <si>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</si>
  <si>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</si>
  <si>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</si>
  <si>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</si>
  <si>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</si>
  <si>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</si>
  <si>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</si>
  <si>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</si>
  <si>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</si>
  <si>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</si>
  <si>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</si>
  <si>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</si>
  <si>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</si>
  <si>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</si>
  <si>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</si>
  <si>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</si>
  <si>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</si>
  <si>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</si>
  <si>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</si>
  <si>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</si>
  <si>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</si>
  <si>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</si>
  <si>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</si>
  <si>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</si>
  <si>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</si>
  <si>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</si>
  <si>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</si>
  <si>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</si>
  <si>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</si>
  <si>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</si>
  <si>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</si>
  <si>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</si>
  <si>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</si>
  <si>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</si>
  <si>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</si>
  <si>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</si>
  <si>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</si>
  <si>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</si>
  <si>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</si>
  <si>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</si>
  <si>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</si>
  <si>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</si>
  <si>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</si>
  <si>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</si>
  <si>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</si>
  <si>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</si>
  <si>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</si>
  <si>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</si>
  <si>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</si>
  <si>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</si>
  <si>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</si>
  <si>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</si>
  <si>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</si>
  <si>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</si>
  <si>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</si>
  <si>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</si>
  <si>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</si>
  <si>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</si>
  <si>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</si>
  <si>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</si>
  <si>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</si>
  <si>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</si>
  <si>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</si>
  <si>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</si>
  <si>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</si>
  <si>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</si>
  <si>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</si>
  <si>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</si>
  <si>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</si>
  <si>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</si>
  <si>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</si>
  <si>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</si>
  <si>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</si>
  <si>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</si>
  <si>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</si>
  <si>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</si>
  <si>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</si>
  <si>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</si>
  <si>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</si>
  <si>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</si>
  <si>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</si>
  <si>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</si>
  <si>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</si>
  <si>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</si>
  <si>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</si>
  <si>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</si>
  <si>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</si>
  <si>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</si>
  <si>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</si>
  <si>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</si>
  <si>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</si>
  <si>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</si>
  <si>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</si>
  <si>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</si>
  <si>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</si>
  <si>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Mass emissions assignment</t>
  </si>
  <si>
    <t>Economic emissions assignment</t>
  </si>
  <si>
    <t>Emissions per tonne liveweight grown</t>
  </si>
  <si>
    <t>Liveweight sold - excluding removals</t>
  </si>
  <si>
    <t>Liveweight sold - net emissions</t>
  </si>
  <si>
    <t>Manure sold - excluding removals</t>
  </si>
  <si>
    <t>Manure sold - net emissions</t>
  </si>
  <si>
    <t>Enterprise: Pasture Beef: Results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</si>
  <si>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</si>
  <si>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</si>
  <si>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</si>
  <si>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</si>
  <si>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</si>
  <si>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</si>
  <si>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</si>
  <si>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</si>
  <si>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</si>
  <si>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</si>
  <si>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</si>
  <si>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</si>
  <si>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</si>
  <si>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</si>
  <si>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</si>
  <si>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</si>
  <si>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</si>
  <si>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</si>
  <si>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</si>
  <si>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</si>
  <si>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</si>
  <si>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</si>
  <si>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</si>
  <si>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</si>
  <si>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</si>
  <si>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</si>
  <si>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</si>
  <si>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</si>
  <si>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</si>
  <si>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</si>
  <si>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</si>
  <si>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</si>
  <si>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</si>
  <si>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</si>
  <si>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</si>
  <si>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</si>
  <si>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</si>
  <si>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</si>
  <si>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</si>
  <si>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</si>
  <si>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</si>
  <si>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</si>
  <si>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</si>
  <si>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</si>
  <si>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</si>
  <si>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</si>
  <si>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</si>
  <si>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</si>
  <si>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</si>
  <si>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</si>
  <si>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</si>
  <si>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</si>
  <si>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</si>
  <si>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</si>
  <si>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</si>
  <si>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</si>
  <si>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</si>
  <si>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</si>
  <si>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</si>
  <si>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</si>
  <si>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</si>
  <si>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</si>
  <si>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</si>
  <si>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</si>
  <si>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</si>
  <si>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</si>
  <si>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</si>
  <si>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</si>
  <si>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</si>
  <si>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</si>
  <si>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</si>
  <si>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4.2.1.1-2 Manure Methane</t>
  </si>
  <si>
    <t>Function name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</si>
  <si>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</si>
  <si>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</si>
  <si>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</si>
  <si>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</si>
  <si>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</si>
  <si>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</si>
  <si>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</si>
  <si>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</si>
  <si>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</si>
  <si>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</si>
  <si>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1"/>
        <color rgb="FF183C1B"/>
        <rFont val="Times New Roman"/>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</si>
  <si>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</si>
  <si>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</si>
  <si>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</si>
  <si>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</si>
  <si>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</si>
  <si>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</si>
  <si>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</si>
  <si>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</si>
  <si>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</si>
  <si>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</si>
  <si>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</si>
  <si>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</si>
  <si>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</si>
  <si>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</si>
  <si>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</si>
  <si>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</si>
  <si>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</si>
  <si>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</si>
  <si>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</si>
  <si>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</si>
  <si>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</si>
  <si>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</si>
  <si>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</si>
  <si>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</si>
  <si>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</si>
  <si>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</si>
  <si>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</si>
  <si>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</si>
  <si>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</si>
  <si>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</si>
  <si>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</si>
  <si>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</si>
  <si>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</si>
  <si>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</si>
  <si>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</si>
  <si>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</si>
  <si>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</si>
  <si>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</si>
  <si>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</si>
  <si>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</si>
  <si>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</si>
  <si>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</si>
  <si>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</si>
  <si>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</si>
  <si>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</si>
  <si>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</si>
  <si>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</si>
  <si>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</si>
  <si>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</si>
  <si>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</si>
  <si>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6"/>
        <color theme="1" tint="0.24994659260841701"/>
        <rFont val="Times New Roman"/>
        <family val="1"/>
      </rPr>
      <t>CH4</t>
    </r>
  </si>
  <si>
    <t>M2_Table_E_CH4</t>
  </si>
  <si>
    <r>
      <t>E</t>
    </r>
    <r>
      <rPr>
        <vertAlign val="subscript"/>
        <sz val="12"/>
        <color theme="1" tint="0.24994659260841701"/>
        <rFont val="Times New Roman"/>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</si>
  <si>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</si>
  <si>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</si>
  <si>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</si>
  <si>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</si>
  <si>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</si>
  <si>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</si>
  <si>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</si>
  <si>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</si>
  <si>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</si>
  <si>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</si>
  <si>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</si>
  <si>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</si>
  <si>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</si>
  <si>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</si>
  <si>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</si>
  <si>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</si>
  <si>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</si>
  <si>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</si>
  <si>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</si>
  <si>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</si>
  <si>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</si>
  <si>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</si>
  <si>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</si>
  <si>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</si>
  <si>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</si>
  <si>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</si>
  <si>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</si>
  <si>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</si>
  <si>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</si>
  <si>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</si>
  <si>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</si>
  <si>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</si>
  <si>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</si>
  <si>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</si>
  <si>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</si>
  <si>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</si>
  <si>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</si>
  <si>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</si>
  <si>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</si>
  <si>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</si>
  <si>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</si>
  <si>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</si>
  <si>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</si>
  <si>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</si>
  <si>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</si>
  <si>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</si>
  <si>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</si>
  <si>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</si>
  <si>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</si>
  <si>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</si>
  <si>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</si>
  <si>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</si>
  <si>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</si>
  <si>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</si>
  <si>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</si>
  <si>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</si>
  <si>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</si>
  <si>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</si>
  <si>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</si>
  <si>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</si>
  <si>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</si>
  <si>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</si>
  <si>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</si>
  <si>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</si>
  <si>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</si>
  <si>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</si>
  <si>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</si>
  <si>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</si>
  <si>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</si>
  <si>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</si>
  <si>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</si>
  <si>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</si>
  <si>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</si>
  <si>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</si>
  <si>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</si>
  <si>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</si>
  <si>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</si>
  <si>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</si>
  <si>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</si>
  <si>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</si>
  <si>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</si>
  <si>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</si>
  <si>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</si>
  <si>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</si>
  <si>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</si>
  <si>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</si>
  <si>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</si>
  <si>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</si>
  <si>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</si>
  <si>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</si>
  <si>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</si>
  <si>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</si>
  <si>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</si>
  <si>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</si>
  <si>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</si>
  <si>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</si>
  <si>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</si>
  <si>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</si>
  <si>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</si>
  <si>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</si>
  <si>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</si>
  <si>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</si>
  <si>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</si>
  <si>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</si>
  <si>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</si>
  <si>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</si>
  <si>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</si>
  <si>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</si>
  <si>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</si>
  <si>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</si>
  <si>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</si>
  <si>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</si>
  <si>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</si>
  <si>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</si>
  <si>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</si>
  <si>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</si>
  <si>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</si>
  <si>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</si>
  <si>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</si>
  <si>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</si>
  <si>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</si>
  <si>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</si>
  <si>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</si>
  <si>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</si>
  <si>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</si>
  <si>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</si>
  <si>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</si>
  <si>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</si>
  <si>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</si>
  <si>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</si>
  <si>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</si>
  <si>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</si>
  <si>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</si>
  <si>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</si>
  <si>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</si>
  <si>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</si>
  <si>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</si>
  <si>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</si>
  <si>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</si>
  <si>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</si>
  <si>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</si>
  <si>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</si>
  <si>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</si>
  <si>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</si>
  <si>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</si>
  <si>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</si>
  <si>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</si>
  <si>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</si>
  <si>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</si>
  <si>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</si>
  <si>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</si>
  <si>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</si>
  <si>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</si>
  <si>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</si>
  <si>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</si>
  <si>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</si>
  <si>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</si>
  <si>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</si>
  <si>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</si>
  <si>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</si>
  <si>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</si>
  <si>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</si>
  <si>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</si>
  <si>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</si>
  <si>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</si>
  <si>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</si>
  <si>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</si>
  <si>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</si>
  <si>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</si>
  <si>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</si>
  <si>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</si>
  <si>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</si>
  <si>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</si>
  <si>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</si>
  <si>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</si>
  <si>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</si>
  <si>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</si>
  <si>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</si>
  <si>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</si>
  <si>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</si>
  <si>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</si>
  <si>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</si>
  <si>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</si>
  <si>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</si>
  <si>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</si>
  <si>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</si>
  <si>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</si>
  <si>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</si>
  <si>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</si>
  <si>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</si>
  <si>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</si>
  <si>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</si>
  <si>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</si>
  <si>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</si>
  <si>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</si>
  <si>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</si>
  <si>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</si>
  <si>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</si>
  <si>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</si>
  <si>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</si>
  <si>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</si>
  <si>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</si>
  <si>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</si>
  <si>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</si>
  <si>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</si>
  <si>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</si>
  <si>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</si>
  <si>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</si>
  <si>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</si>
  <si>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</si>
  <si>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</si>
  <si>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</si>
  <si>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</si>
  <si>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</si>
  <si>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</si>
  <si>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</si>
  <si>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</si>
  <si>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</si>
  <si>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</si>
  <si>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</si>
  <si>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</si>
  <si>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hectares</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</si>
  <si>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</si>
  <si>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</si>
  <si>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</si>
  <si>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</si>
  <si>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</si>
  <si>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</si>
  <si>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</si>
  <si>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</si>
  <si>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</si>
  <si>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</si>
  <si>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</si>
  <si>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</si>
  <si>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</si>
  <si>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</si>
  <si>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</si>
  <si>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</si>
  <si>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</si>
  <si>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</si>
  <si>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</si>
  <si>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</si>
  <si>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</si>
  <si>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</si>
  <si>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</si>
  <si>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</si>
  <si>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</si>
  <si>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</si>
  <si>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</si>
  <si>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</si>
  <si>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</si>
  <si>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</si>
  <si>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</si>
  <si>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</si>
  <si>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</si>
  <si>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</si>
  <si>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</si>
  <si>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</si>
  <si>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</si>
  <si>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</si>
  <si>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</si>
  <si>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</si>
  <si>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</si>
  <si>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</si>
  <si>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</si>
  <si>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</si>
  <si>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</si>
  <si>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</si>
  <si>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</si>
  <si>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</si>
  <si>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</si>
  <si>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</si>
  <si>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</si>
  <si>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</si>
  <si>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</si>
  <si>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</si>
  <si>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</si>
  <si>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</si>
  <si>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</si>
  <si>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</si>
  <si>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</si>
  <si>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</si>
  <si>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</si>
  <si>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</si>
  <si>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</si>
  <si>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</si>
  <si>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</si>
  <si>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</si>
  <si>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</si>
  <si>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</si>
  <si>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</si>
  <si>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</si>
  <si>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</si>
  <si>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</si>
  <si>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</si>
  <si>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</si>
  <si>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</si>
  <si>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</si>
  <si>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</si>
  <si>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</si>
  <si>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</si>
  <si>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</si>
  <si>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</si>
  <si>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</si>
  <si>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</si>
  <si>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</si>
  <si>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</si>
  <si>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</si>
  <si>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</si>
  <si>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</si>
  <si>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</si>
  <si>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</si>
  <si>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</si>
  <si>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</si>
  <si>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</si>
  <si>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</si>
  <si>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</si>
  <si>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</si>
  <si>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</si>
  <si>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</si>
  <si>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</si>
  <si>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</si>
  <si>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</si>
  <si>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</si>
  <si>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</si>
  <si>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</si>
  <si>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</si>
  <si>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</si>
  <si>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</si>
  <si>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</si>
  <si>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</si>
  <si>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</si>
  <si>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</si>
  <si>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</si>
  <si>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</si>
  <si>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</si>
  <si>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</si>
  <si>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</si>
  <si>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</si>
  <si>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</si>
  <si>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</si>
  <si>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</si>
  <si>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</si>
  <si>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</si>
  <si>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</si>
  <si>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</si>
  <si>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</si>
  <si>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</si>
  <si>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</si>
  <si>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</si>
  <si>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</si>
  <si>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</si>
  <si>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</si>
  <si>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</si>
  <si>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</si>
  <si>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</si>
  <si>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</si>
  <si>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</si>
  <si>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</si>
  <si>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</si>
  <si>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</si>
  <si>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</si>
  <si>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</si>
  <si>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</si>
  <si>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</si>
  <si>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</si>
  <si>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</si>
  <si>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</si>
  <si>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</si>
  <si>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</si>
  <si>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</si>
  <si>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</si>
  <si>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</si>
  <si>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</si>
  <si>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</si>
  <si>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</si>
  <si>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</si>
  <si>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</si>
  <si>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</si>
  <si>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</si>
  <si>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</si>
  <si>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</si>
  <si>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</si>
  <si>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</si>
  <si>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</si>
  <si>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</si>
  <si>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</si>
  <si>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</si>
  <si>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</si>
  <si>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</si>
  <si>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</si>
  <si>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</si>
  <si>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</si>
  <si>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</si>
  <si>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</si>
  <si>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</si>
  <si>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</si>
  <si>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</si>
  <si>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</si>
  <si>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</si>
  <si>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</si>
  <si>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</si>
  <si>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</si>
  <si>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</si>
  <si>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</si>
  <si>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</si>
  <si>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</si>
  <si>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</si>
  <si>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</si>
  <si>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</si>
  <si>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</si>
  <si>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</si>
  <si>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</si>
  <si>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</si>
  <si>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</si>
  <si>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</si>
  <si>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</si>
  <si>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</si>
  <si>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</si>
  <si>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</si>
  <si>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</si>
  <si>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</si>
  <si>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</si>
  <si>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</si>
  <si>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</si>
  <si>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</si>
  <si>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</si>
  <si>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</si>
  <si>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</si>
  <si>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</si>
  <si>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</si>
  <si>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</si>
  <si>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</si>
  <si>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</si>
  <si>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</si>
  <si>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</si>
  <si>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</si>
  <si>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</si>
  <si>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</si>
  <si>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</si>
  <si>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</si>
  <si>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</si>
  <si>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</si>
  <si>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</si>
  <si>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</si>
  <si>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</si>
  <si>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</si>
  <si>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</si>
  <si>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</si>
  <si>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</si>
  <si>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</si>
  <si>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</si>
  <si>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</si>
  <si>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</si>
  <si>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</si>
  <si>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</si>
  <si>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</si>
  <si>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</si>
  <si>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</si>
  <si>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</si>
  <si>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</si>
  <si>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</si>
  <si>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</si>
  <si>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</si>
  <si>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</si>
  <si>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</si>
  <si>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</si>
  <si>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</si>
  <si>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</si>
  <si>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</si>
  <si>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</si>
  <si>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</si>
  <si>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</si>
  <si>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</si>
  <si>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</si>
  <si>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</si>
  <si>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</si>
  <si>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</si>
  <si>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</si>
  <si>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</si>
  <si>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</si>
  <si>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</si>
  <si>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</si>
  <si>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</si>
  <si>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</si>
  <si>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</si>
  <si>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</si>
  <si>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</si>
  <si>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</si>
  <si>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</si>
  <si>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</si>
  <si>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</si>
  <si>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</si>
  <si>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</si>
  <si>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</si>
  <si>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</si>
  <si>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</si>
  <si>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</si>
  <si>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</si>
  <si>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</si>
  <si>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</si>
  <si>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</si>
  <si>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</si>
  <si>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</si>
  <si>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</si>
  <si>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</si>
  <si>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</si>
  <si>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</si>
  <si>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</si>
  <si>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</si>
  <si>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</si>
  <si>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</si>
  <si>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</si>
  <si>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</si>
  <si>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</si>
  <si>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</si>
  <si>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</si>
  <si>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</si>
  <si>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</si>
  <si>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</si>
  <si>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</si>
  <si>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</si>
  <si>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</si>
  <si>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</si>
  <si>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</si>
  <si>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</si>
  <si>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</si>
  <si>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</si>
  <si>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</si>
  <si>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</si>
  <si>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</si>
  <si>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</si>
  <si>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</si>
  <si>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</si>
  <si>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</si>
  <si>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</si>
  <si>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</si>
  <si>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</si>
  <si>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</si>
  <si>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</si>
  <si>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</si>
  <si>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</si>
  <si>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</si>
  <si>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</si>
  <si>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</si>
  <si>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</si>
  <si>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</si>
  <si>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</si>
  <si>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</si>
  <si>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</si>
  <si>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</si>
  <si>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</si>
  <si>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</si>
  <si>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</si>
  <si>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</si>
  <si>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</si>
  <si>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</si>
  <si>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</si>
  <si>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</si>
  <si>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</si>
  <si>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</si>
  <si>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</si>
  <si>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</si>
  <si>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</si>
  <si>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</si>
  <si>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</si>
  <si>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</si>
  <si>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</si>
  <si>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</si>
  <si>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</si>
  <si>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</si>
  <si>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</si>
  <si>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</si>
  <si>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</si>
  <si>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</si>
  <si>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</si>
  <si>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</si>
  <si>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</si>
  <si>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</si>
  <si>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</si>
  <si>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</si>
  <si>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</si>
  <si>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</si>
  <si>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</si>
  <si>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</si>
  <si>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</si>
  <si>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</si>
  <si>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</si>
  <si>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</si>
  <si>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</si>
  <si>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</si>
  <si>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</si>
  <si>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</si>
  <si>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</si>
  <si>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</si>
  <si>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</si>
  <si>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</si>
  <si>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</si>
  <si>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</si>
  <si>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</si>
  <si>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</si>
  <si>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</si>
  <si>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Livestock Purchases</t>
  </si>
  <si>
    <t>Livestock</t>
  </si>
  <si>
    <t>Beef cattle</t>
  </si>
  <si>
    <t>Purchase date</t>
  </si>
  <si>
    <t>Purchase class (select)</t>
  </si>
  <si>
    <t>Source region (Select)</t>
  </si>
  <si>
    <t>Quantity (head)</t>
  </si>
  <si>
    <t>Liveweight (kg/head) Method 1</t>
  </si>
  <si>
    <t>Liveweight (kg/head) Method 2</t>
  </si>
  <si>
    <t>Cows from Barry</t>
  </si>
  <si>
    <t>Cattle, for prime beef</t>
  </si>
  <si>
    <t>Cattle, for manufacturing beef</t>
  </si>
  <si>
    <t>Input - Farm inputs</t>
  </si>
  <si>
    <t>Chemicals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</si>
  <si>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</si>
  <si>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</si>
  <si>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</si>
  <si>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</si>
  <si>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</si>
  <si>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</si>
  <si>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</si>
  <si>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</si>
  <si>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</si>
  <si>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</si>
  <si>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</si>
  <si>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</si>
  <si>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</si>
  <si>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</si>
  <si>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</si>
  <si>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</si>
  <si>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</si>
  <si>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</si>
  <si>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</si>
  <si>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</si>
  <si>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</si>
  <si>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</si>
  <si>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</si>
  <si>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</si>
  <si>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</si>
  <si>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</si>
  <si>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</si>
  <si>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Cleaning chemicals</t>
  </si>
  <si>
    <t>Type (select)</t>
  </si>
  <si>
    <t>Quantity purchased (kg)</t>
  </si>
  <si>
    <t>Acid kleen</t>
  </si>
  <si>
    <t>Phosphoric acid</t>
  </si>
  <si>
    <t>Kleen alk</t>
  </si>
  <si>
    <t>Alkaline cleaner</t>
  </si>
  <si>
    <t>White king</t>
  </si>
  <si>
    <t>Bleach</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</si>
  <si>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</si>
  <si>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</si>
  <si>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</si>
  <si>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</si>
  <si>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</si>
  <si>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</si>
  <si>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</si>
  <si>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</si>
  <si>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</si>
  <si>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</si>
  <si>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Feed</t>
  </si>
  <si>
    <t>Lick blocks</t>
  </si>
  <si>
    <t>Feed rations</t>
  </si>
  <si>
    <t>Purchased feed blends</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</si>
  <si>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</si>
  <si>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</si>
  <si>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</si>
  <si>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</si>
  <si>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</si>
  <si>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</si>
  <si>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</si>
  <si>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</si>
  <si>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</si>
  <si>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</si>
  <si>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</si>
  <si>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</si>
  <si>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Molasses</t>
  </si>
  <si>
    <t>Lucerne hay</t>
  </si>
  <si>
    <t>Hay bales in paddock</t>
  </si>
  <si>
    <t>Sardines (whole)</t>
  </si>
  <si>
    <t>Soybean meal</t>
  </si>
  <si>
    <t>Brazil</t>
  </si>
  <si>
    <t>Pasture hay</t>
  </si>
  <si>
    <t>Services and contractors</t>
  </si>
  <si>
    <t>Service provider / contractor</t>
  </si>
  <si>
    <t>Activity</t>
  </si>
  <si>
    <t>Total amount</t>
  </si>
  <si>
    <t>Pete's Pickers</t>
  </si>
  <si>
    <t>Fruit picking</t>
  </si>
  <si>
    <t>Hour</t>
  </si>
  <si>
    <t>Harini's Harvesting Services Pty Ltd</t>
  </si>
  <si>
    <t>Wheat harvesting</t>
  </si>
  <si>
    <t>Hectare</t>
  </si>
  <si>
    <t>Packaging</t>
  </si>
  <si>
    <t>Packaging name</t>
  </si>
  <si>
    <t>Quantity purchased</t>
  </si>
  <si>
    <t>Primary material</t>
  </si>
  <si>
    <t>Weight per unit (kg)</t>
  </si>
  <si>
    <t>Total weight purchased (kg)</t>
  </si>
  <si>
    <t>250g punnet</t>
  </si>
  <si>
    <t>Plastic sheet HDPE</t>
  </si>
  <si>
    <t>Grow Media</t>
  </si>
  <si>
    <t>Grow media type</t>
  </si>
  <si>
    <t>Coir</t>
  </si>
  <si>
    <t>Peat moss</t>
  </si>
  <si>
    <t>m3</t>
  </si>
  <si>
    <t>tiny gravel</t>
  </si>
  <si>
    <t>Seed</t>
  </si>
  <si>
    <t>Miscellaneous inputs</t>
  </si>
  <si>
    <t>tags</t>
  </si>
  <si>
    <t>Uncategorised products</t>
  </si>
  <si>
    <t>Product / service name</t>
  </si>
  <si>
    <t>Something</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</si>
  <si>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</si>
  <si>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</si>
  <si>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</si>
  <si>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</si>
  <si>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</si>
  <si>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</si>
  <si>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</si>
  <si>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</si>
  <si>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</si>
  <si>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</si>
  <si>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</si>
  <si>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</si>
  <si>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</si>
  <si>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</si>
  <si>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</si>
  <si>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</si>
  <si>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</si>
  <si>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</si>
  <si>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</si>
  <si>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</si>
  <si>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</si>
  <si>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</si>
  <si>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</si>
  <si>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</si>
  <si>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</si>
  <si>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</si>
  <si>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</si>
  <si>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</si>
  <si>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</si>
  <si>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</si>
  <si>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</si>
  <si>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</si>
  <si>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</si>
  <si>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</si>
  <si>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</si>
  <si>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</si>
  <si>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</si>
  <si>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</si>
  <si>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</si>
  <si>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</si>
  <si>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</si>
  <si>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</si>
  <si>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</si>
  <si>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</si>
  <si>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</si>
  <si>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</si>
  <si>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</si>
  <si>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</si>
  <si>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</si>
  <si>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</si>
  <si>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</si>
  <si>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</si>
  <si>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</si>
  <si>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</si>
  <si>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</si>
  <si>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</si>
  <si>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</si>
  <si>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</si>
  <si>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</si>
  <si>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</si>
  <si>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</si>
  <si>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</si>
  <si>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</si>
  <si>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</si>
  <si>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</si>
  <si>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</si>
  <si>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</si>
  <si>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</si>
  <si>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</si>
  <si>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</si>
  <si>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</si>
  <si>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</si>
  <si>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</si>
  <si>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</si>
  <si>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</si>
  <si>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</si>
  <si>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</si>
  <si>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</si>
  <si>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</si>
  <si>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</si>
  <si>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</si>
  <si>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</si>
  <si>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</si>
  <si>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</si>
  <si>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</si>
  <si>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</si>
  <si>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</si>
  <si>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</si>
  <si>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</si>
  <si>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</si>
  <si>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</si>
  <si>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</si>
  <si>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</si>
  <si>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</si>
  <si>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</si>
  <si>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</si>
  <si>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</si>
  <si>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</si>
  <si>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</si>
  <si>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</si>
  <si>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</si>
  <si>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</si>
  <si>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</si>
  <si>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</si>
  <si>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</si>
  <si>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</si>
  <si>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</si>
  <si>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</si>
  <si>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</si>
  <si>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</si>
  <si>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</si>
  <si>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</si>
  <si>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</si>
  <si>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</si>
  <si>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</si>
  <si>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</si>
  <si>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</si>
  <si>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</si>
  <si>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</si>
  <si>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</si>
  <si>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</si>
  <si>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</si>
  <si>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</si>
  <si>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</si>
  <si>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</si>
  <si>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</si>
  <si>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</si>
  <si>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</si>
  <si>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</si>
  <si>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</si>
  <si>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</si>
  <si>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</si>
  <si>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</si>
  <si>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</si>
  <si>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</si>
  <si>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</si>
  <si>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</si>
  <si>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</si>
  <si>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</si>
  <si>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</si>
  <si>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</si>
  <si>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</si>
  <si>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</si>
  <si>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</si>
  <si>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</si>
  <si>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</si>
  <si>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</si>
  <si>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Inorganic fertilisers</t>
  </si>
  <si>
    <t>Quantity</t>
  </si>
  <si>
    <t>Other agricultural inputs</t>
  </si>
  <si>
    <t>Soil ameliorants</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</si>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</sst>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C09]d\ mmmm\ yyyy;@"/>
    <numFmt numFmtId="173" formatCode="0.00000"/>
  </numFmts>
  <fonts count="88"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b/>
      <sz val="12"/>
      <color theme="1"/>
      <name val="Times New Roman"/>
      <family val="2"/>
    </font>
    <font>
      <sz val="9"/>
      <color rgb="FF404040"/>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2"/>
      <color rgb="FFC44340"/>
      <name val="Times New Roman"/>
      <family val="1"/>
    </font>
    <font>
      <i/>
      <sz val="12"/>
      <color rgb="FFC44340"/>
      <name val="Times New Roman"/>
      <family val="1"/>
    </font>
    <font>
      <b/>
      <vertAlign val="superscript"/>
      <sz val="11"/>
      <color rgb="FF183C1B"/>
      <name val="Times New Roman"/>
      <family val="1"/>
    </font>
    <font>
      <b/>
      <sz val="20"/>
      <color theme="3" tint="9.9978637043366805E-2"/>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8" fillId="4" borderId="0">
      <alignment horizontal="left" vertical="center"/>
    </xf>
    <xf numFmtId="0" fontId="32" fillId="4" borderId="0">
      <alignment vertical="center"/>
    </xf>
    <xf numFmtId="0" fontId="4" fillId="4" borderId="0">
      <alignment horizontal="left" vertical="center"/>
    </xf>
    <xf numFmtId="0" fontId="3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3" fillId="13" borderId="5">
      <alignment horizontal="left" vertical="center"/>
    </xf>
    <xf numFmtId="3" fontId="26" fillId="4" borderId="2">
      <alignment horizontal="center" vertical="center"/>
    </xf>
    <xf numFmtId="167" fontId="3" fillId="0" borderId="2">
      <alignment horizontal="center" vertical="center"/>
    </xf>
    <xf numFmtId="0" fontId="27" fillId="0" borderId="0"/>
    <xf numFmtId="0" fontId="10" fillId="0" borderId="0"/>
    <xf numFmtId="0" fontId="27" fillId="0" borderId="0"/>
    <xf numFmtId="166" fontId="26" fillId="4" borderId="2">
      <alignment horizontal="center" vertical="center"/>
    </xf>
    <xf numFmtId="4" fontId="26" fillId="4" borderId="2">
      <alignment horizontal="center" vertical="center"/>
    </xf>
    <xf numFmtId="0" fontId="37"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7" fillId="4" borderId="0">
      <alignment horizontal="left" vertical="center"/>
    </xf>
    <xf numFmtId="0" fontId="31" fillId="4" borderId="0">
      <alignment horizontal="left" vertical="center"/>
    </xf>
    <xf numFmtId="0" fontId="10" fillId="0" borderId="0"/>
    <xf numFmtId="0" fontId="3" fillId="0" borderId="2">
      <alignment horizontal="center" vertical="center"/>
    </xf>
    <xf numFmtId="0" fontId="35" fillId="4" borderId="0">
      <alignment horizontal="left" vertical="center"/>
    </xf>
    <xf numFmtId="0" fontId="36" fillId="4" borderId="0">
      <alignment horizontal="left" vertical="center"/>
    </xf>
    <xf numFmtId="0" fontId="38" fillId="4" borderId="0">
      <alignment horizontal="left" vertical="center"/>
    </xf>
    <xf numFmtId="0" fontId="34" fillId="11" borderId="0">
      <alignment horizontal="center" vertical="center"/>
    </xf>
    <xf numFmtId="0" fontId="21" fillId="11" borderId="0">
      <alignment horizontal="left" vertical="center" indent="1"/>
    </xf>
    <xf numFmtId="0" fontId="40" fillId="4" borderId="2">
      <alignment horizontal="left" vertical="center"/>
    </xf>
    <xf numFmtId="0" fontId="26" fillId="4" borderId="2">
      <alignment horizontal="left" vertical="center"/>
    </xf>
    <xf numFmtId="0" fontId="41" fillId="14" borderId="2">
      <alignment horizontal="center" vertical="center"/>
    </xf>
    <xf numFmtId="0" fontId="42" fillId="15" borderId="2">
      <alignment horizontal="center" vertical="center"/>
    </xf>
    <xf numFmtId="0" fontId="43"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81" fillId="4" borderId="0">
      <alignment horizontal="left" vertical="center"/>
    </xf>
    <xf numFmtId="0" fontId="42" fillId="17" borderId="2">
      <alignment horizontal="center" vertical="center"/>
    </xf>
  </cellStyleXfs>
  <cellXfs count="273">
    <xf numFmtId="0" fontId="0" fillId="0" borderId="0" xfId="0"/>
    <xf numFmtId="0" fontId="30" fillId="4" borderId="0" xfId="8">
      <alignment horizontal="left" vertical="center"/>
    </xf>
    <xf numFmtId="0" fontId="28"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2" fontId="24"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3" fillId="4" borderId="0" xfId="0" applyFont="1" applyFill="1"/>
    <xf numFmtId="2" fontId="24" fillId="4" borderId="0" xfId="0" applyNumberFormat="1" applyFont="1" applyFill="1"/>
    <xf numFmtId="0" fontId="24" fillId="4" borderId="1" xfId="0" applyFont="1" applyFill="1" applyBorder="1"/>
    <xf numFmtId="0" fontId="7" fillId="4" borderId="0" xfId="53">
      <alignment horizontal="left" vertical="center"/>
    </xf>
    <xf numFmtId="0" fontId="11" fillId="0" borderId="0" xfId="32"/>
    <xf numFmtId="9" fontId="9" fillId="4" borderId="0" xfId="11">
      <alignment horizontal="center" vertical="center"/>
    </xf>
    <xf numFmtId="164" fontId="9" fillId="4" borderId="0" xfId="10">
      <alignment horizontal="center" vertical="center"/>
    </xf>
    <xf numFmtId="2" fontId="24" fillId="4" borderId="1" xfId="0" applyNumberFormat="1" applyFont="1" applyFill="1" applyBorder="1" applyAlignment="1">
      <alignment horizontal="center"/>
    </xf>
    <xf numFmtId="0" fontId="34" fillId="11" borderId="0" xfId="60">
      <alignment horizontal="center" vertical="center"/>
    </xf>
    <xf numFmtId="0" fontId="39" fillId="0" borderId="0" xfId="2" applyFont="1"/>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6" fillId="4" borderId="2" xfId="52">
      <alignment horizontal="center" vertical="center"/>
    </xf>
    <xf numFmtId="0" fontId="7" fillId="4" borderId="0" xfId="12">
      <alignment horizontal="left" vertical="center" indent="1"/>
    </xf>
    <xf numFmtId="0" fontId="32" fillId="4" borderId="0" xfId="6">
      <alignment vertical="center"/>
    </xf>
    <xf numFmtId="9" fontId="3" fillId="0" borderId="2" xfId="16">
      <alignment horizontal="center" vertical="center"/>
    </xf>
    <xf numFmtId="9" fontId="26"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31"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8" fillId="0" borderId="0" xfId="5" applyFill="1">
      <alignment horizontal="left" vertical="center"/>
    </xf>
    <xf numFmtId="0" fontId="12" fillId="4" borderId="0" xfId="30">
      <alignment vertical="center"/>
    </xf>
    <xf numFmtId="0" fontId="32" fillId="0" borderId="0" xfId="6" applyFill="1">
      <alignment vertical="center"/>
    </xf>
    <xf numFmtId="0" fontId="3" fillId="0" borderId="2" xfId="14">
      <alignment horizontal="center" vertical="center"/>
    </xf>
    <xf numFmtId="0" fontId="30" fillId="0" borderId="0" xfId="8" applyFill="1">
      <alignment horizontal="left" vertical="center"/>
    </xf>
    <xf numFmtId="0" fontId="33" fillId="13" borderId="7" xfId="39" applyBorder="1">
      <alignment horizontal="left" vertical="center"/>
    </xf>
    <xf numFmtId="0" fontId="33" fillId="13" borderId="8" xfId="39" applyBorder="1">
      <alignment horizontal="left" vertical="center"/>
    </xf>
    <xf numFmtId="0" fontId="33" fillId="13" borderId="9" xfId="39" applyBorder="1">
      <alignment horizontal="left" vertical="center"/>
    </xf>
    <xf numFmtId="0" fontId="33" fillId="13" borderId="10" xfId="39" applyBorder="1">
      <alignment horizontal="left" vertical="center"/>
    </xf>
    <xf numFmtId="0" fontId="45" fillId="0" borderId="0" xfId="12" applyFont="1" applyFill="1" applyAlignment="1">
      <alignment horizontal="left" vertical="center"/>
    </xf>
    <xf numFmtId="166" fontId="26" fillId="4" borderId="2" xfId="40" applyNumberFormat="1">
      <alignment horizontal="center" vertical="center"/>
    </xf>
    <xf numFmtId="0" fontId="3" fillId="0" borderId="0" xfId="7" applyFont="1" applyFill="1">
      <alignment horizontal="left" vertical="center"/>
    </xf>
    <xf numFmtId="0" fontId="46" fillId="13" borderId="11" xfId="39" applyFont="1" applyBorder="1">
      <alignment horizontal="left" vertical="center"/>
    </xf>
    <xf numFmtId="0" fontId="33" fillId="13" borderId="12" xfId="39" applyBorder="1">
      <alignment horizontal="left" vertical="center"/>
    </xf>
    <xf numFmtId="0" fontId="33" fillId="13" borderId="13" xfId="39" applyBorder="1">
      <alignment horizontal="left" vertical="center"/>
    </xf>
    <xf numFmtId="0" fontId="33" fillId="13" borderId="14" xfId="39" applyBorder="1">
      <alignment horizontal="left" vertical="center"/>
    </xf>
    <xf numFmtId="0" fontId="33" fillId="13" borderId="15" xfId="39" applyBorder="1">
      <alignment horizontal="left" vertical="center"/>
    </xf>
    <xf numFmtId="0" fontId="33"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7" fillId="0" borderId="0" xfId="0" applyFont="1" applyAlignment="1" applyProtection="1">
      <alignment horizontal="center" vertical="center"/>
      <protection locked="0"/>
    </xf>
    <xf numFmtId="4" fontId="48" fillId="0" borderId="0" xfId="17" applyFont="1" applyBorder="1">
      <alignment horizontal="center" vertical="center"/>
    </xf>
    <xf numFmtId="164" fontId="9" fillId="4" borderId="0" xfId="26" applyBorder="1">
      <alignment horizontal="center" vertical="center"/>
    </xf>
    <xf numFmtId="4" fontId="48" fillId="4" borderId="0" xfId="17" applyFont="1" applyFill="1" applyBorder="1">
      <alignment horizontal="center" vertical="center"/>
    </xf>
    <xf numFmtId="0" fontId="48" fillId="4" borderId="0" xfId="12" applyFont="1" applyAlignment="1">
      <alignment horizontal="center" vertical="center"/>
    </xf>
    <xf numFmtId="0" fontId="48" fillId="4" borderId="0" xfId="8" applyFont="1" applyAlignment="1">
      <alignment horizontal="center" vertical="center"/>
    </xf>
    <xf numFmtId="166" fontId="48" fillId="4" borderId="0" xfId="8" applyNumberFormat="1" applyFont="1" applyAlignment="1">
      <alignment horizontal="center" vertical="center"/>
    </xf>
    <xf numFmtId="9" fontId="48" fillId="4" borderId="0" xfId="68"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xf numFmtId="0" fontId="48" fillId="4" borderId="0" xfId="0" applyFont="1" applyFill="1"/>
    <xf numFmtId="0" fontId="48" fillId="0" borderId="0" xfId="0" applyFont="1"/>
    <xf numFmtId="0" fontId="50" fillId="4" borderId="0" xfId="7" applyFont="1" applyAlignment="1">
      <alignment horizontal="center" vertical="center"/>
    </xf>
    <xf numFmtId="0" fontId="51" fillId="4" borderId="0" xfId="7" applyFont="1" applyAlignment="1">
      <alignment horizontal="center" vertical="center"/>
    </xf>
    <xf numFmtId="166" fontId="51" fillId="4" borderId="0" xfId="7" applyNumberFormat="1" applyFont="1" applyAlignment="1">
      <alignment horizontal="center" vertical="center"/>
    </xf>
    <xf numFmtId="0" fontId="51" fillId="4" borderId="0" xfId="0" applyFont="1" applyFill="1" applyAlignment="1">
      <alignment horizontal="center" vertical="center"/>
    </xf>
    <xf numFmtId="0" fontId="52" fillId="4" borderId="0" xfId="0" applyFont="1" applyFill="1" applyAlignment="1">
      <alignment horizontal="center" vertical="center"/>
    </xf>
    <xf numFmtId="0" fontId="52" fillId="4" borderId="0" xfId="0" applyFont="1" applyFill="1" applyAlignment="1">
      <alignment horizontal="left" vertical="center"/>
    </xf>
    <xf numFmtId="14" fontId="4" fillId="4" borderId="0" xfId="7" applyNumberFormat="1">
      <alignment horizontal="left" vertical="center"/>
    </xf>
    <xf numFmtId="0" fontId="33" fillId="13" borderId="5" xfId="39">
      <alignment horizontal="left" vertical="center"/>
    </xf>
    <xf numFmtId="0" fontId="43"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3" fillId="4" borderId="0" xfId="0" applyFont="1" applyFill="1"/>
    <xf numFmtId="0" fontId="3" fillId="0" borderId="2" xfId="56">
      <alignment horizontal="center" vertical="center"/>
    </xf>
    <xf numFmtId="2" fontId="30" fillId="4" borderId="0" xfId="8" applyNumberFormat="1">
      <alignment horizontal="left" vertical="center"/>
    </xf>
    <xf numFmtId="0" fontId="44" fillId="4" borderId="0" xfId="8" applyFont="1">
      <alignment horizontal="left" vertical="center"/>
    </xf>
    <xf numFmtId="0" fontId="24" fillId="4" borderId="0" xfId="0" applyFont="1" applyFill="1"/>
    <xf numFmtId="0" fontId="26" fillId="4" borderId="2" xfId="52" quotePrefix="1">
      <alignment horizontal="center" vertical="center"/>
    </xf>
    <xf numFmtId="0" fontId="37" fillId="4" borderId="0" xfId="47">
      <alignment horizontal="left" vertical="center"/>
    </xf>
    <xf numFmtId="0" fontId="38" fillId="4" borderId="0" xfId="59">
      <alignment horizontal="left" vertical="center"/>
    </xf>
    <xf numFmtId="170" fontId="0" fillId="0" borderId="0" xfId="8" applyNumberFormat="1" applyFont="1" applyFill="1">
      <alignment horizontal="left" vertical="center"/>
    </xf>
    <xf numFmtId="0" fontId="10" fillId="0" borderId="0" xfId="55"/>
    <xf numFmtId="0" fontId="21" fillId="5" borderId="0" xfId="36">
      <alignment horizontal="left" vertical="center" indent="1"/>
    </xf>
    <xf numFmtId="0" fontId="13" fillId="6" borderId="0" xfId="28">
      <alignment horizontal="left" vertical="center" indent="1"/>
    </xf>
    <xf numFmtId="0" fontId="55" fillId="9" borderId="4" xfId="34" applyFont="1">
      <alignment horizontal="left" vertical="center" indent="1"/>
    </xf>
    <xf numFmtId="171" fontId="26" fillId="4" borderId="2" xfId="68" applyNumberFormat="1" applyFont="1" applyFill="1" applyBorder="1" applyAlignment="1">
      <alignment horizontal="center" vertical="center"/>
    </xf>
    <xf numFmtId="0" fontId="56" fillId="4" borderId="0" xfId="8" applyFont="1">
      <alignment horizontal="left" vertical="center"/>
    </xf>
    <xf numFmtId="0" fontId="16" fillId="4" borderId="0" xfId="24">
      <alignment horizontal="left" vertical="center"/>
    </xf>
    <xf numFmtId="0" fontId="21" fillId="8" borderId="0" xfId="37">
      <alignment horizontal="left" vertical="center" indent="1"/>
    </xf>
    <xf numFmtId="0" fontId="26" fillId="4" borderId="2" xfId="63">
      <alignment horizontal="left" vertical="center"/>
    </xf>
    <xf numFmtId="0" fontId="26" fillId="4" borderId="17" xfId="63" applyBorder="1">
      <alignment horizontal="left" vertical="center"/>
    </xf>
    <xf numFmtId="0" fontId="26" fillId="4" borderId="18" xfId="63" applyBorder="1">
      <alignment horizontal="left" vertical="center"/>
    </xf>
    <xf numFmtId="0" fontId="26" fillId="4" borderId="19" xfId="63" applyBorder="1">
      <alignment horizontal="left" vertical="center"/>
    </xf>
    <xf numFmtId="0" fontId="42" fillId="15" borderId="2" xfId="65">
      <alignment horizontal="center" vertical="center"/>
    </xf>
    <xf numFmtId="0" fontId="41" fillId="14" borderId="2" xfId="64">
      <alignment horizontal="center" vertical="center"/>
    </xf>
    <xf numFmtId="0" fontId="40" fillId="4" borderId="2" xfId="62">
      <alignment horizontal="left" vertical="center"/>
    </xf>
    <xf numFmtId="0" fontId="35" fillId="4" borderId="0" xfId="57">
      <alignment horizontal="left" vertical="center"/>
    </xf>
    <xf numFmtId="0" fontId="36" fillId="4" borderId="0" xfId="58">
      <alignment horizontal="left" vertical="center"/>
    </xf>
    <xf numFmtId="0" fontId="6" fillId="2" borderId="0" xfId="9">
      <alignment horizontal="center" vertical="center"/>
    </xf>
    <xf numFmtId="0" fontId="13" fillId="6" borderId="0" xfId="29">
      <alignment horizontal="center" vertical="center"/>
      <protection locked="0"/>
    </xf>
    <xf numFmtId="0" fontId="26" fillId="16" borderId="2" xfId="52" applyFill="1">
      <alignment horizontal="center" vertical="center"/>
    </xf>
    <xf numFmtId="0" fontId="30" fillId="4" borderId="1" xfId="8" applyBorder="1">
      <alignment horizontal="left" vertical="center"/>
    </xf>
    <xf numFmtId="0" fontId="59" fillId="4" borderId="1" xfId="8" applyFont="1" applyBorder="1">
      <alignment horizontal="left" vertical="center"/>
    </xf>
    <xf numFmtId="0" fontId="61" fillId="4" borderId="1" xfId="8" applyFont="1" applyBorder="1">
      <alignment horizontal="left" vertical="center"/>
    </xf>
    <xf numFmtId="0" fontId="62" fillId="4" borderId="1" xfId="53" applyFont="1" applyBorder="1">
      <alignment horizontal="left" vertical="center"/>
    </xf>
    <xf numFmtId="0" fontId="26" fillId="4" borderId="2" xfId="52" applyAlignment="1">
      <alignment horizontal="left" vertical="center"/>
    </xf>
    <xf numFmtId="0" fontId="26" fillId="4" borderId="17" xfId="52" applyBorder="1" applyAlignment="1">
      <alignment horizontal="left" vertical="center"/>
    </xf>
    <xf numFmtId="0" fontId="26" fillId="4" borderId="18" xfId="52" applyBorder="1">
      <alignment horizontal="center" vertical="center"/>
    </xf>
    <xf numFmtId="0" fontId="7" fillId="4" borderId="1" xfId="53" applyBorder="1">
      <alignment horizontal="left" vertical="center"/>
    </xf>
    <xf numFmtId="0" fontId="44" fillId="4" borderId="1" xfId="8" applyFont="1" applyBorder="1">
      <alignment horizontal="left" vertical="center"/>
    </xf>
    <xf numFmtId="0" fontId="26" fillId="4" borderId="2" xfId="52" applyAlignment="1">
      <alignment vertical="center"/>
    </xf>
    <xf numFmtId="0" fontId="26" fillId="4" borderId="17" xfId="52" applyBorder="1" applyAlignment="1">
      <alignment vertical="center"/>
    </xf>
    <xf numFmtId="0" fontId="26" fillId="4" borderId="18" xfId="52" applyBorder="1" applyAlignment="1">
      <alignment vertical="center"/>
    </xf>
    <xf numFmtId="0" fontId="26" fillId="4" borderId="19" xfId="52" applyBorder="1" applyAlignment="1">
      <alignment vertical="center"/>
    </xf>
    <xf numFmtId="0" fontId="21" fillId="10" borderId="0" xfId="35">
      <alignment horizontal="left" vertical="center" indent="1"/>
    </xf>
    <xf numFmtId="0" fontId="0" fillId="0" borderId="0" xfId="28" applyFont="1" applyFill="1">
      <alignment horizontal="left" vertical="center" indent="1"/>
    </xf>
    <xf numFmtId="0" fontId="30" fillId="16" borderId="0" xfId="8" applyFill="1">
      <alignment horizontal="left" vertical="center"/>
    </xf>
    <xf numFmtId="0" fontId="33" fillId="13" borderId="11" xfId="39" applyBorder="1">
      <alignment horizontal="left" vertical="center"/>
    </xf>
    <xf numFmtId="0" fontId="66" fillId="4" borderId="0" xfId="0" applyFont="1" applyFill="1" applyAlignment="1">
      <alignment horizontal="center" vertical="center"/>
    </xf>
    <xf numFmtId="0" fontId="66" fillId="4" borderId="0" xfId="0" applyFont="1" applyFill="1"/>
    <xf numFmtId="0" fontId="67" fillId="4" borderId="0" xfId="0" applyFont="1" applyFill="1"/>
    <xf numFmtId="0" fontId="33" fillId="13" borderId="20"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10" fillId="0" borderId="0" xfId="55" applyAlignment="1" applyProtection="1">
      <alignment horizontal="center" vertical="center" wrapText="1"/>
      <protection locked="0"/>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26" fillId="4" borderId="2" xfId="52" applyAlignment="1">
      <alignment horizontal="center" vertical="center" wrapText="1"/>
    </xf>
    <xf numFmtId="0" fontId="4" fillId="9" borderId="2" xfId="15" applyFill="1" applyAlignment="1">
      <alignment horizontal="center" vertical="center" wrapText="1"/>
    </xf>
    <xf numFmtId="4" fontId="0" fillId="0" borderId="2" xfId="17" applyFont="1" applyAlignment="1">
      <alignment horizontal="center" vertical="center" wrapText="1"/>
    </xf>
    <xf numFmtId="0" fontId="47" fillId="4" borderId="0" xfId="43" applyFont="1" applyFill="1" applyAlignment="1">
      <alignment horizontal="left" vertical="center" wrapText="1"/>
    </xf>
    <xf numFmtId="2" fontId="66" fillId="4" borderId="0" xfId="67" applyNumberFormat="1" applyFont="1" applyFill="1" applyBorder="1" applyAlignment="1" applyProtection="1">
      <alignment horizontal="center" wrapText="1"/>
      <protection locked="0"/>
    </xf>
    <xf numFmtId="1" fontId="66" fillId="4" borderId="0" xfId="67" applyNumberFormat="1" applyFont="1" applyFill="1" applyBorder="1" applyAlignment="1" applyProtection="1">
      <alignment horizontal="center" wrapText="1"/>
      <protection locked="0"/>
    </xf>
    <xf numFmtId="0" fontId="66" fillId="4" borderId="0" xfId="0" applyFont="1" applyFill="1" applyAlignment="1">
      <alignment horizontal="left" wrapText="1"/>
    </xf>
    <xf numFmtId="0" fontId="67" fillId="4" borderId="0" xfId="0" applyFont="1" applyFill="1" applyAlignment="1">
      <alignment wrapText="1"/>
    </xf>
    <xf numFmtId="0" fontId="30" fillId="4" borderId="0" xfId="8" applyAlignment="1">
      <alignment horizontal="left" vertical="center" wrapText="1"/>
    </xf>
    <xf numFmtId="0" fontId="37" fillId="4" borderId="0" xfId="47" applyAlignment="1">
      <alignment horizontal="left" vertical="center" wrapText="1"/>
    </xf>
    <xf numFmtId="0" fontId="0" fillId="4" borderId="0" xfId="0" applyFill="1" applyAlignment="1">
      <alignment wrapText="1"/>
    </xf>
    <xf numFmtId="0" fontId="68"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8" fillId="12" borderId="2" xfId="15" applyFont="1">
      <alignment horizontal="center" vertical="center"/>
    </xf>
    <xf numFmtId="9" fontId="0" fillId="0" borderId="21" xfId="68" applyFont="1" applyFill="1" applyBorder="1" applyAlignment="1">
      <alignment horizontal="center" vertical="center" wrapText="1"/>
    </xf>
    <xf numFmtId="0" fontId="33" fillId="13" borderId="22" xfId="39" applyBorder="1">
      <alignment horizontal="left" vertical="center"/>
    </xf>
    <xf numFmtId="0" fontId="33" fillId="13" borderId="0" xfId="39" applyBorder="1">
      <alignment horizontal="left" vertical="center"/>
    </xf>
    <xf numFmtId="0" fontId="33" fillId="13" borderId="23" xfId="39" applyBorder="1">
      <alignment horizontal="left" vertical="center"/>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0" fillId="0" borderId="0" xfId="0" applyAlignment="1">
      <alignment wrapText="1"/>
    </xf>
    <xf numFmtId="0" fontId="26" fillId="4" borderId="18" xfId="52" applyBorder="1" applyAlignment="1">
      <alignment horizontal="left" vertical="center"/>
    </xf>
    <xf numFmtId="0" fontId="40" fillId="4" borderId="17" xfId="62" applyBorder="1">
      <alignment horizontal="left" vertical="center"/>
    </xf>
    <xf numFmtId="0" fontId="26" fillId="4" borderId="19" xfId="52" applyBorder="1">
      <alignment horizontal="center" vertical="center"/>
    </xf>
    <xf numFmtId="0" fontId="26" fillId="4" borderId="19" xfId="52" applyBorder="1" applyAlignment="1">
      <alignment horizontal="left" vertical="center"/>
    </xf>
    <xf numFmtId="0" fontId="7" fillId="4" borderId="0" xfId="12" applyAlignment="1">
      <alignment horizontal="center" vertical="center"/>
    </xf>
    <xf numFmtId="0" fontId="6" fillId="2" borderId="0" xfId="1">
      <alignment horizontal="left" vertical="center" indent="1"/>
      <protection locked="0"/>
    </xf>
    <xf numFmtId="4" fontId="26" fillId="4" borderId="2" xfId="52" applyNumberFormat="1">
      <alignment horizontal="center" vertical="center"/>
    </xf>
    <xf numFmtId="9" fontId="26" fillId="4" borderId="2" xfId="52" applyNumberFormat="1">
      <alignment horizontal="center" vertical="center"/>
    </xf>
    <xf numFmtId="0" fontId="71" fillId="4" borderId="0" xfId="0" applyFont="1" applyFill="1"/>
    <xf numFmtId="0" fontId="7" fillId="4" borderId="1" xfId="12" applyBorder="1">
      <alignment horizontal="left" vertical="center" indent="1"/>
    </xf>
    <xf numFmtId="0" fontId="30" fillId="4" borderId="24" xfId="8" applyBorder="1">
      <alignment horizontal="left" vertical="center"/>
    </xf>
    <xf numFmtId="3" fontId="26" fillId="4" borderId="2" xfId="52" applyNumberFormat="1">
      <alignment horizontal="center" vertical="center"/>
    </xf>
    <xf numFmtId="4" fontId="26" fillId="4" borderId="2" xfId="46">
      <alignment horizontal="center" vertical="center"/>
    </xf>
    <xf numFmtId="0" fontId="62" fillId="4" borderId="1" xfId="12" applyFont="1" applyBorder="1">
      <alignment horizontal="left" vertical="center" indent="1"/>
    </xf>
    <xf numFmtId="0" fontId="6" fillId="2" borderId="0" xfId="9" applyAlignment="1">
      <alignment horizontal="center" vertical="center" wrapText="1"/>
    </xf>
    <xf numFmtId="0" fontId="30"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6" fillId="4" borderId="2" xfId="45">
      <alignment horizontal="center" vertical="center"/>
    </xf>
    <xf numFmtId="172" fontId="0" fillId="0" borderId="0" xfId="8" applyNumberFormat="1" applyFont="1" applyFill="1">
      <alignment horizontal="left" vertical="center"/>
    </xf>
    <xf numFmtId="0" fontId="29" fillId="4" borderId="0" xfId="48">
      <alignment horizontal="center" vertical="center"/>
    </xf>
    <xf numFmtId="17" fontId="0" fillId="0" borderId="0" xfId="8" applyNumberFormat="1" applyFont="1" applyFill="1">
      <alignment horizontal="left" vertical="center"/>
    </xf>
    <xf numFmtId="43" fontId="30" fillId="4" borderId="0" xfId="8" applyNumberFormat="1">
      <alignment horizontal="left" vertical="center"/>
    </xf>
    <xf numFmtId="9" fontId="26" fillId="4" borderId="2" xfId="63" applyNumberFormat="1">
      <alignment horizontal="left" vertical="center"/>
    </xf>
    <xf numFmtId="0" fontId="72"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4" fillId="12" borderId="26" xfId="15" applyBorder="1">
      <alignment horizontal="center" vertical="center"/>
    </xf>
    <xf numFmtId="0" fontId="26" fillId="4" borderId="26" xfId="52" applyBorder="1">
      <alignment horizontal="center" vertical="center"/>
    </xf>
    <xf numFmtId="9" fontId="0" fillId="0" borderId="26" xfId="16" applyFont="1" applyBorder="1">
      <alignment horizontal="center" vertical="center"/>
    </xf>
    <xf numFmtId="0" fontId="29" fillId="4" borderId="0" xfId="48" applyAlignment="1">
      <alignment horizontal="left" vertical="center"/>
    </xf>
    <xf numFmtId="173" fontId="73" fillId="4" borderId="2" xfId="52" applyNumberFormat="1" applyFont="1">
      <alignment horizontal="center" vertical="center"/>
    </xf>
    <xf numFmtId="0" fontId="25" fillId="4" borderId="0" xfId="50">
      <alignment horizontal="left" vertical="center"/>
    </xf>
    <xf numFmtId="4" fontId="26" fillId="4" borderId="26" xfId="46" applyBorder="1">
      <alignment horizontal="center" vertical="center"/>
    </xf>
    <xf numFmtId="173" fontId="73" fillId="4" borderId="26" xfId="52" applyNumberFormat="1" applyFont="1" applyBorder="1">
      <alignment horizontal="center" vertical="center"/>
    </xf>
    <xf numFmtId="0" fontId="4" fillId="4" borderId="1" xfId="7" applyBorder="1">
      <alignment horizontal="left" vertical="center"/>
    </xf>
    <xf numFmtId="0" fontId="29" fillId="4" borderId="1" xfId="48" applyBorder="1" applyAlignment="1">
      <alignment horizontal="left" vertical="center"/>
    </xf>
    <xf numFmtId="0" fontId="26" fillId="4" borderId="27" xfId="52" applyBorder="1">
      <alignment horizontal="center" vertical="center"/>
    </xf>
    <xf numFmtId="0" fontId="26" fillId="4" borderId="28" xfId="52" applyBorder="1">
      <alignment horizontal="center" vertical="center"/>
    </xf>
    <xf numFmtId="4" fontId="26" fillId="4" borderId="27" xfId="46" applyBorder="1">
      <alignment horizontal="center" vertical="center"/>
    </xf>
    <xf numFmtId="4" fontId="26" fillId="4" borderId="29" xfId="46" applyBorder="1">
      <alignment horizontal="center" vertical="center"/>
    </xf>
    <xf numFmtId="173" fontId="73" fillId="4" borderId="29" xfId="52" applyNumberFormat="1" applyFont="1" applyBorder="1">
      <alignment horizontal="center" vertical="center"/>
    </xf>
    <xf numFmtId="173" fontId="73" fillId="4" borderId="27" xfId="52" applyNumberFormat="1" applyFont="1" applyBorder="1">
      <alignment horizontal="center" vertical="center"/>
    </xf>
    <xf numFmtId="0" fontId="26" fillId="4" borderId="29" xfId="52" applyBorder="1">
      <alignment horizontal="center" vertical="center"/>
    </xf>
    <xf numFmtId="0" fontId="73" fillId="4" borderId="29" xfId="52" applyFont="1" applyBorder="1">
      <alignment horizontal="center" vertical="center"/>
    </xf>
    <xf numFmtId="0" fontId="4" fillId="4" borderId="25" xfId="7" applyBorder="1">
      <alignment horizontal="left" vertical="center"/>
    </xf>
    <xf numFmtId="165" fontId="71" fillId="4" borderId="25" xfId="0" applyNumberFormat="1" applyFont="1" applyFill="1" applyBorder="1"/>
    <xf numFmtId="0" fontId="7" fillId="4" borderId="25" xfId="12" applyBorder="1">
      <alignment horizontal="left" vertical="center" indent="1"/>
    </xf>
    <xf numFmtId="168" fontId="71" fillId="4" borderId="0" xfId="0" applyNumberFormat="1" applyFont="1" applyFill="1" applyAlignment="1">
      <alignment vertical="center"/>
    </xf>
    <xf numFmtId="165" fontId="71" fillId="4" borderId="25" xfId="0" applyNumberFormat="1" applyFont="1" applyFill="1" applyBorder="1" applyAlignment="1">
      <alignment vertical="center"/>
    </xf>
    <xf numFmtId="0" fontId="71" fillId="4" borderId="0" xfId="0" applyFont="1" applyFill="1" applyAlignment="1">
      <alignment vertical="center"/>
    </xf>
    <xf numFmtId="165" fontId="74" fillId="4" borderId="25" xfId="0" applyNumberFormat="1" applyFont="1" applyFill="1" applyBorder="1" applyAlignment="1">
      <alignment vertical="center"/>
    </xf>
    <xf numFmtId="168" fontId="73" fillId="4" borderId="2" xfId="46" applyNumberFormat="1" applyFont="1">
      <alignment horizontal="center" vertical="center"/>
    </xf>
    <xf numFmtId="168" fontId="73" fillId="4" borderId="26" xfId="46" applyNumberFormat="1" applyFont="1" applyBorder="1">
      <alignment horizontal="center" vertical="center"/>
    </xf>
    <xf numFmtId="168" fontId="73" fillId="4" borderId="29" xfId="46" applyNumberFormat="1" applyFont="1" applyBorder="1">
      <alignment horizontal="center" vertical="center"/>
    </xf>
    <xf numFmtId="0" fontId="72" fillId="0" borderId="0" xfId="0" applyFont="1" applyAlignment="1">
      <alignment vertical="center" wrapText="1"/>
    </xf>
    <xf numFmtId="0" fontId="75" fillId="0" borderId="0" xfId="0" applyFont="1" applyAlignment="1">
      <alignment horizontal="left" vertical="center"/>
    </xf>
    <xf numFmtId="0" fontId="75" fillId="0" borderId="0" xfId="8" applyFont="1" applyFill="1">
      <alignment horizontal="left" vertical="center"/>
    </xf>
    <xf numFmtId="0" fontId="72" fillId="0" borderId="0" xfId="0" applyFont="1" applyAlignment="1">
      <alignment horizontal="left" vertical="center"/>
    </xf>
    <xf numFmtId="0" fontId="0" fillId="0" borderId="0" xfId="0" applyAlignment="1">
      <alignment horizontal="left" vertical="center"/>
    </xf>
    <xf numFmtId="0" fontId="30" fillId="4" borderId="0" xfId="8" applyAlignment="1">
      <alignment horizontal="right" vertical="center"/>
    </xf>
    <xf numFmtId="0" fontId="72" fillId="4" borderId="0" xfId="0" applyFont="1" applyFill="1" applyAlignment="1">
      <alignment horizontal="left" vertical="center"/>
    </xf>
    <xf numFmtId="0" fontId="44" fillId="4" borderId="0" xfId="8" applyFont="1" applyAlignment="1">
      <alignment horizontal="right" vertical="center"/>
    </xf>
    <xf numFmtId="0" fontId="76" fillId="4" borderId="0" xfId="0" applyFont="1" applyFill="1"/>
    <xf numFmtId="0" fontId="72" fillId="0" borderId="0" xfId="0" applyFont="1"/>
    <xf numFmtId="0" fontId="72" fillId="0" borderId="0" xfId="7" applyFont="1" applyFill="1">
      <alignment horizontal="left" vertical="center"/>
    </xf>
    <xf numFmtId="0" fontId="72" fillId="4" borderId="0" xfId="0" applyFont="1" applyFill="1"/>
    <xf numFmtId="0" fontId="72" fillId="4" borderId="0" xfId="7" applyFont="1">
      <alignment horizontal="left" vertical="center"/>
    </xf>
    <xf numFmtId="0" fontId="65" fillId="2" borderId="0" xfId="8" applyFont="1" applyFill="1">
      <alignment horizontal="left" vertical="center"/>
    </xf>
    <xf numFmtId="0" fontId="77" fillId="0" borderId="0" xfId="8" applyFont="1" applyFill="1">
      <alignment horizontal="left" vertical="center"/>
    </xf>
    <xf numFmtId="0" fontId="33" fillId="13" borderId="11" xfId="39" quotePrefix="1" applyBorder="1">
      <alignment horizontal="left" vertical="center"/>
    </xf>
    <xf numFmtId="0" fontId="0" fillId="4" borderId="1" xfId="0" applyFill="1" applyBorder="1"/>
    <xf numFmtId="0" fontId="0" fillId="4" borderId="0" xfId="0" quotePrefix="1" applyFill="1"/>
    <xf numFmtId="0" fontId="78" fillId="4" borderId="1" xfId="0" applyFont="1" applyFill="1" applyBorder="1"/>
    <xf numFmtId="0" fontId="80" fillId="4" borderId="1" xfId="0" applyFont="1" applyFill="1" applyBorder="1"/>
    <xf numFmtId="0" fontId="23" fillId="0" borderId="0" xfId="0" applyFont="1"/>
    <xf numFmtId="0" fontId="1" fillId="0" borderId="0" xfId="69"/>
    <xf numFmtId="0" fontId="10" fillId="4" borderId="0" xfId="55" applyFill="1"/>
    <xf numFmtId="0" fontId="81" fillId="4" borderId="0" xfId="70">
      <alignment horizontal="left" vertical="center"/>
    </xf>
    <xf numFmtId="0" fontId="0" fillId="0" borderId="0" xfId="8" applyFont="1" applyFill="1" applyAlignment="1">
      <alignment horizontal="left" vertical="center" wrapText="1"/>
    </xf>
    <xf numFmtId="15" fontId="3" fillId="0" borderId="2" xfId="14" applyNumberFormat="1">
      <alignment horizontal="center" vertical="center"/>
    </xf>
    <xf numFmtId="0" fontId="1" fillId="4" borderId="0" xfId="69" applyFill="1"/>
    <xf numFmtId="0" fontId="33" fillId="13" borderId="30" xfId="39" applyBorder="1">
      <alignment horizontal="left" vertical="center"/>
    </xf>
    <xf numFmtId="0" fontId="1" fillId="0" borderId="0" xfId="69"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3" fillId="0" borderId="26" xfId="56" applyBorder="1">
      <alignment horizontal="center" vertical="center"/>
    </xf>
    <xf numFmtId="0" fontId="4" fillId="12" borderId="26" xfId="15" applyBorder="1" applyAlignment="1">
      <alignment horizontal="center" vertical="center" wrapText="1"/>
    </xf>
    <xf numFmtId="0" fontId="66" fillId="4" borderId="0" xfId="55" applyFont="1" applyFill="1" applyAlignment="1" applyProtection="1">
      <alignment horizontal="center"/>
      <protection locked="0"/>
    </xf>
    <xf numFmtId="0" fontId="66" fillId="4" borderId="0" xfId="55" applyFont="1" applyFill="1" applyAlignment="1">
      <alignment horizontal="center" vertical="center"/>
    </xf>
    <xf numFmtId="0" fontId="0" fillId="0" borderId="0" xfId="17" applyNumberFormat="1" applyFont="1" applyBorder="1">
      <alignment horizontal="center" vertical="center"/>
    </xf>
    <xf numFmtId="0" fontId="0" fillId="0" borderId="0" xfId="29" applyFont="1" applyFill="1" applyProtection="1">
      <alignment horizontal="center" vertical="center"/>
    </xf>
    <xf numFmtId="0" fontId="0" fillId="0" borderId="2" xfId="56" applyFont="1">
      <alignment horizontal="center" vertical="center"/>
    </xf>
    <xf numFmtId="0" fontId="42" fillId="17" borderId="2" xfId="71">
      <alignment horizontal="center" vertical="center"/>
    </xf>
    <xf numFmtId="0" fontId="54" fillId="6" borderId="0" xfId="8" applyFont="1" applyFill="1">
      <alignment horizontal="left" vertical="center"/>
    </xf>
    <xf numFmtId="0" fontId="73" fillId="4" borderId="2" xfId="52" applyFont="1">
      <alignment horizontal="center" vertical="center"/>
    </xf>
    <xf numFmtId="0" fontId="56" fillId="4" borderId="1" xfId="8" applyFont="1" applyBorder="1">
      <alignment horizontal="left" vertical="center"/>
    </xf>
    <xf numFmtId="4" fontId="26" fillId="4" borderId="2" xfId="63" applyNumberFormat="1">
      <alignment horizontal="left" vertical="center"/>
    </xf>
    <xf numFmtId="0" fontId="54" fillId="2" borderId="0" xfId="8" applyFont="1" applyFill="1">
      <alignment horizontal="left" vertical="center"/>
    </xf>
    <xf numFmtId="0" fontId="87" fillId="9" borderId="0" xfId="32" applyFont="1" applyFill="1"/>
    <xf numFmtId="0" fontId="30" fillId="9" borderId="0" xfId="8" applyFill="1">
      <alignment horizontal="left" vertical="center"/>
    </xf>
    <xf numFmtId="0" fontId="0" fillId="9" borderId="0" xfId="0" applyFill="1"/>
    <xf numFmtId="0" fontId="17" fillId="11" borderId="0" xfId="31" applyFill="1">
      <alignment vertical="center"/>
    </xf>
    <xf numFmtId="0" fontId="21" fillId="11" borderId="0" xfId="61">
      <alignment horizontal="left" vertical="center" indent="1"/>
    </xf>
    <xf numFmtId="0" fontId="46" fillId="13" borderId="14" xfId="39" applyFont="1" applyBorder="1">
      <alignment horizontal="lef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FE6E7EF2-428B-4102-81EB-DC3A912625C1}"/>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D87F461C-9676-47F9-B630-0640573D0FA3}"/>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36D9FE04-D18B-45AF-BB0D-40F8CBECEDD9}"/>
    <cellStyle name="Variable type other" xfId="64" xr:uid="{105BD9DE-B567-4DA0-87E6-C60A0ECC1C65}"/>
  </cellStyles>
  <dxfs count="55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54"/>
      <tableStyleElement type="headerRow" dxfId="553"/>
      <tableStyleElement type="totalRow" dxfId="552"/>
      <tableStyleElement type="firstColumn" dxfId="551"/>
      <tableStyleElement type="firstRowStripe" dxfId="550"/>
      <tableStyleElement type="secondRowStripe" dxfId="549"/>
    </tableStyle>
    <tableStyle name="Equation table" pivot="0" count="6" xr9:uid="{B247698E-E41D-4CCD-AA0A-C14817E9DE65}">
      <tableStyleElement type="wholeTable" dxfId="548"/>
      <tableStyleElement type="headerRow" dxfId="547"/>
      <tableStyleElement type="totalRow" dxfId="546"/>
      <tableStyleElement type="firstColumn" dxfId="545"/>
      <tableStyleElement type="firstRowStripe" dxfId="544"/>
      <tableStyleElement type="secondRowStripe" dxfId="543"/>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worksheet" Target="worksheets/sheet42.xml" /><Relationship Id="rId47" Type="http://schemas.openxmlformats.org/officeDocument/2006/relationships/worksheet" Target="worksheets/sheet47.xml" /><Relationship Id="rId63" Type="http://schemas.microsoft.com/office/2017/06/relationships/rdRichValueTypes" Target="richData/rdRichValueTypes.xml" /><Relationship Id="rId68" Type="http://schemas.openxmlformats.org/officeDocument/2006/relationships/customXml" Target="../customXml/item4.xml" /><Relationship Id="rId7" Type="http://schemas.openxmlformats.org/officeDocument/2006/relationships/worksheet" Target="worksheets/sheet7.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openxmlformats.org/officeDocument/2006/relationships/worksheet" Target="worksheets/sheet29.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8" Type="http://schemas.openxmlformats.org/officeDocument/2006/relationships/sharedStrings" Target="sharedStrings.xml" /><Relationship Id="rId66" Type="http://schemas.openxmlformats.org/officeDocument/2006/relationships/customXml" Target="../customXml/item2.xml" /><Relationship Id="rId5" Type="http://schemas.openxmlformats.org/officeDocument/2006/relationships/worksheet" Target="worksheets/sheet5.xml" /><Relationship Id="rId61" Type="http://schemas.microsoft.com/office/2017/06/relationships/rdRichValue" Target="richData/rdrichvalue.xml" /><Relationship Id="rId19" Type="http://schemas.openxmlformats.org/officeDocument/2006/relationships/worksheet" Target="worksheets/sheet1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56" Type="http://schemas.openxmlformats.org/officeDocument/2006/relationships/theme" Target="theme/theme1.xml" /><Relationship Id="rId64" Type="http://schemas.openxmlformats.org/officeDocument/2006/relationships/calcChain" Target="calcChain.xml" /><Relationship Id="rId8" Type="http://schemas.openxmlformats.org/officeDocument/2006/relationships/worksheet" Target="worksheets/sheet8.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46" Type="http://schemas.openxmlformats.org/officeDocument/2006/relationships/worksheet" Target="worksheets/sheet46.xml" /><Relationship Id="rId59" Type="http://schemas.openxmlformats.org/officeDocument/2006/relationships/sheetMetadata" Target="metadata.xml" /><Relationship Id="rId67" Type="http://schemas.openxmlformats.org/officeDocument/2006/relationships/customXml" Target="../customXml/item3.xml" /><Relationship Id="rId20" Type="http://schemas.openxmlformats.org/officeDocument/2006/relationships/worksheet" Target="worksheets/sheet20.xml" /><Relationship Id="rId41" Type="http://schemas.openxmlformats.org/officeDocument/2006/relationships/worksheet" Target="worksheets/sheet41.xml" /><Relationship Id="rId62" Type="http://schemas.microsoft.com/office/2017/06/relationships/rdRichValueStructure" Target="richData/rdrichvaluestructure.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57" Type="http://schemas.openxmlformats.org/officeDocument/2006/relationships/styles" Target="styles.xml" /><Relationship Id="rId10" Type="http://schemas.openxmlformats.org/officeDocument/2006/relationships/worksheet" Target="worksheets/sheet10.xml" /><Relationship Id="rId31" Type="http://schemas.openxmlformats.org/officeDocument/2006/relationships/worksheet" Target="worksheets/sheet31.xml" /><Relationship Id="rId44" Type="http://schemas.openxmlformats.org/officeDocument/2006/relationships/worksheet" Target="worksheets/sheet44.xml" /><Relationship Id="rId60" Type="http://schemas.microsoft.com/office/2022/10/relationships/richValueRel" Target="richData/richValueRel.xml" /><Relationship Id="rId65" Type="http://schemas.openxmlformats.org/officeDocument/2006/relationships/customXml" Target="../customXml/item1.xml" /><Relationship Id="rId4" Type="http://schemas.openxmlformats.org/officeDocument/2006/relationships/worksheet" Target="worksheets/sheet4.xml" /><Relationship Id="rId9" Type="http://schemas.openxmlformats.org/officeDocument/2006/relationships/worksheet" Target="worksheets/sheet9.xml" /><Relationship Id="rId13" Type="http://schemas.openxmlformats.org/officeDocument/2006/relationships/worksheet" Target="worksheets/sheet13.xml" /><Relationship Id="rId18" Type="http://schemas.openxmlformats.org/officeDocument/2006/relationships/worksheet" Target="worksheets/sheet18.xml" /><Relationship Id="rId39" Type="http://schemas.openxmlformats.org/officeDocument/2006/relationships/worksheet" Target="worksheets/sheet39.xml" /></Relationships>
</file>

<file path=xl/drawings/_rels/drawing20.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B2541BB-DCD0-4D60-ABBF-E3FD94F63924}"/>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B2541BB-DCD0-4D60-ABBF-E3FD94F63924}"/>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A746A3-0EC9-4522-80B7-B5D6A824C613}"/>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1AA746A3-0EC9-4522-80B7-B5D6A824C613}"/>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4F7483A-F443-47E5-81DB-A541BE85FF8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B4F7483A-F443-47E5-81DB-A541BE85FF8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4638B4E-7FA1-4C14-B95B-D95E37521CE9}"/>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74638B4E-7FA1-4C14-B95B-D95E37521CE9}"/>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B75F9B8-FB34-4EB0-B6F4-F035C4ACE499}"/>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1B75F9B8-FB34-4EB0-B6F4-F035C4ACE499}"/>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01A5F6-9192-4746-9E20-B578500A857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2401A5F6-9192-4746-9E20-B578500A857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FEF1218-6093-4814-9C59-65A73E12AA31}"/>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FEF1218-6093-4814-9C59-65A73E12AA31}"/>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2C71E58-2D0E-40D6-8074-0D5AF787A78B}"/>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92C71E58-2D0E-40D6-8074-0D5AF787A78B}"/>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7619194-0BF4-4E48-954D-BD164FC31E36}"/>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C7619194-0BF4-4E48-954D-BD164FC31E36}"/>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6475986-0AC4-41EC-BC41-7714C109123D}"/>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96475986-0AC4-41EC-BC41-7714C109123D}"/>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2DD52F8-F2A4-4437-BD2E-9EEC3A0D2B41}"/>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2DD52F8-F2A4-4437-BD2E-9EEC3A0D2B41}"/>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E7D7962-0C59-4C11-A63E-51DC58A608A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BE7D7962-0C59-4C11-A63E-51DC58A608A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BB928-241E-4CB6-B588-EF44384A4F7C}"/>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BB928-241E-4CB6-B588-EF44384A4F7C}"/>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369D5C-E016-4DE3-92E8-AA45FAEB3E28}"/>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369D5C-E016-4DE3-92E8-AA45FAEB3E28}"/>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B5FCFD2-8460-453D-9546-7E9FAA66F03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8B5FCFD2-8460-453D-9546-7E9FAA66F03C}"/>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D9F57E6-DA4C-4D2E-93DC-D22E25333610}"/>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4D9F57E6-DA4C-4D2E-93DC-D22E25333610}"/>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2896349E-47FD-4409-9B91-FC832893DEFB}"/>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2896349E-47FD-4409-9B91-FC832893DEFB}"/>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A5EFCE9-6834-436A-828C-C8953414DC5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7A5EFCE9-6834-436A-828C-C8953414DC5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FBAE15-4A47-475D-B1C5-B2D6AEF6FBF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4FBAE15-4A47-475D-B1C5-B2D6AEF6FBF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387A8C4-E4FE-49D8-BBFA-B91AE9D90189}"/>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D387A8C4-E4FE-49D8-BBFA-B91AE9D90189}"/>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26434ED-7379-4FD9-BDBB-03AC16788EC1}"/>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26434ED-7379-4FD9-BDBB-03AC16788EC1}"/>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49A26-B2EE-4092-80B2-1E7FE18B77E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4E49A26-B2EE-4092-80B2-1E7FE18B77E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89D2675-0F0F-435F-B75F-5BA05E4F23E0}"/>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089D2675-0F0F-435F-B75F-5BA05E4F23E0}"/>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8EB9B-61B8-407F-A0C1-930D9648A36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02F8EB9B-61B8-407F-A0C1-930D9648A36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9A704E3-9B2D-4B26-A533-04459F8D9223}"/>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69A704E3-9B2D-4B26-A533-04459F8D9223}"/>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E0DC459-7B89-408B-BCE7-6231944B33CE}"/>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7E0DC459-7B89-408B-BCE7-6231944B33CE}"/>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C22FA4D-F1BF-4805-90C6-5C52A6237E86}"/>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8C22FA4D-F1BF-4805-90C6-5C52A6237E86}"/>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F3FC0A1-BE86-46DE-B327-72A3C1620C03}"/>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DF3FC0A1-BE86-46DE-B327-72A3C1620C03}"/>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486CF1-5FBC-427D-A509-FEB4947C5667}"/>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A486CF1-5FBC-427D-A509-FEB4947C5667}"/>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B99A708-ACFF-4E16-AEBB-CD0B1E2066E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B99A708-ACFF-4E16-AEBB-CD0B1E2066E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DBC118-5EFA-40E0-B47D-4F5470A9DD62}"/>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3DBC118-5EFA-40E0-B47D-4F5470A9DD62}"/>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7FB702-6E2E-40D8-95C4-D464A501026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7FB702-6E2E-40D8-95C4-D464A501026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CABA042-A724-403E-A650-D5BC20DF63A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CABA042-A724-403E-A650-D5BC20DF63A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CB1203E-E451-454B-9810-7F696A4A824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CB1203E-E451-454B-9810-7F696A4A824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FE01366-9779-4E49-8EA7-B075ED569713}"/>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FE01366-9779-4E49-8EA7-B075ED569713}"/>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7B7012-EC99-4F29-9CBC-D87CB474954F}"/>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17B7012-EC99-4F29-9CBC-D87CB474954F}"/>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960C03F-497D-4C3E-BAEE-B0BC25410FA4}"/>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960C03F-497D-4C3E-BAEE-B0BC25410FA4}"/>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BC7274C-4AE3-4694-A1BF-E3C22B7B663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4BC7274C-4AE3-4694-A1BF-E3C22B7B663C}"/>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4D437A-A0F8-4C51-888F-6CB08BCCCB35}"/>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54D437A-A0F8-4C51-888F-6CB08BCCCB35}"/>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64D4021-EF59-4A2D-A8E3-5C5A8B004DD3}"/>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E64D4021-EF59-4A2D-A8E3-5C5A8B004DD3}"/>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C181FE3-F1A3-4EB9-9807-73F6DCA01E07}"/>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C181FE3-F1A3-4EB9-9807-73F6DCA01E07}"/>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945E30-BF1D-4B0C-A06E-0C7F8636191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DA945E30-BF1D-4B0C-A06E-0C7F8636191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469200B-4B93-431F-B579-AE6F5BF2BD27}"/>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E469200B-4B93-431F-B579-AE6F5BF2BD27}"/>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1CAA5DC-9907-463F-BEFB-6D428CC77F1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41CAA5DC-9907-463F-BEFB-6D428CC77F1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A1DBAAC-4A9B-4877-89FD-3370C8CCF510}"/>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0A1DBAAC-4A9B-4877-89FD-3370C8CCF510}"/>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8F6887-B747-42F9-A779-FD73167F3B87}"/>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E78F6887-B747-42F9-A779-FD73167F3B87}"/>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7EC15C2-4B70-46DB-98D0-405C4CA06041}"/>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7EC15C2-4B70-46DB-98D0-405C4CA06041}"/>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CFCB474-0D14-4F0B-95ED-63D9A51009B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9CFCB474-0D14-4F0B-95ED-63D9A51009BA}"/>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891C6D9-8DB4-42AA-A361-8AC65695EE4A}"/>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891C6D9-8DB4-42AA-A361-8AC65695EE4A}"/>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F58649-6534-41BF-8E33-C7F6F84D73B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7F58649-6534-41BF-8E33-C7F6F84D73B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104DAF0-7704-44D5-A82C-8322C94786F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104DAF0-7704-44D5-A82C-8322C94786F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DBC736E-14DB-495B-9B9C-CA1A88AD78C0}"/>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DBC736E-14DB-495B-9B9C-CA1A88AD78C0}"/>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434C704-4453-4E7B-A837-65638160AA8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B434C704-4453-4E7B-A837-65638160AA8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AD9729C-6766-4A9F-BB66-2CE60D66E542}"/>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2AD9729C-6766-4A9F-BB66-2CE60D66E542}"/>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5AB380A-3FAD-43EC-92A4-24C2AC06BE7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5AB380A-3FAD-43EC-92A4-24C2AC06BE7B}"/>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7BC5CF-3DCF-4C6C-996B-4CE318A6C182}"/>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B7BC5CF-3DCF-4C6C-996B-4CE318A6C182}"/>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251A85E-8222-4B82-94E6-F6E62694B037}"/>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9251A85E-8222-4B82-94E6-F6E62694B037}"/>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61FF51-9322-4E90-84E4-8A26EEC045DB}"/>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61FF51-9322-4E90-84E4-8A26EEC045DB}"/>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1BCAD11-8220-49C5-B1AD-FAAE4F5CE39E}"/>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01BCAD11-8220-49C5-B1AD-FAAE4F5CE39E}"/>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A3B5D75-6FF2-46BD-A961-242F20D5B1F4}"/>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FA3B5D75-6FF2-46BD-A961-242F20D5B1F4}"/>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391A664-306A-4284-886B-B17B974AFF73}"/>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1391A664-306A-4284-886B-B17B974AFF73}"/>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4C6FC90-242A-4476-85D1-10CF9E9D0CEE}"/>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44C6FC90-242A-4476-85D1-10CF9E9D0CEE}"/>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51BC2E42-BA78-429F-8E06-AE3C9FACF9AD}"/>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51BC2E42-BA78-429F-8E06-AE3C9FACF9AD}"/>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FE338912-C72A-4F0E-9E2A-3853100FE772}"/>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FE338912-C72A-4F0E-9E2A-3853100FE772}"/>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74EFCD1-F34E-4415-B531-377A0E59C96D}"/>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174EFCD1-F34E-4415-B531-377A0E59C96D}"/>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2C2C1CF0-BE14-4BB8-8811-2BA8E53072C5}"/>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2C2C1CF0-BE14-4BB8-8811-2BA8E53072C5}"/>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0CAACA3-51D1-4CE4-8912-D145885C552F}"/>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00CAACA3-51D1-4CE4-8912-D145885C552F}"/>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75AA6D2-1ABC-4BAA-87B0-722DE25023F5}"/>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E75AA6D2-1ABC-4BAA-87B0-722DE25023F5}"/>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EC80073-404C-4EE6-BC9F-B993F879F1E9}"/>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8EC80073-404C-4EE6-BC9F-B993F879F1E9}"/>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9877304-720A-4DAA-9CB4-6512E078BA2A}"/>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A9877304-720A-4DAA-9CB4-6512E078BA2A}"/>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8BF134FA-D74D-4A79-9081-555B43D80E90}"/>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8BF134FA-D74D-4A79-9081-555B43D80E90}"/>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42A8632-23F7-464C-92DF-5A46E1C7796C}"/>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342A8632-23F7-464C-92DF-5A46E1C7796C}"/>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996C525F-9D1E-4967-881E-959D16ADA423}"/>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996C525F-9D1E-4967-881E-959D16ADA423}"/>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719405-8A9C-4181-8593-C77D469AD3DC}"/>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F719405-8A9C-4181-8593-C77D469AD3DC}"/>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550E6B5-B45B-4025-A48A-EE9EF4A2B220}"/>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550E6B5-B45B-4025-A48A-EE9EF4A2B220}"/>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66D9653-2E84-4A47-BA48-16CDF3CCD28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966D9653-2E84-4A47-BA48-16CDF3CCD28B}"/>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25D0E7D-EF8D-4A7F-9733-B791A69F7F3F}"/>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925D0E7D-EF8D-4A7F-9733-B791A69F7F3F}"/>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5A4F636-162A-45C9-9095-ADA78305FDB2}"/>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95A4F636-162A-45C9-9095-ADA78305FDB2}"/>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C04CE17-5C5E-4FBE-81EA-4C55476394AB}"/>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0C04CE17-5C5E-4FBE-81EA-4C55476394AB}"/>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33C2F7D-B801-48A7-98A2-CA934590B39F}"/>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A33C2F7D-B801-48A7-98A2-CA934590B39F}"/>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5F94F01-54E3-4A39-B4DE-6F0C81709D5A}"/>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05F94F01-54E3-4A39-B4DE-6F0C81709D5A}"/>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3EC3ACB0-9836-4837-B00A-E10B22BE180D}"/>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3EC3ACB0-9836-4837-B00A-E10B22BE180D}"/>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0B92950-DA77-439B-AE59-56B934707898}"/>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E0B92950-DA77-439B-AE59-56B934707898}"/>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77AF864-C928-4959-9B45-5DC1BE4922E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77AF864-C928-4959-9B45-5DC1BE4922E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8C89DF7-86DF-4232-B3D6-B0EDE6AC5FB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8C89DF7-86DF-4232-B3D6-B0EDE6AC5FB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4A61F68C-8340-46E4-AEE7-997756AD9FE8}"/>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AC168C3E-8531-475E-BFF3-C5A8C73C3116}"/>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53CFDF05-CFAC-4814-8562-B1D0AB4E266A}"/>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55AB8745-EB2A-4663-9FF3-34AAEAA7B2B2}"/>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4E7E1ED2-074C-484F-B921-93A7503D597E}"/>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F9E52490-44A8-4917-9936-C77F3E5B0CAD}"/>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A5A82961-5EB1-49ED-A28C-BCF8AF73D7BE}"/>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B02F5A1-B9A2-41E5-81A9-7829888C5283}"/>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95BE5F78-C201-41A0-AC56-5CB80706F03C}"/>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7DEBA85-D863-4A02-9414-17F2BC7A17C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47D80B5C-43EE-444D-9BBB-CCD21260B385}"/>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90994261-6FA3-4473-8430-45A832B9A5BC}"/>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0AE32C06-C089-4A8E-9CAE-75F00CCEF7A9}"/>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364C4BB3-283A-4E5C-A158-05A4093A4C23}"/>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3E0CC005-48B5-4CEC-BA8A-4CE895EB4BE2}"/>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16183B34-CCE5-4949-92EA-FA0A34CA7350}"/>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A59232B0-763D-4A59-96FB-8AD813224FFA}"/>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9DF98B95-1358-4F5D-ABAC-F8260F703DD8}"/>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8CC4E33D-3948-4CF4-A166-4BBF3FC7122F}"/>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707978FD-E6C4-4881-91CE-DE8CCA62D48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FC8A8821-C2BC-4C08-8BFE-A91E684D688D}"/>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F8535F7F-1F85-4594-9B74-3A950637E50B}"/>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A03205C8-DBF7-4A1A-B732-DB29C08F8AA9}"/>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53FADA70-DC66-4916-A4FD-7310783AD9A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C7915976-53A2-4B0B-B966-03A7BFE4CFE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EFF41A5-5732-4504-9E2B-C1DEB5C8F329}"/>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9E567556-AA68-42B9-A87A-3A93890D3D1C}"/>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5C66DB11-46C1-4731-9617-4AB60C3C4348}"/>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6F8B9A2A-DA36-4173-BEF7-6F87A481D69E}"/>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8F7D3E1A-B669-4CF9-A83B-89CC5AB5FABE}"/>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BD56AB3E-11AC-45C4-9340-5BC22DFB6BBE}"/>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5907D8CC-71EB-45FC-B0A0-241981CB81B5}"/>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FBD1952B-A51B-48FB-86B8-87DD65FCE6E2}"/>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646DD65F-BDDD-492C-A7F5-09339F8A6DD1}"/>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F7118812-9247-4730-8E62-C2067E67386D}"/>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1344DC79-A0F3-4BE1-A982-95C349A7F961}"/>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DD5CFD73-3D69-453D-A329-37A9EC798681}"/>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42"/>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7CE37E62-5D7A-4EFF-97DF-8089FD1C4507}"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A444636D-ED02-48A0-A3B0-4B692C0BE25E}" name="Transaction name" dataCellStyle="Input text"/>
    <tableColumn id="13" xr3:uid="{EED998AD-417E-420E-B10A-52957FE9654E}" name="Purchase date" dataCellStyle="Input text"/>
    <tableColumn id="11" xr3:uid="{B434369C-86B4-48C5-8BC6-95DFEF5E1B20}" name="Class (select)" dataDxfId="541" dataCellStyle="Input select"/>
    <tableColumn id="2" xr3:uid="{30A108B1-6D6B-4352-944D-594D8BC2AEB8}" name="Purchase class (select)" dataDxfId="540" dataCellStyle="Input select"/>
    <tableColumn id="6" xr3:uid="{7593DBB8-FF7D-4FD6-9E0B-4B8739BABAF2}" name="Source region (Select)" dataDxfId="539" dataCellStyle="Input select"/>
    <tableColumn id="3" xr3:uid="{FF9EA81F-C624-4321-BC67-031E8CE10A32}" name="Quantity (head)" dataCellStyle="Input number general"/>
    <tableColumn id="12" xr3:uid="{4DEAAEFF-38A5-48C8-A2B6-71FB6169E29D}" name="Liveweight (kg/head) Method 1" dataCellStyle="Input number general calculated"/>
    <tableColumn id="4" xr3:uid="{6F78C554-0198-4572-895E-454A8028CD47}"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C5E6E3-B79C-4F1B-82EF-A219BA9D2E2A}" name="Table_Input_InorganicFertiliser_Brands" displayName="Table_Input_InorganicFertiliser_Brands" ref="D11:X16" headerRowDxfId="538" dataDxfId="537" totalsRowDxfId="536">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D7E4757-6DF4-451A-BD68-DBC1C6F6291E}" name="Product (select)" dataDxfId="535" totalsRowDxfId="534" dataCellStyle="Input select"/>
    <tableColumn id="23" xr3:uid="{21222523-0929-442F-826E-FE6AFE0F195C}" name="Amount applied per hectare" totalsRowFunction="custom" dataDxfId="533" totalsRowDxfId="532">
      <totalsRowFormula>SUM(Table_Input_InorganicFertiliser_Brands[[#Headers],[#Data],[Amount applied per hectare]])</totalsRowFormula>
    </tableColumn>
    <tableColumn id="12" xr3:uid="{D3B2FF07-B92F-4E15-A0E4-0B4ABA4CBFBE}" name="Application unit" dataDxfId="531" totalsRowDxfId="530" dataCellStyle="Input number 2 decimal places"/>
    <tableColumn id="9" xr3:uid="{A983507A-9896-4CC3-8918-ED6DEAA320D5}" name="Density" dataDxfId="529" totalsRowDxfId="528" dataCellStyle="Input number 2 decimal places"/>
    <tableColumn id="6" xr3:uid="{A6998409-86B6-4963-807D-1FD455E9306F}" name="Application area (ha)" dataDxfId="527" totalsRowDxfId="526">
      <calculatedColumnFormula>X_Cell_Fertiliser_AreaUnderCropping</calculatedColumnFormula>
    </tableColumn>
    <tableColumn id="1" xr3:uid="{384425D4-4CB5-4D18-8965-E1B4098F13D0}" name="Total applied (kg)" dataDxfId="525" totalsRowDxfId="52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775E7E38-4CB6-4D6D-A314-581A50C2C1EE}" name="Ingredient 1" dataDxfId="523" totalsRowDxfId="522" dataCellStyle="Input number general calculated"/>
    <tableColumn id="4" xr3:uid="{96E7851C-6411-45F6-8C94-0E97342479AF}" name="Ingredient 1 percent" dataDxfId="521" totalsRowDxfId="520" dataCellStyle="Input number general calculated"/>
    <tableColumn id="7" xr3:uid="{511CFEA4-8ECD-4661-AC6F-3FF973281A85}" name="Ingredient 2" dataDxfId="519" dataCellStyle="Input number general calculated"/>
    <tableColumn id="8" xr3:uid="{17A32D8F-CD08-4595-8680-8CE07A298D45}" name="Ingredient 2 percent" dataDxfId="518" totalsRowDxfId="517" dataCellStyle="Input number general calculated"/>
    <tableColumn id="10" xr3:uid="{B85371FE-A6B3-46ED-B6DF-6F2284C96054}" name="Ingredient 3" dataDxfId="516" totalsRowDxfId="515" dataCellStyle="Input number general calculated"/>
    <tableColumn id="11" xr3:uid="{A915136F-66C4-412B-AD71-ACEED2860E86}" name="Ingredient 3 percent" dataDxfId="514" totalsRowDxfId="513" dataCellStyle="Input number general calculated"/>
    <tableColumn id="13" xr3:uid="{962E0AEB-E32D-446A-9A42-F1112FEB48A2}" name="Ingredient 4" dataDxfId="512" totalsRowDxfId="511" dataCellStyle="Input number general calculated"/>
    <tableColumn id="14" xr3:uid="{146BD1A5-2B51-47FF-9BDA-6BA0FCBF787F}" name="Ingredient 4 percent" dataDxfId="510" dataCellStyle="Input number general calculated"/>
    <tableColumn id="16" xr3:uid="{7F848280-A919-41C4-A656-24179B4A7CA7}" name="Ingredient 5" dataDxfId="509" dataCellStyle="Input number general calculated"/>
    <tableColumn id="17" xr3:uid="{90BC57FA-E4CA-4B3B-8478-A03633D6BA02}" name="Ingredient 5 percent" dataDxfId="508" dataCellStyle="Input number general calculated"/>
    <tableColumn id="19" xr3:uid="{3D78CD0A-DA09-4725-878D-7B99199E5A92}" name="Ingredient 6" dataDxfId="507" dataCellStyle="Input number general calculated"/>
    <tableColumn id="20" xr3:uid="{F125B2B2-C175-404C-B388-C3C759C1AADF}" name="Ingredient 6 percent" dataDxfId="506" dataCellStyle="Input number general calculated"/>
    <tableColumn id="5" xr3:uid="{A7FD618E-9E1D-4509-9ACF-B1C816FFC244}" name="N application rate (kg/ha)" dataDxfId="505" totalsRowDxfId="504" dataCellStyle="Input number general calculated"/>
    <tableColumn id="15" xr3:uid="{D5443475-4105-4BA0-A48F-FC86CD2804ED}" name="Urea source" dataDxfId="503" totalsRowDxfId="502" dataCellStyle="Input number general calculated"/>
    <tableColumn id="18" xr3:uid="{EBDB4DFC-E414-45C3-B4C0-07D88A26DCF1}" name="Ammonia source" dataDxfId="501" totalsRowDxfId="500" dataCellStyle="Input number general calculated"/>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869F0272-17E8-4DAE-84A3-84C69AD23EAC}" name="Table_Input_InorganicFertiliser_Custom" displayName="Table_Input_InorganicFertiliser_Custom" ref="D19:R22" totalsRowShown="0" headerRowDxfId="499" dataDxfId="498">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8E2BD915-2F0E-4A16-82BC-E081E5AA4478}" name="Custom blend name" dataCellStyle="Input text"/>
    <tableColumn id="2" xr3:uid="{870C0EC5-055F-4E60-9304-62326A8F3112}" name="Amount applied (kg / ha)" dataDxfId="497"/>
    <tableColumn id="3" xr3:uid="{0157B19D-4A2F-49E9-BF90-8B591D5AA366}" name="Application area (ha)" dataDxfId="496" dataCellStyle="Input number 2 decimal places">
      <calculatedColumnFormula>X_Cell_Fertiliser_AreaUnderCropping</calculatedColumnFormula>
    </tableColumn>
    <tableColumn id="4" xr3:uid="{DB4B0648-5D13-4855-8EC6-CA712EF2592E}" name="Total applied (kg)" dataDxfId="495" dataCellStyle="Input number general calculated">
      <calculatedColumnFormula>Table_Input_InorganicFertiliser_Custom[[#This Row],[Amount applied (kg / ha)]]*Table_Input_InorganicFertiliser_Custom[[#This Row],[Application area (ha)]]</calculatedColumnFormula>
    </tableColumn>
    <tableColumn id="5" xr3:uid="{465DACE0-6179-4C69-8516-2BF5C941FB12}" name="Ingredient 1 (select)" dataDxfId="494" dataCellStyle="Input select"/>
    <tableColumn id="6" xr3:uid="{C0B2FE2A-C2F9-4E96-AF15-F9778B30768C}" name="Ingredient 1 percent" dataDxfId="493"/>
    <tableColumn id="8" xr3:uid="{5D83FC40-5C5C-496C-A3C9-8844CC3F3977}" name="Ingredient 2" dataDxfId="492" dataCellStyle="Input select"/>
    <tableColumn id="9" xr3:uid="{57982907-B842-45AA-B259-C0ADF7E1CDAE}" name="Ingredient 2 percent" dataDxfId="491"/>
    <tableColumn id="11" xr3:uid="{014D226B-EE25-4601-A463-847AEAC4D186}" name="Ingredient 3" dataDxfId="490" dataCellStyle="Input select"/>
    <tableColumn id="12" xr3:uid="{DC184983-C347-4F9D-B60B-1339DE04C418}" name="Ingredient 3 percent" dataDxfId="489"/>
    <tableColumn id="14" xr3:uid="{1B69F00D-4EC9-4B00-908C-BFD7D4E388BB}" name="Ingredient 4" dataDxfId="488" dataCellStyle="Input select"/>
    <tableColumn id="15" xr3:uid="{BA8B3857-4571-4C6C-B764-ED7DDF7F15C5}" name="Ingredient 4 percent" dataCellStyle="Input percent"/>
    <tableColumn id="7" xr3:uid="{EB3D4B68-D254-4208-9706-93B2169307B7}" name="N application rate (kg/ha)" dataDxfId="487" dataCellStyle="Input number general calculated"/>
    <tableColumn id="10" xr3:uid="{451F402C-8169-4EA2-A39B-CE0CFCAF6BCD}" name="Urea source (Select)" dataCellStyle="Input select"/>
    <tableColumn id="13" xr3:uid="{7A2A31C5-8C8E-4D2D-9B06-2B041B7224B3}" name="Ammonia source (select)" dataCellStyle="Input select"/>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88FEBEF9-0B19-46FE-AF20-398F766C5729}" name="Table_Input_Lime" displayName="Table_Input_Lime" ref="D30:K33" totalsRowShown="0" headerRowDxfId="486" dataDxfId="485"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EC94DB-093C-4A6F-A667-A41CF2D85D57}" name="Product" dataDxfId="484"/>
    <tableColumn id="2" xr3:uid="{E7EA96FE-8E8C-4C26-B4FB-C25CE847D0F5}" name="Amount applied (t/hectare)" dataDxfId="483"/>
    <tableColumn id="4" xr3:uid="{E164F1B4-D27F-42E3-A6E5-1025B76E3393}" name="Application area (ha)" dataDxfId="482" dataCellStyle="Input number 2 decimal places">
      <calculatedColumnFormula>X_Cell_Fertiliser_AreaUnderCropping</calculatedColumnFormula>
    </tableColumn>
    <tableColumn id="3" xr3:uid="{EE97A916-DA6D-4C39-9492-7B899AB1ED2A}" name="Total amount applied (t)" dataDxfId="481" dataCellStyle="Input number general calculated">
      <calculatedColumnFormula>IFERROR(Table_Input_Lime[[#This Row],[Amount applied (t/hectare)]]*Table_Input_Lime[[#This Row],[Application area (ha)]], 0)</calculatedColumnFormula>
    </tableColumn>
    <tableColumn id="6" xr3:uid="{E5A32531-4DE7-4FBA-8510-896B0B737655}" name="Percent Lime CaCO3" dataDxfId="480"/>
    <tableColumn id="8" xr3:uid="{79D3DE60-F960-453A-8976-4CC7BCE0A79C}" name="Percent Dolomite CaMg(CO3)2" dataDxfId="479"/>
    <tableColumn id="7" xr3:uid="{D6F049EB-E0AA-46D1-8809-677F41ED30F7}" name="Percent Gypsum" dataDxfId="478"/>
    <tableColumn id="10" xr3:uid="{0E8B6E84-A946-4087-8693-92177C2979D5}" name="Total" dataDxfId="47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22CC0FB-B00F-407B-994B-40DF03B427BD}" name="Table_Input_OrganicFertiliser" displayName="Table_Input_OrganicFertiliser" ref="D41:J44" totalsRowShown="0" headerRowDxfId="476" dataDxfId="475"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DC06B64-E5AA-4B05-8DC5-DE68212D8DDC}" name="Organic fertiliser type (select)" dataDxfId="474" dataCellStyle="Input select"/>
    <tableColumn id="5" xr3:uid="{D115BFD2-A3E6-425C-BE51-553B38953BB5}" name="Percentage of N in fertiliser" dataDxfId="473"/>
    <tableColumn id="2" xr3:uid="{19FE6AD0-9106-4A9D-BBF8-63F7963A7D15}" name="Amount applied (kg/hectare)" dataDxfId="472"/>
    <tableColumn id="11" xr3:uid="{CAABD6D5-4D92-4BED-81E7-6C05EA9A2EC9}" name="Amount N applied (kg/hectare)" dataDxfId="471" dataCellStyle="Input number general calculated">
      <calculatedColumnFormula>Table_Input_OrganicFertiliser[[#This Row],[Amount applied (kg/hectare)]]*Table_Input_OrganicFertiliser[[#This Row],[Percentage of N in fertiliser]]</calculatedColumnFormula>
    </tableColumn>
    <tableColumn id="4" xr3:uid="{80ED477A-8383-40EF-9D42-B3242DCFE958}" name="Application area (ha)" dataDxfId="470" dataCellStyle="Input number 2 decimal places">
      <calculatedColumnFormula>X_Cell_Fertiliser_AreaUnderCropping</calculatedColumnFormula>
    </tableColumn>
    <tableColumn id="7" xr3:uid="{F0D37722-4228-4B7F-BBE9-7849A85B628E}" name="Total organic fertliser applied" dataDxfId="469" dataCellStyle="Input number general calculated">
      <calculatedColumnFormula>Table_Input_OrganicFertiliser[[#This Row],[Amount applied (kg/hectare)]]*Table_Input_OrganicFertiliser[[#This Row],[Application area (ha)]]</calculatedColumnFormula>
    </tableColumn>
    <tableColumn id="3" xr3:uid="{27A55ED4-D3FC-452D-BC92-6CC988D7B8F0}" name="Total nitrogen applied (kg)" dataDxfId="46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55C2D64-2A37-4F91-B222-4D2A0F427BE8}" name="Table_Input_Fuel" displayName="Table_Input_Fuel" ref="D16:J21" totalsRowDxfId="467"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5A52FA90-DAE1-406C-9EBF-FDF12D4ABB6C}" name="Fuel use (select)" totalsRowFunction="average" totalsRowDxfId="466" dataCellStyle="Input select" totalsRowCellStyle="Input select"/>
    <tableColumn id="3" xr3:uid="{6A4C079A-944D-4157-BA35-5601F01C84AD}" name="Fuel type (select)" totalsRowDxfId="465" dataCellStyle="Input select" totalsRowCellStyle="Input select"/>
    <tableColumn id="4" xr3:uid="{EDA364EB-B659-4530-8981-308C7EA87F87}" name="Amount purchased" totalsRowDxfId="464" totalsRowCellStyle="Content bold"/>
    <tableColumn id="6" xr3:uid="{BACE4927-F358-4714-85FE-78AE7DBC620A}" name="Amount unit" totalsRowDxfId="463" dataCellStyle="Input number general calculated" totalsRowCellStyle="Input text calculated"/>
    <tableColumn id="5" xr3:uid="{C70ED5D3-D5BE-405C-B47A-6ED2FB6D9D78}" name="Percent consumed" totalsRowDxfId="462" totalsRowCellStyle="Input percent">
      <calculatedColumnFormula>1</calculatedColumnFormula>
    </tableColumn>
    <tableColumn id="1" xr3:uid="{19440BAF-40BE-4973-9A03-BF9D3E058ACA}" name="Amount consumed" totalsRowFunction="custom" totalsRowDxfId="461"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6EEF4520-AEEA-4B65-BC86-6D741412BA0E}" name="Amount consumed unit" totalsRowDxfId="460" dataCellStyle="Input number general calculated"/>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732597B7-209E-4233-852F-AD532DE9540A}"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6F53F26C-63A3-4ECB-94DD-4788E0493F52}" name="Description"/>
    <tableColumn id="5" xr3:uid="{2E759DC1-E427-4DA8-B534-0077C3FC357D}" name="Source (select)" dataCellStyle="Input select"/>
    <tableColumn id="2" xr3:uid="{1D424C3E-C43F-42FC-878B-5372BA91115F}" name="Generation date" dataDxfId="459"/>
    <tableColumn id="3" xr3:uid="{0D6E34F8-9F67-47AA-AE09-4D51A47AFD4E}" name="Number of certificates"/>
    <tableColumn id="4" xr3:uid="{31B0EB45-145A-4190-A961-CDA8EC89187A}" name="MWh" dataCellStyle="Input number general calculated">
      <calculatedColumnFormula>Table_Input_RECSurrendered[[#This Row],[Number of certificates]]</calculatedColumnFormula>
    </tableColumn>
    <tableColumn id="7" xr3:uid="{08FBA98D-21BD-4AFE-90A1-6A4FBC551AA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EAED322-E1E4-48E0-9FB9-10A1D2716DD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DC3299DA-20AE-419C-BDBB-E6D596AE007B}" name="Description"/>
    <tableColumn id="5" xr3:uid="{812427BC-F011-45E1-B25F-A1DF411E7508}" name="Source" dataCellStyle="Input text calculated">
      <calculatedColumnFormula>"Issued for generated electricity"</calculatedColumnFormula>
    </tableColumn>
    <tableColumn id="2" xr3:uid="{D15F5964-9041-4185-931F-F25C192881A7}" name="Generation date" dataDxfId="458"/>
    <tableColumn id="3" xr3:uid="{42A8CC3F-5CCE-46B5-A6F3-9782C4E1869B}" name="Number of certificates"/>
    <tableColumn id="4" xr3:uid="{1F0ED896-15A6-4BCA-9AEB-D685FA4675CE}" name="MWh" dataCellStyle="Input number general calculated">
      <calculatedColumnFormula>Table_Input_RECConsumedByEntity[[#This Row],[Number of certificates]]</calculatedColumnFormula>
    </tableColumn>
    <tableColumn id="7" xr3:uid="{BC5432B9-9071-45C9-9947-1B798DF86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B0FDC138-775F-4F41-9D16-EC75F48D980D}"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2748FF6E-FF48-4F1B-98BC-6E30CF529E18}" name="Product name" dataCellStyle="Input text"/>
    <tableColumn id="1" xr3:uid="{BE0BA965-47CA-460A-8B26-69C6F0DF1406}" name="Type (select)" dataCellStyle="Input select"/>
    <tableColumn id="2" xr3:uid="{5E5B0CAB-9B6B-404E-A373-B9BD44AB957E}" name="Quantity purchased (kg)"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1318CEDA-D653-4188-B815-C48A26D154F0}" name="Table_Input_Packaging" displayName="Table_Input_Packaging" ref="D92:H102" totalsRowShown="0" headerRowDxfId="457"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E9D84B7D-70C1-4B12-8054-115302F617AF}" name="Packaging name"/>
    <tableColumn id="3" xr3:uid="{D4BA15C2-A82B-49EA-A6E8-B5C54A379604}" name="Quantity purchased" dataDxfId="456" dataCellStyle="Input number general"/>
    <tableColumn id="2" xr3:uid="{5258BDCA-D7C7-4267-8294-DD50438482AE}" name="Primary material" dataCellStyle="Input select"/>
    <tableColumn id="4" xr3:uid="{03997821-C9D3-41D5-8F7C-9702C5561CFF}" name="Weight per unit (kg)" dataCellStyle="Input number general"/>
    <tableColumn id="6" xr3:uid="{04D1681D-A1B9-42CE-B9A3-0B2B19371EAE}"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F996AA8B-7FC6-4E66-935B-4F07B0C5FAA7}" name="Table_Input_Pesticides" displayName="Table_Input_Pesticides" ref="D10:R20" totalsRowShown="0" headerRowDxfId="45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282049C-68D8-408F-92EC-14E5E48E2142}" name="Product name"/>
    <tableColumn id="2" xr3:uid="{2B2AC4F8-C3EC-4955-8DF2-389E52B38E94}" name="Amount applied per ha"/>
    <tableColumn id="7" xr3:uid="{6DBF47B4-62DD-46A9-8448-8E74823084EF}" name="Application unit (select)" dataCellStyle="Input select"/>
    <tableColumn id="6" xr3:uid="{7E9C878E-FFBE-497E-9A5C-8B6A70FF8D6A}" name="Application area (ha)" dataCellStyle="Input number general"/>
    <tableColumn id="3" xr3:uid="{D4FB7869-A67E-41AD-8111-BD9873A2E0F8}" name="Total applied" dataCellStyle="Input number general calculated">
      <calculatedColumnFormula>Table_Input_Pesticides[[#This Row],[Amount applied per ha]]*Table_Input_Pesticides[[#This Row],[Application area (ha)]]</calculatedColumnFormula>
    </tableColumn>
    <tableColumn id="5" xr3:uid="{CACDEF0E-EED5-4154-87C4-A855824C99EC}" name="Constituent unit (select)" dataCellStyle="Input select"/>
    <tableColumn id="4" xr3:uid="{7996CC61-F7CA-444A-9EF8-8F2160261775}" name="Active ingredient 1 (select)" dataCellStyle="Input select"/>
    <tableColumn id="8" xr3:uid="{7122C0D4-FCF5-47D8-A053-D351A3A192C8}" name="Active ingredient 1 amount" dataCellStyle="Input number general"/>
    <tableColumn id="16" xr3:uid="{300D0A03-1297-47A4-9703-0C1E4FE5EA12}"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85F1EE9D-47B9-4BBF-B377-66BA8E7D6DFD}" name="Active ingredient 2 (select)" dataCellStyle="Input select"/>
    <tableColumn id="11" xr3:uid="{F810D2FD-1C69-4527-B553-23BBA1BB53E8}" name="Active ingredient 2 amount" dataCellStyle="Input number general"/>
    <tableColumn id="17" xr3:uid="{8AE6FC81-FEC2-46F3-A0DF-FE1A0B84BD53}"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F40EDEE-A8AC-4240-8999-7B3432933EA7}" name="Active ingredient 3 (select)" dataCellStyle="Input select"/>
    <tableColumn id="14" xr3:uid="{7B3FCD39-81B0-4B91-898C-CD8B59168415}" name="Active ingredient 3 amount" dataCellStyle="Input number general"/>
    <tableColumn id="18" xr3:uid="{A7AE19C4-89D9-489B-AE79-7048DE8C9C84}"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2C87986F-6A22-407D-914C-C36CB840C4C7}"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1CC7A02F-DADA-4C5D-AD28-83285872ED2B}" name="Product name" dataCellStyle="Input text"/>
    <tableColumn id="1" xr3:uid="{AF8A322A-5D71-4BA7-BC64-E09D544DB0C2}" name="Type (select)" dataDxfId="454" dataCellStyle="Input select"/>
    <tableColumn id="2" xr3:uid="{A9D299C0-BA37-4DE4-B7E3-F38ACF41B1CB}" name="Number of head treated" dataDxfId="453"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EFE15106-938C-4E41-99EA-88890CF46E6D}"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FAC1F2E4-6665-4F7A-89C1-E8E16378D9A9}" name="Product / service name" dataCellStyle="Input text"/>
    <tableColumn id="2" xr3:uid="{2CB34708-F677-424F-967F-E7410ACB8872}" name="Amount" dataCellStyle="Input number general"/>
    <tableColumn id="3" xr3:uid="{80F73E0E-59A7-4E3A-AA08-B5A2E5C13689}" name="Amount unit" dataCellStyle="Input tex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91663A24-E974-4CAF-8A98-7632832E3B60}"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AE6B814-5B4F-472A-9391-4A808007220F}" name="Feed blend name"/>
    <tableColumn id="2" xr3:uid="{88D78489-EBAE-4A3F-AF8F-42239E818D48}" name="Amount fed (kg)"/>
    <tableColumn id="4" xr3:uid="{1094498C-AB5E-4E57-B910-98CB3AE74654}" name="Ingredient 1 (select)" dataCellStyle="Input select"/>
    <tableColumn id="3" xr3:uid="{931738DF-24E1-45D3-BCF2-826639DDB287}" name="Ingredient 1 source region" dataCellStyle="Input select"/>
    <tableColumn id="5" xr3:uid="{8CE85410-1840-46DA-849A-163967EC9E79}" name="Ingredient 1 percent"/>
    <tableColumn id="6" xr3:uid="{267382B1-D4A3-4BF8-A783-C93F9C95B1CB}" name="Ingredient 2 (select)" dataCellStyle="Input select"/>
    <tableColumn id="14" xr3:uid="{2F03490B-7A4A-4732-BFAC-6A7B0B95E9A5}" name="Ingredient 2 source region" dataCellStyle="Input select"/>
    <tableColumn id="7" xr3:uid="{57CAE0D7-5706-4E92-812D-79D746004D52}" name="Ingredient 2 percent"/>
    <tableColumn id="8" xr3:uid="{369A1939-DD73-461A-BCFB-2A25732EF5A2}" name="Ingredient 3 (select)" dataCellStyle="Input select"/>
    <tableColumn id="15" xr3:uid="{5C6F559B-C8D7-4AC5-90DA-960D7177F751}" name="Ingredient 3 source region" dataCellStyle="Input select"/>
    <tableColumn id="9" xr3:uid="{F7AB9560-C961-42BF-9F59-9AC8DE34823C}" name="Ingredient 3 percent"/>
    <tableColumn id="10" xr3:uid="{3FD92D19-72D6-45FC-A6AD-63A0E50619EC}" name="Ingredient 4 (select)" dataCellStyle="Input select"/>
    <tableColumn id="16" xr3:uid="{8C979EF8-E8A6-42C5-9C51-3C24B9EF8F26}" name="Ingredient 4 source region" dataCellStyle="Input select"/>
    <tableColumn id="11" xr3:uid="{F13E7D5E-50C0-4A7D-ACCE-72A0F6FEBB93}"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C1CBACE1-E678-4C27-9AED-518BEC12C8A7}"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B367E0F6-03B7-4A17-8C58-10801320ABC5}" name="Service provider / contractor" dataCellStyle="Input text"/>
    <tableColumn id="4" xr3:uid="{7DA424CA-F4AF-4601-A93A-2EB5B03FFFF8}" name="Activity" dataCellStyle="Input text"/>
    <tableColumn id="2" xr3:uid="{8F555442-7D53-4685-82AC-C2AED75DFD42}" name="Total amount" dataCellStyle="Input number general"/>
    <tableColumn id="3" xr3:uid="{3229AAB0-3DDB-4B66-A3C6-3DDE308B3FAF}"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6BDC06D-9870-4ED3-B709-4C7CD4DD063C}"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805ED875-EF5E-4E79-ABD8-FB5E3B73C07C}" name="Grow media type" dataCellStyle="Input text"/>
    <tableColumn id="2" xr3:uid="{52A7477F-3197-4082-8775-51A40BCF1400}" name="Total amount" dataCellStyle="Input number general"/>
    <tableColumn id="3" xr3:uid="{8177E27E-9010-4694-90B9-7C1F30E83B3C}" name="Amount unit" dataCellStyle="Input select"/>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29944AED-EBF7-4E83-AA84-6F43FFC6CEF4}"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A58F7B9-3EC4-4541-A115-CA05F82E85AE}" name="Route name"/>
    <tableColumn id="2" xr3:uid="{2E29F4CD-D06F-4076-B54B-1119931FBB77}" name="Freight type (select)" dataCellStyle="Input select"/>
    <tableColumn id="3" xr3:uid="{A433DC04-B9DE-4F5E-B5DA-86C5A817354D}" name="Route distance (km)"/>
    <tableColumn id="4" xr3:uid="{D6351588-AA70-4FFD-B2AD-A911D2748035}" name="Average weight of freight per trip (t)"/>
    <tableColumn id="5" xr3:uid="{98A5D54A-1F4F-42B8-A807-DFD6FC9E0CB0}"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B29166F4-8913-4F9F-9703-DA70F9D2F400}"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00DE678A-F26D-4B2D-90BA-F0DFB4B56C35}" name="Route name"/>
    <tableColumn id="2" xr3:uid="{28F52D08-027D-4B49-A241-2D7266CE49CE}" name="Freight type (select)" dataCellStyle="Input select"/>
    <tableColumn id="3" xr3:uid="{2DBAE587-68BB-43D4-BE29-3DA8BDFED6EE}" name="Route distance (km)"/>
    <tableColumn id="4" xr3:uid="{A890EF2C-F582-4198-8925-827C5F57CAD6}" name="Average weight of freight per trip (t)"/>
    <tableColumn id="5" xr3:uid="{A8D162D9-B649-4F86-A034-7EEC80CAF347}"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21FC3D-45CA-4A4F-99D0-197486B3A51D}" name="Table_SourceData_PastureBeef_CropProdSystems" displayName="Table_SourceData_PastureBeef_CropProdSystems" ref="D7:D9" totalsRowShown="0">
  <autoFilter ref="D7:D9" xr:uid="{B6F3FE3A-A0B5-47E7-85B2-8426FB75A7C8}">
    <filterColumn colId="0" hiddenButton="1"/>
  </autoFilter>
  <tableColumns count="1">
    <tableColumn id="1" xr3:uid="{545DAD8A-F49A-40D3-BE0C-14FA40417CF1}" name="Production system">
      <calculatedColumnFormula>#REF!</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8C9766-EAAC-496D-8F4E-7B463E1C80D2}"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94209A19-33A2-45C2-AE57-A1F56CEB3C63}" name="Irrigation method"/>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1136241-4446-40B2-B7B8-76C5CF00C919}"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3945FC6-D81A-461A-BEA4-79C347AA91CB}" name="State">
      <calculatedColumnFormula array="1">Common_InputFunctions.Utility_DisplayArrayInTable(SourceData_PastureBeef.SourceData_PastureBeef_Liveweight_Data(), Table_SourceData_PastureBeef_Liveweight[[#Headers],[State]], 0)</calculatedColumnFormula>
    </tableColumn>
    <tableColumn id="2" xr3:uid="{CE1FAF02-A014-4054-ADCB-BED22D6A10C5}" name="Region" dataDxfId="452" dataCellStyle="Content normal">
      <calculatedColumnFormula array="1">Common_InputFunctions.Utility_DisplayArrayInTable(SourceData_PastureBeef.SourceData_PastureBeef_Liveweight_Data(), Table_SourceData_PastureBeef_Liveweight[[#Headers],[State]], 0)</calculatedColumnFormula>
    </tableColumn>
    <tableColumn id="3" xr3:uid="{E52A3CBA-BF9D-4669-933B-4B696ED8E892}" name="Season" dataDxfId="451" dataCellStyle="Content normal">
      <calculatedColumnFormula array="1">Common_InputFunctions.Utility_DisplayArrayInTable(SourceData_PastureBeef.SourceData_PastureBeef_Liveweight_Data(), Table_SourceData_PastureBeef_Liveweight[[#Headers],[State]], 0)</calculatedColumnFormula>
    </tableColumn>
    <tableColumn id="4" xr3:uid="{14070CFA-5DE1-484B-BD4A-F9AF12ABB0B3}" name="Bull &lt; 1" dataDxfId="450" dataCellStyle="Content normal">
      <calculatedColumnFormula array="1">Common_InputFunctions.Utility_DisplayArrayInTable(SourceData_PastureBeef.SourceData_PastureBeef_Liveweight_Data(), Table_SourceData_PastureBeef_Liveweight[[#Headers],[State]], 0)</calculatedColumnFormula>
    </tableColumn>
    <tableColumn id="5" xr3:uid="{18919D6A-309E-404D-91CD-40E45977B784}" name="Bull &gt; 1" dataDxfId="449" dataCellStyle="Content normal">
      <calculatedColumnFormula array="1">Common_InputFunctions.Utility_DisplayArrayInTable(SourceData_PastureBeef.SourceData_PastureBeef_Liveweight_Data(), Table_SourceData_PastureBeef_Liveweight[[#Headers],[State]], 0)</calculatedColumnFormula>
    </tableColumn>
    <tableColumn id="6" xr3:uid="{13811EFC-E7CD-4750-A254-F64ED4012D97}" name="Cow &lt; 1" dataDxfId="448" dataCellStyle="Content normal">
      <calculatedColumnFormula array="1">Common_InputFunctions.Utility_DisplayArrayInTable(SourceData_PastureBeef.SourceData_PastureBeef_Liveweight_Data(), Table_SourceData_PastureBeef_Liveweight[[#Headers],[State]], 0)</calculatedColumnFormula>
    </tableColumn>
    <tableColumn id="7" xr3:uid="{5C375538-39B2-405E-99EF-2482E616BA6D}" name="Cow 1-2" dataDxfId="447" dataCellStyle="Content normal">
      <calculatedColumnFormula array="1">Common_InputFunctions.Utility_DisplayArrayInTable(SourceData_PastureBeef.SourceData_PastureBeef_Liveweight_Data(), Table_SourceData_PastureBeef_Liveweight[[#Headers],[State]], 0)</calculatedColumnFormula>
    </tableColumn>
    <tableColumn id="8" xr3:uid="{3DFA2605-3CA1-4C1F-9B7D-271FB8D6CF3D}" name="Cow &gt; 2" dataDxfId="446" dataCellStyle="Content normal">
      <calculatedColumnFormula array="1">Common_InputFunctions.Utility_DisplayArrayInTable(SourceData_PastureBeef.SourceData_PastureBeef_Liveweight_Data(), Table_SourceData_PastureBeef_Liveweight[[#Headers],[State]], 0)</calculatedColumnFormula>
    </tableColumn>
    <tableColumn id="9" xr3:uid="{50CEE5E3-1CE2-44E5-94D3-75E05C0C25BB}" name="Steer &lt; 1" dataDxfId="445"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A8BDD4FE-3D6B-46E9-9B15-F4C29E5435A5}" name="Steer &gt; 1" dataDxfId="444"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B83D5E-7319-4B1E-B289-9F81FDEF6F40}"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A8E34FD-2F18-462B-B021-3E25AE6CA860}" name="State">
      <calculatedColumnFormula array="1">Common_InputFunctions.Utility_DisplayArrayInTable(SourceData_PastureBeef.SourceData_PastureBeef_LiveweightNTQLD_Data(),Table_SourceData_PastureBeef_LiveweightNTQD[[#Headers],[State]], 0)</calculatedColumnFormula>
    </tableColumn>
    <tableColumn id="2" xr3:uid="{EA185A58-A53E-4BDF-B6CE-9768DF34E6F9}" name="Region" dataDxfId="4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5D8DA7D9-DE4B-4D33-9833-89390273EB68}" name="Season" dataDxfId="4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210A243A-A77F-4CA4-A2A7-E68FE9CF668A}" name="Bull &lt;1" dataDxfId="4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586F311-C46F-454E-A411-7C6172393763}" name="Bull &gt;1" dataDxfId="4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E8AEBBBA-417B-4559-B0DC-49AA09241B81}" name="Cows &lt;1" dataDxfId="4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22795E4-6D7C-4B94-B6C1-2F7A6CE0301A}" name="Cows 1-2" dataDxfId="4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BAEC5F34-B23B-4EA6-80AA-EFF3FDB8E94F}" name="Cows 2-3" dataDxfId="4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2440CCA9-DA75-4DAE-9F93-5CAA09B16BF1}" name="Cows &gt;3" dataDxfId="4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7551DB71-EA1B-496B-8237-6964DD61D10A}" name="Steer &lt;1" dataDxfId="43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C327B5C-6222-4291-B251-A8C3BB3BD446}" name="Steer 1-2" dataDxfId="43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26CFC5-3A70-4A46-A5B6-5F2B6E1428D8}" name="Steer 2-3" dataDxfId="43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1993EB4A-EDBE-4BB4-B168-78607E222B7B}" name="Steer &gt;3" dataDxfId="432"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0533E98-6860-4F52-881C-F4A4552FB881}"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B3BFB79-A7D7-46E2-9CBD-760DFF6D4DD9}" name="State"/>
    <tableColumn id="2" xr3:uid="{F9DC22A8-74E8-4965-B3CB-EE70FAD45987}" name="Region">
      <calculatedColumnFormula>E22</calculatedColumnFormula>
    </tableColumn>
    <tableColumn id="3" xr3:uid="{11F02D98-53DD-47B4-AD79-A8CAD87DF2C3}" name="Season">
      <calculatedColumnFormula>F22</calculatedColumnFormula>
    </tableColumn>
    <tableColumn id="4" xr3:uid="{7B466340-D493-433F-B917-FCA5359E6080}" name="Bulls &lt; 1 year">
      <calculatedColumnFormula>G22</calculatedColumnFormula>
    </tableColumn>
    <tableColumn id="5" xr3:uid="{9922C285-EC26-43DD-9F12-016DF1614EE9}" name="Bulls &gt; 1 year">
      <calculatedColumnFormula>H22</calculatedColumnFormula>
    </tableColumn>
    <tableColumn id="6" xr3:uid="{38AC1B97-6F20-44BA-BEFC-DE1AA02A498A}" name="Cows &lt; 1 year">
      <calculatedColumnFormula>I22</calculatedColumnFormula>
    </tableColumn>
    <tableColumn id="7" xr3:uid="{04C5689E-4C02-4245-9273-CC04FE91DEE4}" name="Cows 1-2 years">
      <calculatedColumnFormula>J22</calculatedColumnFormula>
    </tableColumn>
    <tableColumn id="8" xr3:uid="{0A1A6E22-460C-4AB1-AACD-4B13F2B125A8}" name="Cows 2-3 years">
      <calculatedColumnFormula>K22</calculatedColumnFormula>
    </tableColumn>
    <tableColumn id="9" xr3:uid="{A69BB4F2-320C-457C-8861-564C224C9C68}" name="Cows &gt; 3 years">
      <calculatedColumnFormula>L22</calculatedColumnFormula>
    </tableColumn>
    <tableColumn id="10" xr3:uid="{C175EB3A-48A1-4CA7-8279-E91AE4C1BDCB}" name="Steers &lt; 1 year">
      <calculatedColumnFormula>M22</calculatedColumnFormula>
    </tableColumn>
    <tableColumn id="11" xr3:uid="{0815356F-AAB8-4BE9-B882-79711C1539A5}" name="Steers 1-2 years">
      <calculatedColumnFormula>N22</calculatedColumnFormula>
    </tableColumn>
    <tableColumn id="12" xr3:uid="{2CA39BFE-15BC-4A52-9C74-918ACB8B764B}" name="Steers 2-3 years">
      <calculatedColumnFormula>#REF!</calculatedColumnFormula>
    </tableColumn>
    <tableColumn id="13" xr3:uid="{A1E5C09C-F50D-438F-9B1F-FE32233959F7}" name="Steers &gt;3 years">
      <calculatedColumnFormula>P22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7746E5D-F124-4F1F-A77C-252C6FE5F7A3}"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6B216BE5-F844-4612-827E-90AFE938063A}" name="Regio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103268D-DE72-42CA-9CF2-82598992E90B}"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FA9E1822-DDC6-4DA2-A1BF-82E84634BDAE}" name="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2D6B09A-68E5-48E7-9761-CCB335075D9B}"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2B2B7F0A-D8AC-4909-A7B9-8694F756A85D}" name="Regio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A3DAB2A-0F7B-43A7-800D-77F2D4EF63BA}" name="Table_SourceData_PastureBeef_Region_Victoria" displayName="Table_SourceData_PastureBeef_Region_Victoria" ref="S7:S8" totalsRowShown="0">
  <autoFilter ref="S7:S8" xr:uid="{7D474D93-C1E0-4898-A434-69585070D0B9}">
    <filterColumn colId="0" hiddenButton="1"/>
  </autoFilter>
  <tableColumns count="1">
    <tableColumn id="1" xr3:uid="{F35E02DE-4F4B-4C06-8725-2F58CC042E68}" name="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04B1BA7-58EB-4DAE-AB92-22BD3D44C1D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EB94E060-7144-4ABB-9D89-63E01F7EE040}" name="Regio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BA7586B-A0EC-404B-BE77-E77DCFE9F09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C236A627-9B18-4498-95B9-695079D110D7}" name="Regio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2C5DF6D-15C1-4A65-92AB-345961733E9B}" name="Table_SourceData_PastureBeef_Region_Tasmania" displayName="Table_SourceData_PastureBeef_Region_Tasmania" ref="S22:S23" totalsRowShown="0">
  <autoFilter ref="S22:S23" xr:uid="{4E5A7E40-F6AE-4323-873A-9AB20571A18A}">
    <filterColumn colId="0" hiddenButton="1"/>
  </autoFilter>
  <tableColumns count="1">
    <tableColumn id="1" xr3:uid="{A5EC9B78-F067-4BE7-B272-57C7D0D50680}" name="Regio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485E70-576D-49D4-B6B2-8EEC7CCCBF0E}" name="Table_SourceData_PastureBeef_Region_ACT" displayName="Table_SourceData_PastureBeef_Region_ACT" ref="S27:S28" totalsRowShown="0">
  <autoFilter ref="S27:S28" xr:uid="{3655B7FD-A2CC-4B05-9668-16F7A54ED6C1}">
    <filterColumn colId="0" hiddenButton="1"/>
  </autoFilter>
  <tableColumns count="1">
    <tableColumn id="1" xr3:uid="{996AA084-8B57-4E26-86E8-BB63879CEB63}"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35C4692-17D0-4008-8E2A-37F49950483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F2471C-E828-4E5D-85A6-7237F591877A}" name="State">
      <calculatedColumnFormula array="1">Common_InputFunctions.Utility_DisplayArrayInTable(SourceData_PastureBeef.SourceData_PastureBeef_LiveweightGain_Data(), Table_SourceData_PastureBeef_LiveweightGain[[#Headers],[State]],0)</calculatedColumnFormula>
    </tableColumn>
    <tableColumn id="2" xr3:uid="{BB8CB3A6-F9BB-4A5D-8BCB-0B205984995C}" name="Region" dataDxfId="4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3D9C8AA7-3DD9-4D16-8EC4-89079E691319}" name="Season" dataDxfId="4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6F7C6D32-1BC1-41DB-B707-4BE11EBC0302}" name="Bull &lt;1" dataDxfId="4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296E3A4-9496-46D6-92FB-9713BCAC5966}" name="Bull &gt;1" dataDxfId="4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DA2162F-751A-4BA5-B1CA-041A65A3B93F}" name="Cow &lt;1" dataDxfId="4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77250311-EE91-4777-89E2-AA5C5EB36B95}" name="Cow 1-2" dataDxfId="426"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466F8A78-4A5C-4341-99D2-BCBE8955D639}" name="Cow &gt;2" dataDxfId="425"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1C83A37-F298-4987-B632-6B91CB5F3CA4}" name="Steer &lt;1" dataDxfId="424"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BC84FE2C-1835-4ECE-84DB-E67A6057C1CF}" name="Steer &gt;1" dataDxfId="423"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8CBB3ED-47E5-4033-9ADE-365FAD1A269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946B9BA-FFE9-40AB-90F3-95B28F19F28B}" name="State">
      <calculatedColumnFormula array="1">Common_InputFunctions.Utility_DisplayArrayInTable(SourceData_PastureBeef.SourceData_PastureBeef_LiveweightGainNTQLD_Data(),Table_SourceData_PastureBeef_LiveweightGainNTQLD[[#Headers],[State]],0)</calculatedColumnFormula>
    </tableColumn>
    <tableColumn id="2" xr3:uid="{BB89AB44-6D62-454B-A70C-883B5D2524FE}" name="Region" dataDxfId="4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44D45B08-E76B-4B1D-9013-A05E6C8F6DF3}" name="Season" dataDxfId="4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AF9BBF1B-B350-4AD5-86E6-CFE6B39CE375}" name="Bull &lt;1" dataDxfId="4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9257FCA0-1C28-401B-A30D-A701CA54783D}" name="Bull &gt;1" dataDxfId="4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11BB9AA7-C2D3-4292-BC40-00DFFD5EAB48}" name="Cow &lt;1" dataDxfId="4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02B2081B-6AA8-4F88-8DE4-3A9F92FE2BC1}" name="Cow 1-2" dataDxfId="4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A0D72C34-CC81-4230-8FD0-692B82657CA2}" name="Cow 2-3" dataDxfId="4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CFC9AC9-7A76-4C5A-BA62-15E58613FC36}" name="Cow &gt;3" dataDxfId="4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F8FF116F-AF0E-41A6-859B-7DB6F03E863D}" name="Steer &lt;1" dataDxfId="4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24739B99-0A7B-44E0-908A-3CFDA459E18A}" name="Steer 1-2" dataDxfId="41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31C6324E-CD61-4F19-9E42-86B949122B4E}" name="Steer 2-3" dataDxfId="41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5CA83D7A-51C4-40D6-889D-9B5A6267D3EA}" name="Steer &gt;3" dataDxfId="41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F3D046E-7FCA-47D4-8FF5-D7C1E4A502D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8B56297-98EC-4FDC-A242-D645A96B8F56}" name="State"/>
    <tableColumn id="2" xr3:uid="{8A0B4DA2-A449-47EB-8795-E6332821222D}" name="Region">
      <calculatedColumnFormula>E159</calculatedColumnFormula>
    </tableColumn>
    <tableColumn id="3" xr3:uid="{271D99C5-5653-4FD6-86C8-E3B2A014CF7C}" name="Season">
      <calculatedColumnFormula>F159</calculatedColumnFormula>
    </tableColumn>
    <tableColumn id="4" xr3:uid="{952E2C33-318F-418D-83B3-02DE572F74E6}" name="Bulls &lt; 1 year">
      <calculatedColumnFormula>G159</calculatedColumnFormula>
    </tableColumn>
    <tableColumn id="5" xr3:uid="{1AE53277-D176-4E2E-8536-B8C441EDF388}" name="Bulls &gt; 1 year">
      <calculatedColumnFormula>H159</calculatedColumnFormula>
    </tableColumn>
    <tableColumn id="6" xr3:uid="{53AF59E2-BC45-40D2-BBE7-E041A91E1441}" name="Cows &lt; 1 year">
      <calculatedColumnFormula>I159</calculatedColumnFormula>
    </tableColumn>
    <tableColumn id="7" xr3:uid="{F44341E2-32BE-4E91-81CC-93C1781B339F}" name="Cows 1-2 years">
      <calculatedColumnFormula>J159</calculatedColumnFormula>
    </tableColumn>
    <tableColumn id="8" xr3:uid="{DA0CE0BF-608F-422E-9DDB-F24168F0C408}" name="Cows 2-3 years">
      <calculatedColumnFormula>K159</calculatedColumnFormula>
    </tableColumn>
    <tableColumn id="9" xr3:uid="{515F569F-37D2-4B9B-9706-1D704284B5A6}" name="Cows &gt; 3 years">
      <calculatedColumnFormula>L159</calculatedColumnFormula>
    </tableColumn>
    <tableColumn id="10" xr3:uid="{E08E7CE8-D1D2-4D0C-8AFB-A657A7A15A54}" name="Steers &lt; 1 year">
      <calculatedColumnFormula>M159</calculatedColumnFormula>
    </tableColumn>
    <tableColumn id="11" xr3:uid="{0D527CFE-4F57-4720-9890-311A60C3484B}" name="Steers 1-2 years">
      <calculatedColumnFormula>N159</calculatedColumnFormula>
    </tableColumn>
    <tableColumn id="12" xr3:uid="{5650729B-8889-4F8B-A18F-86BC87D37B72}" name="Steers 2-3 years">
      <calculatedColumnFormula>O159</calculatedColumnFormula>
    </tableColumn>
    <tableColumn id="13" xr3:uid="{5BA2642A-0CE8-452F-985A-EA32D006474E}" name="Steers &gt;3 years">
      <calculatedColumnFormula>P159</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1408940-5F4D-44A1-A67C-22EF3A12825F}"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77D08C27-EEC5-4A69-AC1F-07F9769F292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CC2E02AE-F6F2-4956-B70D-C6FF4E857556}" name="Region" dataDxfId="4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921E3926-6FA3-4CAA-BDEC-C634B12C9BF8}" name="Spring" dataDxfId="4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39A1EF33-47FE-4FF2-87F2-F70B61D6FB90}" name="Summer" dataDxfId="40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7F477F9-139E-47F7-8127-2B7E8B14C27C}" name="Autumn" dataDxfId="40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E9E6C1E-F216-44DD-83F0-62D7E473EA15}" name="Winter" dataDxfId="40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40142FB-28F6-4A43-B5D2-740173F22928}" name="Table_SourceData_PastureBeef_CrudeProtein" displayName="Table_SourceData_PastureBeef_CrudeProtein" ref="D313:I328" totalsRowShown="0" dataDxfId="405"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21BBC03-26AA-4E19-8A4A-C14848D633CB}" name="State" dataDxfId="4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DA071124-A8E7-4F47-AB9B-D6202D612586}" name="Region" dataDxfId="4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8ECA586A-4F3B-4915-92CE-5D26C9B17203}" name="Spring" dataDxfId="4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8C1629B5-A3E5-4AAE-8D98-0E9F8573B92B}" name="Summer" dataDxfId="40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A6844C0D-0C7E-4027-ABF9-BD8F62AC4EBD}" name="Autumn" dataDxfId="40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789030FB-3C5A-454B-82E7-F4A163A26BD4}" name="Winter" dataDxfId="39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43272C1-2A87-4AA1-85CB-CB1E5FEBE521}"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EA6868CF-40FA-4FB5-BFA8-3FADB9DA8F61}"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3F9C6A-0159-4264-9153-425DA143D54E}" name="Season" dataDxfId="39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84B2CBF1-B4FA-4DB0-9582-0D8152E287FD}" name="Feed adjustment" dataDxfId="39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73674A7B-5C4E-4C8D-BF81-4E6E4329B9E4}" name="Milk intake/production" dataDxfId="39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DFF30CC-F30A-46BC-96F7-065F79F7BA84}"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FEF99EA-EA9C-43F1-ADBC-2D0079389B24}"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81A4D05-8B2A-43BE-B3E5-C2491289DA76}" name="Bulls &lt;1" dataDxfId="3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5D248A6E-DBD0-4DF3-B5F0-426A03995649}" name="Bulls &gt;1" dataDxfId="3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B880116C-2879-43D2-9A73-145042027D69}" name="Cows &lt;1" dataDxfId="3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E1375E92-ECA4-4D75-A0A1-172B8B3D5E8B}" name="Cows 1-2" dataDxfId="3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8406288A-5C09-41F3-86D7-37732658AFF4}" name="Cows &gt;2" dataDxfId="3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3C492891-14D7-428B-9062-DF8A0445B4B9}" name="Steer &lt;1" dataDxfId="39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3CF708CD-AE12-419F-A4A9-37704525D0D9}" name="Steer &gt;1" dataDxfId="38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40F750EF-4A2C-4AB6-86F2-BF26C8BA723A}" name="State abbreviation" dataDxfId="38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26DD3DC-2FAA-4083-959D-D817E45843D3}"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8A681D2-76AD-4EF7-AD02-252E8B2AB0EA}" name="State" dataDxfId="387" dataCellStyle="Content normal">
      <calculatedColumnFormula>D351</calculatedColumnFormula>
    </tableColumn>
    <tableColumn id="2" xr3:uid="{D6F25D63-EC63-43EC-B2A0-39BC9B76C9EC}" name="Bulls &lt; 1 year" dataDxfId="386" dataCellStyle="Content normal">
      <calculatedColumnFormula>E351</calculatedColumnFormula>
    </tableColumn>
    <tableColumn id="3" xr3:uid="{851E5D4B-096A-4FEF-A92D-FE8742A31D6D}" name="Bulls &gt; 1 year" dataDxfId="385" dataCellStyle="Content normal">
      <calculatedColumnFormula>F351</calculatedColumnFormula>
    </tableColumn>
    <tableColumn id="4" xr3:uid="{715A3FDD-430C-45B0-8EB7-F690E3E25170}" name="Cows &lt; 1 year" dataDxfId="384" dataCellStyle="Content normal">
      <calculatedColumnFormula>G351</calculatedColumnFormula>
    </tableColumn>
    <tableColumn id="5" xr3:uid="{0CD1C59F-A382-490C-BDDF-90CA59D6D07F}" name="Cows 1-2 years" dataDxfId="383" dataCellStyle="Content normal">
      <calculatedColumnFormula>H351</calculatedColumnFormula>
    </tableColumn>
    <tableColumn id="6" xr3:uid="{BF01DF38-765A-4188-85D7-F736797231AE}" name="Cows 2-3 years" dataDxfId="382" dataCellStyle="Content normal">
      <calculatedColumnFormula>I351</calculatedColumnFormula>
    </tableColumn>
    <tableColumn id="7" xr3:uid="{20023DAE-197B-4F9A-AAFB-A5579BCA1F8F}" name="Cows &gt; 3 years" dataDxfId="381" dataCellStyle="Content normal">
      <calculatedColumnFormula>I351</calculatedColumnFormula>
    </tableColumn>
    <tableColumn id="8" xr3:uid="{CD50EB9B-4543-488A-9A03-054DC6145639}" name="Steers &lt; 1 year" dataDxfId="380" dataCellStyle="Content normal">
      <calculatedColumnFormula>J351</calculatedColumnFormula>
    </tableColumn>
    <tableColumn id="9" xr3:uid="{CE15EEA6-4105-4AE9-89AA-AF92AE5DDEE0}" name="Steers 1-2 years" dataDxfId="379" dataCellStyle="Content normal">
      <calculatedColumnFormula>K351</calculatedColumnFormula>
    </tableColumn>
    <tableColumn id="10" xr3:uid="{F088C120-92C5-4865-89CA-0618AFAD43EF}" name="Steers 2-3 years" dataDxfId="378" dataCellStyle="Content normal">
      <calculatedColumnFormula>K351</calculatedColumnFormula>
    </tableColumn>
    <tableColumn id="11" xr3:uid="{4062CBAF-1C4C-438A-B422-9DE4FCA75067}" name="Steers &gt;3 years" dataDxfId="377" dataCellStyle="Content normal">
      <calculatedColumnFormula>K351</calculatedColumnFormula>
    </tableColumn>
    <tableColumn id="12" xr3:uid="{1A09E0F0-0B2B-4BDB-92F9-B7F884946132}" name="State abbreviation" dataDxfId="376" dataCellStyle="Content normal">
      <calculatedColumnFormula>L351</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933DB17-C4A8-49EC-933C-11C060EE9EA3}"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A6210352-808D-4FE8-86BF-505A3A655F6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FD8ED715-6BF8-4F6B-8710-8D8C5303D391}" name="Region" dataDxfId="37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AE4391B2-D6D0-46C7-93E1-4E3E5FB19061}" name="Pasture range and paddock" dataDxfId="37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EE34D349-2E98-4831-BC5E-C23077FCE478}" name="Uncovered Anaerobic lagoon" dataDxfId="37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B037FBA-8B25-4EFE-A949-F5C0FCC52EEB}" name="Table_SourceData_PastureBeef_MethaneConversionFactor" displayName="Table_SourceData_PastureBeef_MethaneConversionFactor" ref="D400:G415" totalsRowShown="0" dataDxfId="372" dataCellStyle="Content normal">
  <autoFilter ref="D400:G415" xr:uid="{4418AC31-F58F-4AB7-B02E-51D846B94E9A}">
    <filterColumn colId="0" hiddenButton="1"/>
    <filterColumn colId="1" hiddenButton="1"/>
    <filterColumn colId="2" hiddenButton="1"/>
    <filterColumn colId="3" hiddenButton="1"/>
  </autoFilter>
  <tableColumns count="4">
    <tableColumn id="1" xr3:uid="{BCEC3310-C8C8-4455-B866-ADB75E43C948}" name="State" dataDxfId="3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3AAEE16B-6086-4237-87F2-581304FD2693}" name="Region" dataDxfId="37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7996117-615A-45F6-9545-13695A6F579C}" name="Pasture range and paddock" dataDxfId="36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CFFEF5A0-706C-4E43-8DFF-F6028EA77E10}" name="Uncovered Anaerobic lagoon" dataDxfId="36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162E128-6FCF-4FE6-A28A-F64569925F0E}"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78AF9F9F-CEB2-44E3-9CCA-719DD7772577}"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30522791-0BEB-4387-9CFE-18718FC87401}" name="Season" dataDxfId="36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6B3CA666-E353-4950-BDA5-648EC56B0257}" name="Feed adjustment" dataDxfId="36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2D778DE6-EC90-4C33-BE6B-88B0F0E38798}" name="Milk intake/production" dataDxfId="36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1EAD8A4-6B69-4298-8917-2E0E801D245A}" name="Table_LivestockClasses_Beefcattle" displayName="Table_LivestockClasses_Beefcattle" ref="O18:O28" totalsRowShown="0">
  <autoFilter ref="O18:O28" xr:uid="{13BB371D-1A6A-420B-8F76-A006E7FBF483}">
    <filterColumn colId="0" hiddenButton="1"/>
  </autoFilter>
  <tableColumns count="1">
    <tableColumn id="1" xr3:uid="{610C63BF-6F09-4FB4-816A-30FE13429471}" name="Livestock class"/>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194B6F4-6A41-428E-AB49-CE2A21772200}"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73D93A8F-2F23-47EA-8C1D-8FBEF3FC93C6}" name="Region"/>
    <tableColumn id="2" xr3:uid="{6C0D4F5B-18A3-4EE6-B106-78D47FC977A8}" name="Scope3 regio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749A323-8C5C-4217-ADE1-EFC8FF6897D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195593FE-017D-4EDC-81E4-00A03ADE77CC}" name="Category" dataDxfId="364" dataCellStyle="Content normal">
      <calculatedColumnFormula array="1">Common_InputFunctions.Utility_DisplayArrayInTable(Scope3_SourceData.Scope3_Livestock_Data(), Table_SourceData_Scope3_Animals[[#Headers],[Category]], 0, 2)</calculatedColumnFormula>
    </tableColumn>
    <tableColumn id="2" xr3:uid="{F05728E9-70BC-4FBC-BADC-15E147AF5CDD}" name="Product" dataDxfId="363" dataCellStyle="Content normal">
      <calculatedColumnFormula array="1">Common_InputFunctions.Utility_DisplayArrayInTable(Scope3_SourceData.Scope3_Livestock_Data(), Table_SourceData_Scope3_Animals[[#Headers],[Category]], 0, 2)</calculatedColumnFormula>
    </tableColumn>
    <tableColumn id="3" xr3:uid="{74963CE9-DDF6-45BE-9721-5FE7ADE532CB}" name="Region of origin" dataDxfId="362" dataCellStyle="Content normal">
      <calculatedColumnFormula array="1">Common_InputFunctions.Utility_DisplayArrayInTable(Scope3_SourceData.Scope3_Livestock_Data(), Table_SourceData_Scope3_Animals[[#Headers],[Category]], 0, 2)</calculatedColumnFormula>
    </tableColumn>
    <tableColumn id="8" xr3:uid="{92D5E2D1-8CDB-449C-B50A-D0AD38024B7F}" name="Quantity Unit" dataDxfId="361" dataCellStyle="Content normal">
      <calculatedColumnFormula array="1">Common_InputFunctions.Utility_DisplayArrayInTable(Scope3_SourceData.Scope3_Livestock_Data(), Table_SourceData_Scope3_Animals[[#Headers],[Category]], 0, 2)</calculatedColumnFormula>
    </tableColumn>
    <tableColumn id="9" xr3:uid="{ED334684-49F9-4B96-AB0B-1CDD7D01863F}" name="AusLCI Emissions intensity" dataDxfId="360" dataCellStyle="Content normal">
      <calculatedColumnFormula array="1">Common_InputFunctions.Utility_DisplayArrayInTable(Scope3_SourceData.Scope3_Livestock_Data(), Table_SourceData_Scope3_Animals[[#Headers],[Category]], 0, 2)</calculatedColumnFormula>
    </tableColumn>
    <tableColumn id="10" xr3:uid="{29F87AB6-2630-4795-84B7-D3AB5F47AEF2}" name="System boundary" dataDxfId="359"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13A9DF4-8953-4E1B-A5AF-3471400011F1}"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018DBBE-B57C-46EF-9B0B-347193187982}" name="Crop type">
      <calculatedColumnFormula array="1">Common_InputFunctions.Utility_DisplayArrayInTable(Agresidue_SourceData.CropAttributes_Data(),Table_SourceData_CropAttributes[[#Headers],[Crop type]], -1)</calculatedColumnFormula>
    </tableColumn>
    <tableColumn id="2" xr3:uid="{0702358A-DB74-4C8B-AE77-EF5074227D9E}" name="Residue: Crop ratio">
      <calculatedColumnFormula array="1">Common_InputFunctions.Utility_DisplayArrayInTable(Agresidue_SourceData.CropAttributes_Data(),Table_SourceData_CropAttributes[[#Headers],[Crop type]], -1)</calculatedColumnFormula>
    </tableColumn>
    <tableColumn id="3" xr3:uid="{7CFBB8ED-2E18-47E2-91E2-BDAD209F58E9}" name="Below-ground: above-ground residue ratio">
      <calculatedColumnFormula array="1">Common_InputFunctions.Utility_DisplayArrayInTable(Agresidue_SourceData.CropAttributes_Data(),Table_SourceData_CropAttributes[[#Headers],[Crop type]], -1)</calculatedColumnFormula>
    </tableColumn>
    <tableColumn id="4" xr3:uid="{6D29FC99-F7FC-45EC-A02E-849877F025BE}" name="Dry matter content">
      <calculatedColumnFormula array="1">Common_InputFunctions.Utility_DisplayArrayInTable(Agresidue_SourceData.CropAttributes_Data(),Table_SourceData_CropAttributes[[#Headers],[Crop type]], -1)</calculatedColumnFormula>
    </tableColumn>
    <tableColumn id="5" xr3:uid="{4BB1553F-BCE9-4BC9-948A-737C1C2AA23E}" name="Carbon fraction in dry matter">
      <calculatedColumnFormula array="1">Common_InputFunctions.Utility_DisplayArrayInTable(Agresidue_SourceData.CropAttributes_Data(),Table_SourceData_CropAttributes[[#Headers],[Crop type]], -1)</calculatedColumnFormula>
    </tableColumn>
    <tableColumn id="6" xr3:uid="{4C8CF580-0FC4-44FC-878A-5574B1286F9C}" name="N content above-ground">
      <calculatedColumnFormula array="1">Common_InputFunctions.Utility_DisplayArrayInTable(Agresidue_SourceData.CropAttributes_Data(),Table_SourceData_CropAttributes[[#Headers],[Crop type]], -1)</calculatedColumnFormula>
    </tableColumn>
    <tableColumn id="7" xr3:uid="{1575DF11-3B47-42EF-AB40-5769B8445DB9}" name="N content below-ground">
      <calculatedColumnFormula array="1">Common_InputFunctions.Utility_DisplayArrayInTable(Agresidue_SourceData.CropAttributes_Data(),Table_SourceData_CropAttributes[[#Headers],[Crop type]], -1)</calculatedColumnFormula>
    </tableColumn>
    <tableColumn id="8" xr3:uid="{02D2E197-D5A0-443D-88F7-C75A816FC4CF}"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B91B9BE4-FF7D-4F1F-9357-E830BBFDB1CD}"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F9819945-E4BB-4F5F-98F7-F075FBF9E090}" name="Table76" displayName="Table76" ref="D73:F89" totalsRowShown="0">
  <autoFilter ref="D73:F89" xr:uid="{7CD0B032-9881-4EF1-81E3-483C7C16D9D0}">
    <filterColumn colId="0" hiddenButton="1"/>
    <filterColumn colId="1" hiddenButton="1"/>
    <filterColumn colId="2" hiddenButton="1"/>
  </autoFilter>
  <tableColumns count="3">
    <tableColumn id="1" xr3:uid="{7DB733C8-87E0-4DB2-8A9B-715F636A8B30}" name="Crop type c">
      <calculatedColumnFormula array="1">Common_InputFunctions.Utility_DisplayArrayInTable(Agresidue_SourceData.CropFractionRemoved_Data(), Table76[[#Headers],[Crop type c]], 0)</calculatedColumnFormula>
    </tableColumn>
    <tableColumn id="2" xr3:uid="{1F07EB69-F132-4D23-B471-CA6E3AC36FC1}" name="State" dataDxfId="358">
      <calculatedColumnFormula array="1">Common_InputFunctions.Utility_DisplayArrayInTable(Agresidue_SourceData.CropFractionRemoved_Data(), Table76[[#Headers],[Crop type c]], 0)</calculatedColumnFormula>
    </tableColumn>
    <tableColumn id="3" xr3:uid="{8D741F0B-5A48-4227-9F7B-58D134A898AB}" name="Fraction removed" dataDxfId="357">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89ABF598-59EF-4C54-8F72-60F0431EDC9E}" name="Table77" displayName="Table77" ref="D92:F235" totalsRowShown="0">
  <autoFilter ref="D92:F235" xr:uid="{1FA7CC86-1C1E-41FA-9AA1-AAD48AA2EEF0}">
    <filterColumn colId="0" hiddenButton="1"/>
    <filterColumn colId="1" hiddenButton="1"/>
    <filterColumn colId="2" hiddenButton="1"/>
  </autoFilter>
  <tableColumns count="3">
    <tableColumn id="1" xr3:uid="{6486DDD5-0AAF-444C-A5F8-8408B0ACE28A}" name="Crop type c">
      <calculatedColumnFormula array="1">Common_InputFunctions.Utility_DisplayArrayInTable(Agresidue_SourceData.CropFractionRemoved_CustomisedData(), Table77[[#Headers],[Crop type c]], 0)</calculatedColumnFormula>
    </tableColumn>
    <tableColumn id="2" xr3:uid="{D8500546-EF92-4643-8DDF-5C95955E91AA}" name="State" dataDxfId="356">
      <calculatedColumnFormula array="1">Common_InputFunctions.Utility_DisplayArrayInTable(Agresidue_SourceData.CropFractionRemoved_CustomisedData(), Table77[[#Headers],[Crop type c]], 0)</calculatedColumnFormula>
    </tableColumn>
    <tableColumn id="3" xr3:uid="{4A1CCF37-292F-4E3B-BDFB-B4F49183466A}" name="Fraction removed" dataDxfId="355">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947731C-948E-4BA9-AA03-D7B1590AE0FF}" name="Table_SourceData_N2OEFOrganicFert" displayName="Table_SourceData_N2OEFOrganicFert" ref="D43:E45" totalsRowShown="0" dataDxfId="354" dataCellStyle="Content bold">
  <autoFilter ref="D43:E45" xr:uid="{2270AB6D-D03A-4D71-95C0-00BA6BB02732}">
    <filterColumn colId="0" hiddenButton="1"/>
    <filterColumn colId="1" hiddenButton="1"/>
  </autoFilter>
  <tableColumns count="2">
    <tableColumn id="1" xr3:uid="{7C805498-D9EF-4C7D-8FB0-309B9E078C07}" name="Climate zone type i" dataDxfId="353" dataCellStyle="Content bold">
      <calculatedColumnFormula array="1">Common_InputFunctions.Utility_DisplayArrayInTable(Agresidue_SourceData.N2OEFOrganicFertiliser_Data(), Table_SourceData_N2OEFOrganicFert[[#Headers],[Climate zone type i]], 0)</calculatedColumnFormula>
    </tableColumn>
    <tableColumn id="2" xr3:uid="{3620191E-4D67-42F2-BE12-F9968A9A1C68}" name="EF i N2O" dataDxfId="352"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3DE87D4-20A0-4F8E-B7E1-B500E6F9FA70}" name="Table_SourceData_PastureAttributes" displayName="Table_SourceData_PastureAttributes" ref="D51:I56" totalsRowShown="0" dataDxfId="351"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7EF7437F-521F-445A-9B3F-F8DECD45057D}" name="Pasture type" dataDxfId="350" dataCellStyle="Content normal">
      <calculatedColumnFormula array="1">Common_InputFunctions.Utility_DisplayArrayInTable(Agresidue_SourceData.PastureAttributes_Data(), Table_SourceData_PastureAttributes[[#Headers],[Pasture type]], 0)</calculatedColumnFormula>
    </tableColumn>
    <tableColumn id="2" xr3:uid="{D4372EF7-5E3E-41F1-8D69-160ADDA7C93D}" name="Average Yield (t DM ha) Yp" dataDxfId="349" dataCellStyle="Content normal">
      <calculatedColumnFormula array="1">Common_InputFunctions.Utility_DisplayArrayInTable(Agresidue_SourceData.PastureAttributes_Data(), Table_SourceData_PastureAttributes[[#Headers],[Pasture type]], 0)</calculatedColumnFormula>
    </tableColumn>
    <tableColumn id="3" xr3:uid="{4B69CF95-124C-4B20-8779-B79CA83185C0}" name="Below-ground: above-ground residue ratio RBGp" dataDxfId="348" dataCellStyle="Content normal">
      <calculatedColumnFormula array="1">Common_InputFunctions.Utility_DisplayArrayInTable(Agresidue_SourceData.PastureAttributes_Data(), Table_SourceData_PastureAttributes[[#Headers],[Pasture type]], 0)</calculatedColumnFormula>
    </tableColumn>
    <tableColumn id="4" xr3:uid="{6B85A6AE-3EF1-45A3-8542-D49B2213A5D2}" name="N content Above-ground NCAGp" dataDxfId="347" dataCellStyle="Content normal">
      <calculatedColumnFormula array="1">Common_InputFunctions.Utility_DisplayArrayInTable(Agresidue_SourceData.PastureAttributes_Data(), Table_SourceData_PastureAttributes[[#Headers],[Pasture type]], 0)</calculatedColumnFormula>
    </tableColumn>
    <tableColumn id="5" xr3:uid="{BA074EC9-3308-46E5-B7BD-DFC4D9DF375D}" name="N content Below-ground NCBGp" dataDxfId="346" dataCellStyle="Content normal">
      <calculatedColumnFormula array="1">Common_InputFunctions.Utility_DisplayArrayInTable(Agresidue_SourceData.PastureAttributes_Data(), Table_SourceData_PastureAttributes[[#Headers],[Pasture type]], 0)</calculatedColumnFormula>
    </tableColumn>
    <tableColumn id="6" xr3:uid="{7EFA2470-DE71-41D5-8441-692B50BC3E6F}" name="Fraction of pasture yield that is removed FFODp" dataDxfId="345"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A61E45B-C2DF-4A12-8555-B542F51ED769}"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835A81A9-4A2F-4075-BFEA-BB4A7D2F54B3}" name="Gas species">
      <calculatedColumnFormula array="1">Common_InputFunctions.Utility_DisplayArrayInTable(AgResidues_SourceData.BurningOfAgriculturalResiduesEFs_Data(), Table_SourceData_BurningResidueEFs[[#Headers],[Gas species]], 0)</calculatedColumnFormula>
    </tableColumn>
    <tableColumn id="2" xr3:uid="{1F00C67A-1915-486B-8EDD-0B3BC2F35FEB}" name="Emission factor EFg (Gg element in species/ Gg element in fuel burnt)" dataDxfId="344" dataCellStyle="Content normal">
      <calculatedColumnFormula array="1">Common_InputFunctions.Utility_DisplayArrayInTable(AgResidues_SourceData.BurningOfAgriculturalResiduesEFs_Data(), Table_SourceData_BurningResidueEFs[[#Headers],[Gas species]], 0)</calculatedColumnFormula>
    </tableColumn>
    <tableColumn id="3" xr3:uid="{B86B830D-B153-4BBF-A5F9-88ADDEC0C9E7}" name="Elemental to molecular mass conversion factor (Cg)" dataDxfId="343"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E0844862-880F-4D74-8E63-A585228B04D0}" name="Table_SourceData_CropPurposeAndYields" displayName="Table_SourceData_CropPurposeAndYields" ref="D7:K10" totalsRowShown="0" headerRowDxfId="342">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FFC06A4-7E5F-4A34-9BCA-2A763F553DE4}" name="Purpose">
      <calculatedColumnFormula array="1">Common_InputFunctions.Utility_DisplayArrayInTable(Agresidue_SourceData.CropPurposeAndYield_Data(), Table_SourceData_CropPurposeAndYields[[#Headers],[Purpose]], 0)</calculatedColumnFormula>
    </tableColumn>
    <tableColumn id="2" xr3:uid="{37ADB3B4-F41C-4E9B-8160-0ACF6446ED20}" name="Per hectare unit">
      <calculatedColumnFormula array="1">Common_InputFunctions.Utility_DisplayArrayInTable(Agresidue_SourceData.CropPurposeAndYield_Data(), Table_SourceData_CropPurposeAndYields[[#Headers],[Purpose]], 0)</calculatedColumnFormula>
    </tableColumn>
    <tableColumn id="3" xr3:uid="{DD43735E-1A58-426F-A3EA-F8B1AD8AA607}" name="harvest term">
      <calculatedColumnFormula array="1">Common_InputFunctions.Utility_DisplayArrayInTable(Agresidue_SourceData.CropPurposeAndYield_Data(), Table_SourceData_CropPurposeAndYields[[#Headers],[Purpose]], 0)</calculatedColumnFormula>
    </tableColumn>
    <tableColumn id="4" xr3:uid="{6D1BC8E9-8EF9-4C2E-B90F-BAB074C5DA87}" name="harvest endpoint">
      <calculatedColumnFormula array="1">Common_InputFunctions.Utility_DisplayArrayInTable(Agresidue_SourceData.CropPurposeAndYield_Data(), Table_SourceData_CropPurposeAndYields[[#Headers],[Purpose]], 0)</calculatedColumnFormula>
    </tableColumn>
    <tableColumn id="5" xr3:uid="{C8B13075-CCD1-4CE7-A5EC-9F45E3FD947E}" name="Harvest uit">
      <calculatedColumnFormula array="1">Common_InputFunctions.Utility_DisplayArrayInTable(Agresidue_SourceData.CropPurposeAndYield_Data(), Table_SourceData_CropPurposeAndYields[[#Headers],[Purpose]], 0)</calculatedColumnFormula>
    </tableColumn>
    <tableColumn id="6" xr3:uid="{12E14DA7-016B-4053-A241-58ADB2DE62CE}" name="Yield note">
      <calculatedColumnFormula array="1">Common_InputFunctions.Utility_DisplayArrayInTable(Agresidue_SourceData.CropPurposeAndYield_Data(), Table_SourceData_CropPurposeAndYields[[#Headers],[Purpose]], 0)</calculatedColumnFormula>
    </tableColumn>
    <tableColumn id="8" xr3:uid="{87AFA470-99AD-4750-BA11-C8FEAE58F8B7}" name="Residue crop ratio note">
      <calculatedColumnFormula array="1">Common_InputFunctions.Utility_DisplayArrayInTable(Agresidue_SourceData.CropPurposeAndYield_Data(), Table_SourceData_CropPurposeAndYields[[#Headers],[Purpose]], 0)</calculatedColumnFormula>
    </tableColumn>
    <tableColumn id="9" xr3:uid="{F37B4928-FD6B-4F8C-8BD2-98058AA3F20A}"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1E71C4D-98F5-42B4-89C4-30EDDAA12EA1}" name="Table_SourceData_Fertiliser_IrrigationMethods88" displayName="Table_SourceData_Fertiliser_IrrigationMethods88" ref="N21:N26" totalsRowShown="0">
  <autoFilter ref="N21:N26" xr:uid="{1AC5909E-E06C-4A79-81E9-C25A0B6D9E90}">
    <filterColumn colId="0" hiddenButton="1"/>
  </autoFilter>
  <tableColumns count="1">
    <tableColumn id="1" xr3:uid="{2B0D5E53-D5F7-42BB-B7D9-99FA9A2472CB}" name="Irrigation method"/>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C35D278C-AB66-4AEA-8C2E-E355EF4F3D1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AD7DDB29-6D96-4AD7-A640-B5089DA51098}" name="Symbol">
      <calculatedColumnFormula array="1">Common_InputFunctions.Utility_DisplayArrayInTable(CommonLivestock_SourceData.SourceData_Livestock_Common_SymbolsMMS_Data(), Table_Data_MMSSymbols[[#Headers],[Symbol]], 0)</calculatedColumnFormula>
    </tableColumn>
    <tableColumn id="2" xr3:uid="{6B6D6702-8DA6-43CA-AF6B-AE93CCAA25A7}" name="Manure management system">
      <calculatedColumnFormula array="1">Common_InputFunctions.Utility_DisplayArrayInTable(CommonLivestock_SourceData.SourceData_Livestock_Common_SymbolsMMS_Data(), Table_Data_MMSSymbols[[#Headers],[Symbol]], 0)</calculatedColumnFormula>
    </tableColumn>
    <tableColumn id="3" xr3:uid="{2528A2DA-689A-4DF9-9382-343B3FF8C445}"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C32AD623-5337-40A1-9A06-1CCD5303BC41}" name="Table_SourceData_LivestockProduct_Beefcattle" displayName="Table_SourceData_LivestockProduct_Beefcattle" ref="D31:E39" totalsRowShown="0">
  <autoFilter ref="D31:E39" xr:uid="{953E8E36-CE90-4001-9CFA-9307A0C836A9}"/>
  <tableColumns count="2">
    <tableColumn id="1" xr3:uid="{E1CA5D0F-0B5C-481D-819E-931584064E54}" name="Product">
      <calculatedColumnFormula array="1">Common_InputFunctions.Utility_DisplayArrayInTable(CommonLivestock_SourceData.SourceData_Livestock_Product_BeefCattle_Data(),Table_SourceData_LivestockProduct_Beefcattle[[#Headers],[Product]],0)</calculatedColumnFormula>
    </tableColumn>
    <tableColumn id="2" xr3:uid="{984317D1-10C3-4248-B6E5-C7C99AE7CA4A}" name="Source region" dataDxfId="3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8ED2DF3A-7481-4D07-91CC-C5795AB5553A}" name="Table_SourceData_LivestockProduct_Sheep" displayName="Table_SourceData_LivestockProduct_Sheep" ref="D43:E50" totalsRowShown="0" dataDxfId="340" dataCellStyle="Content normal">
  <autoFilter ref="D43:E50" xr:uid="{995536B5-6CA5-4D7D-A704-9B6B595C2491}"/>
  <tableColumns count="2">
    <tableColumn id="1" xr3:uid="{F2AC01A9-9314-4E07-8CE5-4EF2EE875913}" name="Product" dataDxfId="3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CA5AF872-68CA-4D4A-8FB7-2C4DFA60031C}" name="Source region" dataDxfId="3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D5579E79-E067-4AC5-916E-D1B01E2540D2}" name="Table_SourceData_LivestockProduct_Chickens" displayName="Table_SourceData_LivestockProduct_Chickens" ref="D54:E55" totalsRowShown="0" dataDxfId="337" dataCellStyle="Content normal">
  <autoFilter ref="D54:E55" xr:uid="{257D8456-031C-4EEF-A8C4-474F215C3208}"/>
  <tableColumns count="2">
    <tableColumn id="1" xr3:uid="{CB7E5F0C-6435-44CC-829E-EACBB6DA299D}" name="Product" dataDxfId="336"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A060EAAE-6FF4-4229-96E2-89D4FE26802B}" name="Source region" dataDxfId="335"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1F662D0-AA7E-418B-8AA1-246F8E8EC6D6}" name="Table_SourceData_LivestockProduct_Dairycattle" displayName="Table_SourceData_LivestockProduct_Dairycattle" ref="D59:E60" totalsRowShown="0" dataDxfId="334" dataCellStyle="Content normal">
  <autoFilter ref="D59:E60" xr:uid="{71833C62-BA2B-4519-92E0-B189E393D12F}"/>
  <tableColumns count="2">
    <tableColumn id="1" xr3:uid="{CEA5A87F-AF93-48EE-A0AC-BAC97B100FE7}" name="Product" dataDxfId="3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99E26043-98B4-4065-AC5F-AA3020645B12}" name="Source region" dataDxfId="3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9E6B97B-9018-45EE-8BEE-2D70ACCBBF4A}" name="Table_SourceData_LivestockProduct_Pigs" displayName="Table_SourceData_LivestockProduct_Pigs" ref="D64:E65" totalsRowShown="0" dataDxfId="331" dataCellStyle="Content normal">
  <autoFilter ref="D64:E65" xr:uid="{65FF5EF6-2A75-4137-9345-8328E2DA8F9C}"/>
  <tableColumns count="2">
    <tableColumn id="1" xr3:uid="{5DF960B3-8B0F-41FB-AB95-096FD526F824}" name="Product" dataDxfId="3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E9D7F168-DED2-40DA-84B1-377919F3388A}" name="Source region" dataDxfId="3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78F117A5-7F2D-4B29-87D7-4846E8CFAB05}" name="Table_SourceData_ElectricityEFs" displayName="Table_SourceData_ElectricityEFs" ref="D9:F19" totalsRowShown="0" headerRowDxfId="328">
  <autoFilter ref="D9:F19" xr:uid="{3144A982-7A4D-4CF2-8790-1A30DAE3E0A4}">
    <filterColumn colId="0" hiddenButton="1"/>
    <filterColumn colId="1" hiddenButton="1"/>
    <filterColumn colId="2" hiddenButton="1"/>
  </autoFilter>
  <tableColumns count="3">
    <tableColumn id="1" xr3:uid="{0EFA3F65-E7E3-47F9-BA18-AD4FAEB1E420}"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1C78E31-BA26-424B-AE0B-3D5E2F09C130}"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E04F3E7B-B3B3-40DD-B7F1-D8DB7B87CA7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832F38D7-4A83-447E-9C37-0EEBC3DDBCB5}"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A40050B0-9578-455C-8CD7-203493AEF81A}"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540632E-7E7F-48EB-A7E4-57AA7AC6C203}"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9599B10-8440-4C96-8224-ADAB09887829}"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A9A2866-11F4-4A77-91F6-3FBB95247D6A}"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835D9D0A-3632-4EAB-841E-4E23EE9E27C8}"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BA660FA-E603-4F8A-B923-E8B06E421C7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2D780878-94A2-44D4-B5C8-0F94C89E22B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448209FA-7B23-4108-97B7-4A8AB8A70098}" name="FNinorganic f">
      <calculatedColumnFormula array="1">Common_InputFunctions.Utility_DisplayArrayInTable(Fertiliser_SourceData.Fertiliser_ChemicalCompoundElements_Data(),Table_Fertiliser_ChemicalCompounds[[#Headers],[Fertiliser type f]], 0)</calculatedColumnFormula>
    </tableColumn>
    <tableColumn id="3" xr3:uid="{D12E707E-429A-47F0-8880-D962A2C8DEFD}" name="FU f">
      <calculatedColumnFormula array="1">Common_InputFunctions.Utility_DisplayArrayInTable(Fertiliser_SourceData.Fertiliser_ChemicalCompoundElements_Data(),Table_Fertiliser_ChemicalCompounds[[#Headers],[Fertiliser type f]], 0)</calculatedColumnFormula>
    </tableColumn>
    <tableColumn id="4" xr3:uid="{43F3EBC4-93AF-47C2-8219-8F2AB1E8C0C3}" name="Basis">
      <calculatedColumnFormula array="1">Common_InputFunctions.Utility_DisplayArrayInTable(Fertiliser_SourceData.Fertiliser_ChemicalCompoundElements_Data(),Table_Fertiliser_ChemicalCompounds[[#Headers],[Fertiliser type f]], 0)</calculatedColumnFormula>
    </tableColumn>
    <tableColumn id="5" xr3:uid="{8C7EB9C7-BF8E-41D8-9DA2-C14CC4E2A4F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400FC1AC-38E6-4D43-9888-0249EA3A8357}"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D9BD787-F70E-4BF2-A222-B2196CD6C498}"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8F71E01-0CFB-483E-98CC-1D1DA362A682}" name="Include or Exclude" dataDxfId="327" totalsRowDxfId="326">
      <calculatedColumnFormula array="1">Common_InputFunctions.Utility_DisplayArrayInTable(Fertiliser_SourceData.Fertiliser_Products_Data1(),FertiliserProducts[[#Headers],[Include or Exclude]], -1)</calculatedColumnFormula>
    </tableColumn>
    <tableColumn id="2" xr3:uid="{75D40075-5585-49F0-AB66-67C5306016B1}" name="Notes" dataDxfId="325" totalsRowDxfId="324">
      <calculatedColumnFormula array="1">Common_InputFunctions.Utility_DisplayArrayInTable(Fertiliser_SourceData.Fertiliser_Products_Data1(),FertiliserProducts[[#Headers],[Include or Exclude]], 0)</calculatedColumnFormula>
    </tableColumn>
    <tableColumn id="3" xr3:uid="{F724EF87-2E72-43C5-AE39-2F048BFD10D0}" name="Company" dataDxfId="323" totalsRowDxfId="322">
      <calculatedColumnFormula array="1">Common_InputFunctions.Utility_DisplayArrayInTable(Fertiliser_SourceData.Fertiliser_Products_Data1(),FertiliserProducts[[#Headers],[Include or Exclude]], 0)</calculatedColumnFormula>
    </tableColumn>
    <tableColumn id="4" xr3:uid="{050A2DA7-BA98-4FDE-BA6A-C484F437AD15}" name="Product name" dataDxfId="321" totalsRowDxfId="320">
      <calculatedColumnFormula array="1">Common_InputFunctions.Utility_DisplayArrayInTable(Fertiliser_SourceData.Fertiliser_Products_Data1(),FertiliserProducts[[#Headers],[Include or Exclude]], 0)</calculatedColumnFormula>
    </tableColumn>
    <tableColumn id="5" xr3:uid="{3D0AF70B-7F90-4DC4-9F9A-47A9F74FF2A7}" name="Unit" dataDxfId="319" totalsRowDxfId="318">
      <calculatedColumnFormula array="1">Common_InputFunctions.Utility_DisplayArrayInTable(Fertiliser_SourceData.Fertiliser_Products_Data1(),FertiliserProducts[[#Headers],[Include or Exclude]], 0,4)</calculatedColumnFormula>
    </tableColumn>
    <tableColumn id="6" xr3:uid="{DFB89652-4479-495D-A32F-E1F665FC908C}" name="Density / gravity" dataDxfId="317" totalsRowDxfId="316">
      <calculatedColumnFormula array="1">Common_InputFunctions.Utility_DisplayArrayInTable(Fertiliser_SourceData.Fertiliser_Products_Data1(),FertiliserProducts[[#Headers],[Include or Exclude]], 0,4)</calculatedColumnFormula>
    </tableColumn>
    <tableColumn id="7" xr3:uid="{09546D26-2E24-435E-B675-DB98E64845B7}" name="Urea source" dataDxfId="315" totalsRowDxfId="314">
      <calculatedColumnFormula array="1">Common_InputFunctions.Utility_DisplayArrayInTable(Fertiliser_SourceData.Fertiliser_Products_Data1(),FertiliserProducts[[#Headers],[Include or Exclude]], 0,4)</calculatedColumnFormula>
    </tableColumn>
    <tableColumn id="8" xr3:uid="{3F489D0E-2518-4B79-B689-22A5BADDF65D}" name="Ammonia source" dataDxfId="313" totalsRowDxfId="312">
      <calculatedColumnFormula array="1">Common_InputFunctions.Utility_DisplayArrayInTable(Fertiliser_SourceData.Fertiliser_Products_Data1(),FertiliserProducts[[#Headers],[Include or Exclude]], 0,4)</calculatedColumnFormula>
    </tableColumn>
    <tableColumn id="9" xr3:uid="{5A49034F-D0CB-4671-A4EA-89871EBE4B49}" name="Ingredient 1" dataDxfId="311" totalsRowDxfId="310">
      <calculatedColumnFormula array="1">Common_InputFunctions.Utility_DisplayArrayInTable(Fertiliser_SourceData.Fertiliser_Products_Data1(),FertiliserProducts[[#Headers],[Include or Exclude]], 0,4)</calculatedColumnFormula>
    </tableColumn>
    <tableColumn id="10" xr3:uid="{3DBC2A48-8096-4094-9A79-55D00C33DC58}" name="Ingredient 1 percent" dataDxfId="309" totalsRowDxfId="308">
      <calculatedColumnFormula array="1">Common_InputFunctions.Utility_DisplayArrayInTable(Fertiliser_SourceData.Fertiliser_Products_Data1(),FertiliserProducts[[#Headers],[Include or Exclude]], 0,4)</calculatedColumnFormula>
    </tableColumn>
    <tableColumn id="11" xr3:uid="{0D4451BB-F1F7-4D12-AED9-9177B0E96AAA}" name="Ingredient 2" dataDxfId="307" totalsRowDxfId="306">
      <calculatedColumnFormula array="1">Common_InputFunctions.Utility_DisplayArrayInTable(Fertiliser_SourceData.Fertiliser_Products_Data1(),FertiliserProducts[[#Headers],[Include or Exclude]], 0,4)</calculatedColumnFormula>
    </tableColumn>
    <tableColumn id="12" xr3:uid="{D310CF51-84AA-4423-960C-1BEF50510018}" name="Ingredient 2 percent" dataDxfId="305" totalsRowDxfId="304">
      <calculatedColumnFormula array="1">Common_InputFunctions.Utility_DisplayArrayInTable(Fertiliser_SourceData.Fertiliser_Products_Data1(),FertiliserProducts[[#Headers],[Include or Exclude]], 0,4)</calculatedColumnFormula>
    </tableColumn>
    <tableColumn id="13" xr3:uid="{E570AD93-6CE1-4372-9E2C-BDA4225F7E64}" name="Ingredient 3" dataDxfId="303" totalsRowDxfId="302">
      <calculatedColumnFormula array="1">Common_InputFunctions.Utility_DisplayArrayInTable(Fertiliser_SourceData.Fertiliser_Products_Data1(),FertiliserProducts[[#Headers],[Include or Exclude]], 0,4)</calculatedColumnFormula>
    </tableColumn>
    <tableColumn id="14" xr3:uid="{8F2A9360-97B1-4C81-B0C7-3DA44C8605A9}" name="Ingredient 3 percent" dataDxfId="301" totalsRowDxfId="300">
      <calculatedColumnFormula array="1">Common_InputFunctions.Utility_DisplayArrayInTable(Fertiliser_SourceData.Fertiliser_Products_Data1(),FertiliserProducts[[#Headers],[Include or Exclude]], 0,4)</calculatedColumnFormula>
    </tableColumn>
    <tableColumn id="15" xr3:uid="{5821532A-20A9-4F1B-862A-F8DFC80A7725}" name="Ingredient 4" dataDxfId="299" totalsRowDxfId="298">
      <calculatedColumnFormula array="1">Common_InputFunctions.Utility_DisplayArrayInTable(Fertiliser_SourceData.Fertiliser_Products_Data1(),FertiliserProducts[[#Headers],[Include or Exclude]], 0,4)</calculatedColumnFormula>
    </tableColumn>
    <tableColumn id="16" xr3:uid="{C69A6FB1-5CD2-469F-8FB6-3D3C56F8E4C2}" name="Ingredient 4 percent" dataDxfId="297" totalsRowDxfId="296">
      <calculatedColumnFormula array="1">Common_InputFunctions.Utility_DisplayArrayInTable(Fertiliser_SourceData.Fertiliser_Products_Data1(),FertiliserProducts[[#Headers],[Include or Exclude]], 0,4)</calculatedColumnFormula>
    </tableColumn>
    <tableColumn id="17" xr3:uid="{6A64DC93-062C-4DD5-9897-D2CC966C5463}" name="Ingredient 5" dataDxfId="295" totalsRowDxfId="294">
      <calculatedColumnFormula array="1">Common_InputFunctions.Utility_DisplayArrayInTable(Fertiliser_SourceData.Fertiliser_Products_Data1(),FertiliserProducts[[#Headers],[Include or Exclude]], 0,4)</calculatedColumnFormula>
    </tableColumn>
    <tableColumn id="18" xr3:uid="{3B870CD3-1107-41A9-B60A-25398DDD2258}" name="Ingredient 5 percent" dataDxfId="293" totalsRowDxfId="292">
      <calculatedColumnFormula array="1">Common_InputFunctions.Utility_DisplayArrayInTable(Fertiliser_SourceData.Fertiliser_Products_Data1(),FertiliserProducts[[#Headers],[Include or Exclude]], 0,4)</calculatedColumnFormula>
    </tableColumn>
    <tableColumn id="19" xr3:uid="{93F1F6DA-7C97-48CB-9920-2227B8E59625}" name="Ingredient 6" dataDxfId="291" totalsRowDxfId="290">
      <calculatedColumnFormula array="1">Common_InputFunctions.Utility_DisplayArrayInTable(Fertiliser_SourceData.Fertiliser_Products_Data1(),FertiliserProducts[[#Headers],[Include or Exclude]], 0,4)</calculatedColumnFormula>
    </tableColumn>
    <tableColumn id="37" xr3:uid="{98BB89DB-303C-4080-8B3A-B2B47E5D6B93}" name="Ingredient 6 percent" dataDxfId="289" totalsRowDxfId="288">
      <calculatedColumnFormula array="1">Common_InputFunctions.Utility_DisplayArrayInTable(Fertiliser_SourceData.Fertiliser_Products_Data1(),FertiliserProducts[[#Headers],[Include or Exclude]], 0,4)</calculatedColumnFormula>
    </tableColumn>
    <tableColumn id="20" xr3:uid="{BAF064CF-7143-4FBE-B71A-7C6742407AE5}" name="Ingredient 7" dataDxfId="287">
      <calculatedColumnFormula array="1">Common_InputFunctions.Utility_DisplayArrayInTable(Fertiliser_SourceData.Fertiliser_Products_Data1(),FertiliserProducts[[#Headers],[Include or Exclude]], 0,4)</calculatedColumnFormula>
    </tableColumn>
    <tableColumn id="24" xr3:uid="{40DA89F4-0B72-4750-A28E-A6DBD8DA9B45}" name="Ingredient 7 percent" dataDxfId="286">
      <calculatedColumnFormula array="1">Common_InputFunctions.Utility_DisplayArrayInTable(Fertiliser_SourceData.Fertiliser_Products_Data1(),FertiliserProducts[[#Headers],[Include or Exclude]], 0,4)</calculatedColumnFormula>
    </tableColumn>
    <tableColumn id="23" xr3:uid="{2059A480-5EFE-4947-B93F-B48B6E1D174F}" name="Ingredient 8" dataDxfId="285">
      <calculatedColumnFormula array="1">Common_InputFunctions.Utility_DisplayArrayInTable(Fertiliser_SourceData.Fertiliser_Products_Data1(),FertiliserProducts[[#Headers],[Include or Exclude]], 0,4)</calculatedColumnFormula>
    </tableColumn>
    <tableColumn id="26" xr3:uid="{33AE31FD-2020-4650-8767-79439C6C4B36}" name="Ingredient 8 percent" dataDxfId="284">
      <calculatedColumnFormula array="1">Common_InputFunctions.Utility_DisplayArrayInTable(Fertiliser_SourceData.Fertiliser_Products_Data1(),FertiliserProducts[[#Headers],[Include or Exclude]], 0,4)</calculatedColumnFormula>
    </tableColumn>
    <tableColumn id="25" xr3:uid="{11D40797-6FB4-4CD1-887D-C6665900A8D8}" name="Ingredient 9" dataDxfId="283">
      <calculatedColumnFormula array="1">Common_InputFunctions.Utility_DisplayArrayInTable(Fertiliser_SourceData.Fertiliser_Products_Data1(),FertiliserProducts[[#Headers],[Include or Exclude]], 0,4)</calculatedColumnFormula>
    </tableColumn>
    <tableColumn id="30" xr3:uid="{D406B778-6B89-45F7-8B61-3A3B267EFC2B}" name="Ingredient 9 percent" dataDxfId="282">
      <calculatedColumnFormula array="1">Common_InputFunctions.Utility_DisplayArrayInTable(Fertiliser_SourceData.Fertiliser_Products_Data1(),FertiliserProducts[[#Headers],[Include or Exclude]], 0,4)</calculatedColumnFormula>
    </tableColumn>
    <tableColumn id="29" xr3:uid="{FA032DB7-8A4C-440D-9CC4-42D0A5C98E5E}" name="Imngredient 10" dataDxfId="281">
      <calculatedColumnFormula array="1">Common_InputFunctions.Utility_DisplayArrayInTable(Fertiliser_SourceData.Fertiliser_Products_Data1(),FertiliserProducts[[#Headers],[Include or Exclude]], 0,4)</calculatedColumnFormula>
    </tableColumn>
    <tableColumn id="28" xr3:uid="{D783E085-D76F-4542-8CAA-5C3EA6D0DC64}" name="Ingredient 10 percent" dataDxfId="280">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059F65C-B149-4B59-8B85-36064BE31A2D}"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BE70C9A0-DAEB-471A-A4A6-469090B47296}" name="Fertiliser type f">
      <calculatedColumnFormula array="1">Common_InputFunctions.Utility_DisplayArrayInTable(Fertiliser_SourceData.Fertiliser_FracGASF_Data(), Table_SourceData_Fertiliser_FracGASF[[#Headers],[Fertiliser type f]], 0)</calculatedColumnFormula>
    </tableColumn>
    <tableColumn id="2" xr3:uid="{CD216B2C-7F05-4592-A85C-A312F9A61AB6}" name="FracGASF f" dataDxfId="27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CCD0683-335E-421C-B131-972596C9EC7D}" name="Table_SourceData_Fertiliser_CropProdSystems" displayName="Table_SourceData_Fertiliser_CropProdSystems" ref="D41:D43" totalsRowShown="0">
  <autoFilter ref="D41:D43" xr:uid="{24F3A11E-40F5-4BB9-BFF4-A71FA2ADA0EF}">
    <filterColumn colId="0" hiddenButton="1"/>
  </autoFilter>
  <tableColumns count="1">
    <tableColumn id="1" xr3:uid="{296471BD-10D6-4202-A0AD-3730B1B7327D}" name="Production system">
      <calculatedColumnFormula>#REF!</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71EB527-F570-4696-B624-0B677E700EDC}"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3113CEB2-3CF7-4C85-8E03-B1C976FD0EBA}" name="Irrigation method"/>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B91C862-78C4-4C22-8607-9640E15F553B}" name="Table_SourceData_Fertiliser_CropTypes" displayName="Table_SourceData_Fertiliser_CropTypes" ref="F41:F45" totalsRowShown="0">
  <autoFilter ref="F41:F45" xr:uid="{CB5044B5-FA3C-4AA2-B1AB-72F7E61D072F}">
    <filterColumn colId="0" hiddenButton="1"/>
  </autoFilter>
  <tableColumns count="1">
    <tableColumn id="1" xr3:uid="{B5F6BC9E-F2BD-401A-8E7D-59BCF17928FD}" name="Production system"/>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D71AAD4-917B-4FDF-AB63-79CBF4B46882}" name="Table_SourceData_OrganicFertiliserTypes" displayName="Table_SourceData_OrganicFertiliserTypes" ref="J41:J46" totalsRowShown="0">
  <autoFilter ref="J41:J46" xr:uid="{B44627B1-537E-4ABC-92C3-57282CEE5B40}">
    <filterColumn colId="0" hiddenButton="1"/>
  </autoFilter>
  <tableColumns count="1">
    <tableColumn id="1" xr3:uid="{9FD2F36B-1BA0-4F98-A5D8-B9B709F06CAD}" name="Organic fertiliser type"/>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C2F431-A10C-48A4-B322-EEE4019BEA8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EB433E9-7405-43F0-ABC3-13648FAF1B3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97B5C15-C590-491D-96D3-7CE258615FCA}" name="P" dataDxfId="27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7A40A447-BDFB-4F32-8B77-C93AE04CD8C6}" name="EF" dataDxfId="27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54A04F5-1FC9-4B82-BD1B-707AAD99B2E4}" name="Table2" displayName="Table2" ref="K19:L28" totalsRowShown="0" dataDxfId="276" dataCellStyle="Content normal">
  <autoFilter ref="K19:L28" xr:uid="{27B93029-EB1F-4C4A-A946-CD673A8A6C46}">
    <filterColumn colId="0" hiddenButton="1"/>
    <filterColumn colId="1" hiddenButton="1"/>
  </autoFilter>
  <tableColumns count="2">
    <tableColumn id="1" xr3:uid="{CFBEDB13-2097-4EC5-8243-7BC56C6A2CAA}" name="Fertiliser type f" dataDxfId="275" dataCellStyle="Content normal">
      <calculatedColumnFormula array="1">Common_InputFunctions.Utility_DisplayArrayInTable(Fertiliser_SourceData.Fertiliser_FractionNCommonFertilisers_Data(), Table2[[#Headers],[Fertiliser type f]], 0)</calculatedColumnFormula>
    </tableColumn>
    <tableColumn id="2" xr3:uid="{B255DACA-33FB-4A38-B44A-20E467245578}" name="FNinorganic f" dataDxfId="27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264F5EA9-0EA0-4AF5-BDE4-6DD75153C02F}" name="Table28" displayName="Table28" ref="Q19:R28" totalsRowShown="0" dataDxfId="273" dataCellStyle="Content normal">
  <autoFilter ref="Q19:R28" xr:uid="{791CEA59-796C-47AB-86BC-41E8F699030C}">
    <filterColumn colId="0" hiddenButton="1"/>
    <filterColumn colId="1" hiddenButton="1"/>
  </autoFilter>
  <tableColumns count="2">
    <tableColumn id="1" xr3:uid="{26AE8B7B-E9AB-4088-9E30-7D2CBCD5E524}" name="Fertiliser type f" dataDxfId="272" dataCellStyle="Content normal">
      <calculatedColumnFormula array="1">Common_InputFunctions.Utility_DisplayArrayInTable(Fertiliser_SourceData.Fertiliser_FractionUreaCommonFertilisers_Data(), Table28[[#Headers],[Fertiliser type f]], 0)</calculatedColumnFormula>
    </tableColumn>
    <tableColumn id="2" xr3:uid="{0A58308B-9AC5-4F74-BCCC-CF46916FBAE0}" name="FNinorganic f" dataDxfId="27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BA70D55-CAD3-4A72-BE65-20B6A9D741A2}"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545184F9-17C2-4418-BF54-7E32433D24A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E92F228-8BC1-45A1-8603-EF551F01A886}" name="Table_Fuel_EFs_StationaryLiquid" displayName="Table_Fuel_EFs_StationaryLiquid" ref="D53:K77" totalsRowShown="0" headerRowDxfId="270" dataDxfId="26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F72162C-7C2B-4E1C-BABE-70AF6FEFEC66}" name="Fuel combusted" dataDxfId="268">
      <calculatedColumnFormula array="1">Common_InputFunctions.Utility_DisplayArrayInTable(Fuel_SourceData.Fuel_Scope1Scope3EmissionFactorsStationaryLiquid_Data(), Table_Fuel_EFs_StationaryLiquid[[#Headers],[Fuel combusted]],0)</calculatedColumnFormula>
    </tableColumn>
    <tableColumn id="2" xr3:uid="{C08EDE7A-05AF-4A9E-A9D1-E0DB5E9479FF}" name="Energy Content Factor (GJ per unit of fuel)" dataDxfId="267">
      <calculatedColumnFormula array="1">Common_InputFunctions.Utility_DisplayArrayInTable(Fuel_SourceData.Fuel_Scope1Scope3EmissionFactorsStationaryLiquid_Data(), Table_Fuel_EFs_StationaryLiquid[[#Headers],[Fuel combusted]],0)</calculatedColumnFormula>
    </tableColumn>
    <tableColumn id="3" xr3:uid="{F928B644-F119-4CA8-B7CE-C4613A036CF0}" name="Fuel unit" dataDxfId="266">
      <calculatedColumnFormula array="1">Common_InputFunctions.Utility_DisplayArrayInTable(Fuel_SourceData.Fuel_Scope1Scope3EmissionFactorsStationaryLiquid_Data(), Table_Fuel_EFs_StationaryLiquid[[#Headers],[Fuel combusted]],0)</calculatedColumnFormula>
    </tableColumn>
    <tableColumn id="4" xr3:uid="{4673ED6E-33FE-4801-9473-DB3D1DFF4945}" name="Scope 1 Emission Factor (kg CO2 - e / GJ) CO2" dataDxfId="265">
      <calculatedColumnFormula array="1">Common_InputFunctions.Utility_DisplayArrayInTable(Fuel_SourceData.Fuel_Scope1Scope3EmissionFactorsStationaryLiquid_Data(), Table_Fuel_EFs_StationaryLiquid[[#Headers],[Fuel combusted]],0)</calculatedColumnFormula>
    </tableColumn>
    <tableColumn id="5" xr3:uid="{83E65759-B29F-4C10-A701-B574C7161F75}" name="Scope 1 Emission Factor (kg CO2 - e / GJ) CH4" dataDxfId="264">
      <calculatedColumnFormula array="1">Common_InputFunctions.Utility_DisplayArrayInTable(Fuel_SourceData.Fuel_Scope1Scope3EmissionFactorsStationaryLiquid_Data(), Table_Fuel_EFs_StationaryLiquid[[#Headers],[Fuel combusted]],0)</calculatedColumnFormula>
    </tableColumn>
    <tableColumn id="6" xr3:uid="{601FB859-7F49-4E63-95F2-4EB0CDE29EDA}" name="Scope 1 Emission Factor (kg CO2 - e / GJ) N2O" dataDxfId="263">
      <calculatedColumnFormula array="1">Common_InputFunctions.Utility_DisplayArrayInTable(Fuel_SourceData.Fuel_Scope1Scope3EmissionFactorsStationaryLiquid_Data(), Table_Fuel_EFs_StationaryLiquid[[#Headers],[Fuel combusted]],0)</calculatedColumnFormula>
    </tableColumn>
    <tableColumn id="7" xr3:uid="{3D982590-7928-4003-82B5-5D871D9ACC66}" name="Scope 1 Emission Factor (kg CO2 - e / GJ) Combined gases" dataDxfId="262">
      <calculatedColumnFormula array="1">Common_InputFunctions.Utility_DisplayArrayInTable(Fuel_SourceData.Fuel_Scope1Scope3EmissionFactorsStationaryLiquid_Data(), Table_Fuel_EFs_StationaryLiquid[[#Headers],[Fuel combusted]],0)</calculatedColumnFormula>
    </tableColumn>
    <tableColumn id="8" xr3:uid="{F514098D-0C17-478D-B2F9-4827CB246B64}" name="Scope 3 Emission Factor (kg CO2 - e / GJ)" dataDxfId="26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ADE8C07-6096-4A65-8792-7884E1FAFDC1}" name="Table_Fuel_EFs_Transport" displayName="Table_Fuel_EFs_Transport" ref="D9:L34" totalsRowShown="0" headerRowDxfId="260" dataDxfId="25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712F174-FF8D-4464-82FF-5D8B4B1E00B4}" name="Transport type" dataDxfId="258">
      <calculatedColumnFormula array="1">Common_InputFunctions.Utility_DisplayArrayInTable(Fuel_SourceData.Fuel_Scope1Scope3EmissionFactorsTransport_Data(), Table_Fuel_EFs_Transport[[#Headers],[Transport type]], 0)</calculatedColumnFormula>
    </tableColumn>
    <tableColumn id="2" xr3:uid="{30074A56-BA21-42D9-BA67-C5927B3BB733}" name="Fuel combusted" dataDxfId="257">
      <calculatedColumnFormula array="1">Common_InputFunctions.Utility_DisplayArrayInTable(Fuel_SourceData.Fuel_Scope1Scope3EmissionFactorsTransport_Data(), Table_Fuel_EFs_Transport[[#Headers],[Transport type]], 0)</calculatedColumnFormula>
    </tableColumn>
    <tableColumn id="3" xr3:uid="{D9201E69-287D-4EB8-AAD1-F57BD0AE05F3}" name="Energy Content Factor (GJ per unit of fuel)" dataDxfId="256">
      <calculatedColumnFormula array="1">Common_InputFunctions.Utility_DisplayArrayInTable(Fuel_SourceData.Fuel_Scope1Scope3EmissionFactorsTransport_Data(), Table_Fuel_EFs_Transport[[#Headers],[Transport type]], 0)</calculatedColumnFormula>
    </tableColumn>
    <tableColumn id="4" xr3:uid="{1896C392-74CE-4080-BF04-C6BD262A134D}" name="Fuel unit" dataDxfId="255">
      <calculatedColumnFormula array="1">Common_InputFunctions.Utility_DisplayArrayInTable(Fuel_SourceData.Fuel_Scope1Scope3EmissionFactorsTransport_Data(), Table_Fuel_EFs_Transport[[#Headers],[Transport type]], 0)</calculatedColumnFormula>
    </tableColumn>
    <tableColumn id="8" xr3:uid="{9A4EE5E1-B7AB-42A3-8988-0917788F67C0}" name="Scope 1 Emission Factor (kg CO2 - e / GJ) CO2" dataDxfId="254">
      <calculatedColumnFormula array="1">Common_InputFunctions.Utility_DisplayArrayInTable(Fuel_SourceData.Fuel_Scope1Scope3EmissionFactorsTransport_Data(), Table_Fuel_EFs_Transport[[#Headers],[Transport type]], 0)</calculatedColumnFormula>
    </tableColumn>
    <tableColumn id="9" xr3:uid="{8A253DB6-AE03-4318-98E9-5B701AA30DC0}" name="Scope 1 Emission Factor (kg CO2 - e / GJ) CH4" dataDxfId="253">
      <calculatedColumnFormula array="1">Common_InputFunctions.Utility_DisplayArrayInTable(Fuel_SourceData.Fuel_Scope1Scope3EmissionFactorsTransport_Data(), Table_Fuel_EFs_Transport[[#Headers],[Transport type]], 0)</calculatedColumnFormula>
    </tableColumn>
    <tableColumn id="10" xr3:uid="{582E23F2-BA69-4FDD-85C5-763A92F122E6}" name="Scope 1 Emission Factor (kg CO2 - e / GJ) N2O" dataDxfId="252">
      <calculatedColumnFormula array="1">Common_InputFunctions.Utility_DisplayArrayInTable(Fuel_SourceData.Fuel_Scope1Scope3EmissionFactorsTransport_Data(), Table_Fuel_EFs_Transport[[#Headers],[Transport type]], 0)</calculatedColumnFormula>
    </tableColumn>
    <tableColumn id="11" xr3:uid="{5E6CBA88-E850-4F34-B419-A4ECF1383FE1}" name="Scope 1 Emission Factor (kg CO2 - e / GJ) Combined gases" dataDxfId="251">
      <calculatedColumnFormula array="1">Common_InputFunctions.Utility_DisplayArrayInTable(Fuel_SourceData.Fuel_Scope1Scope3EmissionFactorsTransport_Data(), Table_Fuel_EFs_Transport[[#Headers],[Transport type]], 0)</calculatedColumnFormula>
    </tableColumn>
    <tableColumn id="12" xr3:uid="{F42FD1B0-63C8-486B-B0B9-A76E9A1E3E05}" name="Scope 3 Emission Factor (kg CO2 - e / GJ)" dataDxfId="25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0F608C1-E77F-4F15-AC3D-22CC24A9E447}" name="Table_FuelTypesPerUse" displayName="Table_FuelTypesPerUse" ref="D130:I139" totalsRowShown="0" headerRowDxfId="249" dataDxfId="24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412498D5-2421-4AE2-8725-36C4BE92CAB8}" name="Generators" dataDxfId="247"/>
    <tableColumn id="2" xr3:uid="{9EE3FDE9-AD4A-4345-A79E-0BDF45F0692E}" name="Power standalone machinery or heating" dataDxfId="246"/>
    <tableColumn id="3" xr3:uid="{AEAAB2BA-4BEB-4FAD-B22E-9DCA175D708D}" name="Aviation" dataDxfId="245"/>
    <tableColumn id="5" xr3:uid="{EB416A6F-08AF-4F64-83C2-58358B3874F2}" name="Cars and light commercial vehicles" dataDxfId="244"/>
    <tableColumn id="7" xr3:uid="{AE58857D-EC15-445F-AD86-D8C58FB35A67}" name="Off-road Agriculture and forestry equipment" dataDxfId="243" dataCellStyle="Content bold"/>
    <tableColumn id="8" xr3:uid="{8D83D6EF-2D15-479D-99B5-6053E87E3369}" name="Vessels" dataDxfId="242" dataCellStyle="Content bold"/>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BF0C3484-B545-4ABE-8BDF-CE588BC69E44}" name="Table_Fuel_EFs_StationaryGaseous" displayName="Table_Fuel_EFs_StationaryGaseous" ref="D86:J104" totalsRowShown="0" headerRowDxfId="241" dataDxfId="24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8E5D517-7B0D-4FC1-AAF3-1DC2B2CFB613}" name="Fuel combusted" dataDxfId="239">
      <calculatedColumnFormula array="1">Common_InputFunctions.Utility_DisplayArrayInTable(Fuel_SourceData.Fuel_Scope1EmissionFactorsStationaryGaseous_Data(), Table_Fuel_EFs_StationaryGaseous[[#Headers],[Fuel combusted]],0)</calculatedColumnFormula>
    </tableColumn>
    <tableColumn id="2" xr3:uid="{A87E6FE6-06DB-447F-A321-8A236D2D0D99}" name="Energy Content Factor (GJ per unit of fuel)" dataDxfId="238">
      <calculatedColumnFormula array="1">Common_InputFunctions.Utility_DisplayArrayInTable(Fuel_SourceData.Fuel_Scope1EmissionFactorsStationaryGaseous_Data(), Table_Fuel_EFs_StationaryGaseous[[#Headers],[Fuel combusted]],0)</calculatedColumnFormula>
    </tableColumn>
    <tableColumn id="3" xr3:uid="{F25A8D31-5D22-4B84-8A57-961D4EBE1FC1}" name="Fuel unit" dataDxfId="237">
      <calculatedColumnFormula array="1">Common_InputFunctions.Utility_DisplayArrayInTable(Fuel_SourceData.Fuel_Scope1EmissionFactorsStationaryGaseous_Data(), Table_Fuel_EFs_StationaryGaseous[[#Headers],[Fuel combusted]],0)</calculatedColumnFormula>
    </tableColumn>
    <tableColumn id="4" xr3:uid="{5C7D0946-41D9-4831-BDC3-37FD5F25B299}" name="Scope 1 Emission Factor (kg CO2 - e / GJ) CO2" dataDxfId="236">
      <calculatedColumnFormula array="1">Common_InputFunctions.Utility_DisplayArrayInTable(Fuel_SourceData.Fuel_Scope1EmissionFactorsStationaryGaseous_Data(), Table_Fuel_EFs_StationaryGaseous[[#Headers],[Fuel combusted]],0)</calculatedColumnFormula>
    </tableColumn>
    <tableColumn id="5" xr3:uid="{7BCF5CCD-B07E-4BEC-B3AA-2156F6C5E777}" name="Scope 1 Emission Factor (kg CO2 - e / GJ) CH4" dataDxfId="235">
      <calculatedColumnFormula array="1">Common_InputFunctions.Utility_DisplayArrayInTable(Fuel_SourceData.Fuel_Scope1EmissionFactorsStationaryGaseous_Data(), Table_Fuel_EFs_StationaryGaseous[[#Headers],[Fuel combusted]],0)</calculatedColumnFormula>
    </tableColumn>
    <tableColumn id="6" xr3:uid="{FEC446EA-5139-4840-9F60-92D59F9F8D78}" name="Scope 1 Emission Factor (kg CO2 - e / GJ) N2O" dataDxfId="234">
      <calculatedColumnFormula array="1">Common_InputFunctions.Utility_DisplayArrayInTable(Fuel_SourceData.Fuel_Scope1EmissionFactorsStationaryGaseous_Data(), Table_Fuel_EFs_StationaryGaseous[[#Headers],[Fuel combusted]],0)</calculatedColumnFormula>
    </tableColumn>
    <tableColumn id="7" xr3:uid="{5059D813-2BFD-450C-A19B-542D333BA591}" name="Scope 1 Emission Factor (kg CO2 - e / GJ) Combined gases" dataDxfId="23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1FAF2467-37CC-4A47-A974-1E13E58BDDC8}" name="Table_Fuel_EFs_StationaryGaseous34" displayName="Table_Fuel_EFs_StationaryGaseous34" ref="D112:F120" headerRowDxfId="232" totalsRowDxfId="231">
  <autoFilter ref="D112:F120" xr:uid="{7D6CE29D-2354-4FAC-9965-9A66FFA42416}">
    <filterColumn colId="0" hiddenButton="1"/>
    <filterColumn colId="1" hiddenButton="1"/>
    <filterColumn colId="2" hiddenButton="1"/>
  </autoFilter>
  <tableColumns count="3">
    <tableColumn id="1" xr3:uid="{94AC0E3A-6106-4F18-8BAB-39AC885FDBBC}" name="State or territory" totalsRowDxfId="230">
      <calculatedColumnFormula array="1">Common_InputFunctions.Utility_DisplayArrayInTable(Fuel_SourceData.Fuel_Scope3EmissionFactorsStationaryGaseous_Data(), Table_Fuel_EFs_StationaryGaseous34[[#Headers],[State or territory]],0)</calculatedColumnFormula>
    </tableColumn>
    <tableColumn id="2" xr3:uid="{A5B2DBF3-A85E-461E-A6BE-67DCBA29B75B}" name="Metro" totalsRowDxfId="229">
      <calculatedColumnFormula array="1">Common_InputFunctions.Utility_DisplayArrayInTable(Fuel_SourceData.Fuel_Scope3EmissionFactorsStationaryGaseous_Data(), Table_Fuel_EFs_StationaryGaseous34[[#Headers],[State or territory]],0)</calculatedColumnFormula>
    </tableColumn>
    <tableColumn id="3" xr3:uid="{8F62CB29-F7F1-4D85-A783-CB1C5456E5A5}" name="Non-metro" totalsRowDxfId="22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FF21992-371A-4A99-8302-36B37FE42CF5}"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9B25F244-67DA-4FAC-8EF5-40CA966AF080}" name="Fuel type"/>
    <tableColumn id="2" xr3:uid="{F9EF6DBE-DAB4-4E3C-AB7F-9E3261C72219}" name="Unit"/>
    <tableColumn id="3" xr3:uid="{D7566B36-2355-4E7B-9026-5A58DF8C4043}" name="Input Unit" dataDxfId="227"/>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860F7AD-9BA0-4EA0-93AF-DACD5908C5C7}"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6BD27BB-0782-4FA6-BBE4-1248402C012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8CD61CB-465F-46A8-8E45-DE63EDB091C2}" name="Fuel type q" dataDxfId="2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FBE13440-6284-40FB-BF63-7BDEBDA05C0C}" name="ECTrans,q (GJ/kL)" dataDxfId="2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EEDAD171-8E02-418E-B853-6FC62B2AB8F2}" name="Scope 1 CO2 EFTran,1,tqg (kg CO2-e/GJ)" dataDxfId="22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ABA8077F-E099-4D90-BBF6-D0332FD9A168}" name="Scope 1 CH4 EFTran,1,tgg (kg CO2-e/GJ)" dataDxfId="22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EDF1B792-2598-4CB3-8F9D-700524935059}" name="Scope 1 N2O EFTran,1,tgg (kg CO2-e/GJ)" dataDxfId="2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DD27824-D385-4CAC-9898-2E4EA275CA30}" name="Scope 3 EFTrans,3,q (kg CO2-e/GJ)" dataDxfId="2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60B7C8AB-BC67-4AC7-AF14-368828914E1E}" name="Table_SourceData_Scope3_Animals100" displayName="Table_SourceData_Scope3_Animals100"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F835919E-C73A-4051-B84C-7EAB72A19790}" name="Category" dataDxfId="220" dataCellStyle="Content normal">
      <calculatedColumnFormula array="1">Common_InputFunctions.Utility_DisplayArrayInTable(Scope3_SourceData.Scope3_Livestock_Data(), Table_SourceData_Scope3_Animals100[[#Headers],[Category]], 0, 2)</calculatedColumnFormula>
    </tableColumn>
    <tableColumn id="2" xr3:uid="{923AE157-4D47-4485-AF02-78F6B3B4A75C}" name="Product" dataDxfId="219" dataCellStyle="Content normal">
      <calculatedColumnFormula array="1">Common_InputFunctions.Utility_DisplayArrayInTable(Scope3_SourceData.Scope3_Livestock_Data(), Table_SourceData_Scope3_Animals100[[#Headers],[Category]], 0, 2)</calculatedColumnFormula>
    </tableColumn>
    <tableColumn id="3" xr3:uid="{983A7369-B145-45A9-9ADE-94FBCD56D86B}" name="Region of origin" dataDxfId="218" dataCellStyle="Content normal">
      <calculatedColumnFormula array="1">Common_InputFunctions.Utility_DisplayArrayInTable(Scope3_SourceData.Scope3_Livestock_Data(), Table_SourceData_Scope3_Animals100[[#Headers],[Category]], 0, 2)</calculatedColumnFormula>
    </tableColumn>
    <tableColumn id="8" xr3:uid="{44B44B2E-BF37-4AD0-B485-A00E4B3E62CF}" name="Quantity Unit" dataDxfId="217" dataCellStyle="Content normal">
      <calculatedColumnFormula array="1">Common_InputFunctions.Utility_DisplayArrayInTable(Scope3_SourceData.Scope3_Livestock_Data(), Table_SourceData_Scope3_Animals100[[#Headers],[Category]], 0, 2)</calculatedColumnFormula>
    </tableColumn>
    <tableColumn id="9" xr3:uid="{AAB96EF4-84A3-42D0-89C8-08BAA9AE6919}" name="AusLCI Emissions intensity" dataDxfId="216" dataCellStyle="Content normal">
      <calculatedColumnFormula array="1">Common_InputFunctions.Utility_DisplayArrayInTable(Scope3_SourceData.Scope3_Livestock_Data(), Table_SourceData_Scope3_Animals100[[#Headers],[Category]], 0, 2)</calculatedColumnFormula>
    </tableColumn>
    <tableColumn id="10" xr3:uid="{28D3661A-CB85-4762-87FA-F95658447053}" name="System boundary" dataDxfId="215" dataCellStyle="Content normal">
      <calculatedColumnFormula array="1">Common_InputFunctions.Utility_DisplayArrayInTable(Scope3_SourceData.Scope3_Livestock_Data(), Table_SourceData_Scope3_Animals100[[#Headers],[Category]], 0, 2)</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B8498069-4313-4F93-A7D8-F09815EC7395}"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A12A2173-F0D8-4657-9614-2B9CEEB087AF}" name="Category" dataDxfId="214" dataCellStyle="Content normal">
      <calculatedColumnFormula array="1">Common_InputFunctions.Utility_DisplayArrayInTable(Scope3_SourceData.Scope3_Chemicals_Data(), Table_SourceData_Scope3_ChemicalsCleaning[[#Headers],[Category]], 0, 2)</calculatedColumnFormula>
    </tableColumn>
    <tableColumn id="2" xr3:uid="{18F2FFBF-AEF1-4F72-A560-FA8175368B3B}" name="Product" dataDxfId="213" dataCellStyle="Content normal">
      <calculatedColumnFormula array="1">Common_InputFunctions.Utility_DisplayArrayInTable(Scope3_SourceData.Scope3_Chemicals_Data(), Table_SourceData_Scope3_ChemicalsCleaning[[#Headers],[Category]], 0, 2)</calculatedColumnFormula>
    </tableColumn>
    <tableColumn id="3" xr3:uid="{9017A2C2-BD01-4F1D-B0F0-CEE5E669FE16}" name="Region of origin" dataDxfId="212" dataCellStyle="Content normal">
      <calculatedColumnFormula array="1">Common_InputFunctions.Utility_DisplayArrayInTable(Scope3_SourceData.Scope3_Chemicals_Data(), Table_SourceData_Scope3_ChemicalsCleaning[[#Headers],[Category]], 0, 2)</calculatedColumnFormula>
    </tableColumn>
    <tableColumn id="8" xr3:uid="{B23D44CC-6515-4AF5-BF4C-8C199300AD85}" name="Quantity Unit" dataDxfId="211" dataCellStyle="Content normal">
      <calculatedColumnFormula array="1">Common_InputFunctions.Utility_DisplayArrayInTable(Scope3_SourceData.Scope3_Chemicals_Data(), Table_SourceData_Scope3_ChemicalsCleaning[[#Headers],[Category]], 0, 2)</calculatedColumnFormula>
    </tableColumn>
    <tableColumn id="9" xr3:uid="{CD000559-54E1-4EEB-A078-0CF95304509E}" name="AusLCI Emissions intensity" dataDxfId="210" dataCellStyle="Content normal">
      <calculatedColumnFormula array="1">Common_InputFunctions.Utility_DisplayArrayInTable(Scope3_SourceData.Scope3_Chemicals_Data(), Table_SourceData_Scope3_ChemicalsCleaning[[#Headers],[Category]], 0, 2)</calculatedColumnFormula>
    </tableColumn>
    <tableColumn id="10" xr3:uid="{FB6C3E05-1086-48A5-B4BE-3296AA586F97}" name="System boundary" dataDxfId="209"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E1A538-7F72-44DA-98B9-EFD6D37EEC8C}" name="Table_SourceData_Scope3_Feed" displayName="Table_SourceData_Scope3_Feed" ref="D89:I159" totalsRowShown="0" dataDxfId="208"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98EB629A-EFCA-4525-AF9C-90AFCD81738D}" name="Category" dataDxfId="207" dataCellStyle="Content normal">
      <calculatedColumnFormula array="1">Common_InputFunctions.Utility_DisplayArrayInTable(Scope3_SourceData.Scope3_Feed_Data(), Table_SourceData_Scope3_Feed[[#Headers],[Category]], 0, 2)</calculatedColumnFormula>
    </tableColumn>
    <tableColumn id="2" xr3:uid="{DE33EBDE-5178-4BE4-BF69-1465F28D4707}" name="Product" dataDxfId="206" dataCellStyle="Content normal">
      <calculatedColumnFormula array="1">Common_InputFunctions.Utility_DisplayArrayInTable(Scope3_SourceData.Scope3_Feed_Data(), Table_SourceData_Scope3_Feed[[#Headers],[Category]], 0, 2)</calculatedColumnFormula>
    </tableColumn>
    <tableColumn id="3" xr3:uid="{A5716A16-77CD-4EB1-BB5C-96630BDA375A}" name="Region of origin" dataDxfId="205" dataCellStyle="Content normal">
      <calculatedColumnFormula array="1">Common_InputFunctions.Utility_DisplayArrayInTable(Scope3_SourceData.Scope3_Feed_Data(), Table_SourceData_Scope3_Feed[[#Headers],[Category]], 0, 2)</calculatedColumnFormula>
    </tableColumn>
    <tableColumn id="8" xr3:uid="{5E76F79C-7D7F-468B-B506-C2EC1CB53B02}" name="Quantity Unit" dataDxfId="204" dataCellStyle="Content normal">
      <calculatedColumnFormula array="1">Common_InputFunctions.Utility_DisplayArrayInTable(Scope3_SourceData.Scope3_Feed_Data(), Table_SourceData_Scope3_Feed[[#Headers],[Category]], 0, 2)</calculatedColumnFormula>
    </tableColumn>
    <tableColumn id="9" xr3:uid="{9CC3E697-6E89-4801-A5EA-E11910D1EE35}" name="AusLCI Emissions intensity" dataDxfId="203" dataCellStyle="Content normal">
      <calculatedColumnFormula array="1">Common_InputFunctions.Utility_DisplayArrayInTable(Scope3_SourceData.Scope3_Feed_Data(), Table_SourceData_Scope3_Feed[[#Headers],[Category]], 0, 2)</calculatedColumnFormula>
    </tableColumn>
    <tableColumn id="10" xr3:uid="{AAB964A8-EEC8-4CC5-8207-53B037B91784}" name="System boundary" dataDxfId="202"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DEC706BB-040F-4714-8F95-7CFBB416B6E9}"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0A6C293-4948-4FC8-AADD-4D63048381D4}" name="Category">
      <calculatedColumnFormula array="1">Common_InputFunctions.Utility_DisplayArrayInTable(Scope3_SourceData.Scope3_InorganicFertilisers_Data(), Table_SourceData_Scope3_InorganicFertiliser[[#Headers],[Category]], 0, 2)</calculatedColumnFormula>
    </tableColumn>
    <tableColumn id="2" xr3:uid="{3EC43445-03FE-4DEA-96C5-70D61043E048}" name="Product">
      <calculatedColumnFormula array="1">Common_InputFunctions.Utility_DisplayArrayInTable(Scope3_SourceData.Scope3_InorganicFertilisers_Data(), Table_SourceData_Scope3_InorganicFertiliser[[#Headers],[Category]], 0, 2)</calculatedColumnFormula>
    </tableColumn>
    <tableColumn id="3" xr3:uid="{1E88FFE1-426C-461C-8622-DBDCFFC46606}" name="Region of origin">
      <calculatedColumnFormula array="1">Common_InputFunctions.Utility_DisplayArrayInTable(Scope3_SourceData.Scope3_InorganicFertilisers_Data(), Table_SourceData_Scope3_InorganicFertiliser[[#Headers],[Category]], 0, 2)</calculatedColumnFormula>
    </tableColumn>
    <tableColumn id="4" xr3:uid="{24EE14EB-F33C-4AA7-A8C9-D4A2ED3441AF}" name="Chemical compound"/>
    <tableColumn id="5" xr3:uid="{A455E502-9C61-4CF6-BC80-D9ABADE21915}" name="Urea source"/>
    <tableColumn id="6" xr3:uid="{2C98CAB6-76C2-4DE6-B9F7-689306845585}" name="Ammonia source"/>
    <tableColumn id="7" xr3:uid="{9D9B4392-AA06-4DD8-9A7E-480E1AB208C6}" name="Quantity"/>
    <tableColumn id="8" xr3:uid="{A209C54B-8556-4843-897F-25AE0588218F}" name="Quantity Unit">
      <calculatedColumnFormula array="1">Common_InputFunctions.Utility_DisplayArrayInTable(Scope3_SourceData.Scope3_InorganicFertilisers_Data(), Table_SourceData_Scope3_InorganicFertiliser[[#Headers],[Category]], 0, -2)</calculatedColumnFormula>
    </tableColumn>
    <tableColumn id="9" xr3:uid="{88F76745-CA6B-4351-B988-C06581720B47}"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990A10F8-CFD5-4B81-BDC2-569E0F18B53F}" name="System boundary" dataDxfId="201"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EA31D76C-5544-47B0-8850-4ABB17B6D47F}" name="Table_SourceData_Scope3_Other" displayName="Table_SourceData_Scope3_Other" ref="D201:I209" totalsRowShown="0" dataDxfId="200"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66B9650D-8269-4743-B9CA-945ED532D62D}" name="Category" dataDxfId="199" dataCellStyle="Content normal">
      <calculatedColumnFormula array="1">Common_InputFunctions.Utility_DisplayArrayInTable(Scope3_SourceData.Scope3_Other_Data(), Table_SourceData_Scope3_Other[[#Headers],[Category]], 0, 2)</calculatedColumnFormula>
    </tableColumn>
    <tableColumn id="2" xr3:uid="{914D03D6-C895-4F7A-81A8-CAB04B93588F}" name="Product" dataDxfId="198" dataCellStyle="Content normal">
      <calculatedColumnFormula array="1">Common_InputFunctions.Utility_DisplayArrayInTable(Scope3_SourceData.Scope3_Other_Data(), Table_SourceData_Scope3_Other[[#Headers],[Category]], 0, 2)</calculatedColumnFormula>
    </tableColumn>
    <tableColumn id="3" xr3:uid="{6F16B9AA-9616-4688-BC3D-B31FF566EDA9}" name="Region of origin" dataDxfId="197" dataCellStyle="Content normal">
      <calculatedColumnFormula array="1">Common_InputFunctions.Utility_DisplayArrayInTable(Scope3_SourceData.Scope3_Other_Data(), Table_SourceData_Scope3_Other[[#Headers],[Category]], 0, 2)</calculatedColumnFormula>
    </tableColumn>
    <tableColumn id="8" xr3:uid="{04F7E1D9-D055-46D2-95F3-768C7967E531}" name="Quantity Unit" dataDxfId="196" dataCellStyle="Content normal">
      <calculatedColumnFormula array="1">Common_InputFunctions.Utility_DisplayArrayInTable(Scope3_SourceData.Scope3_Other_Data(), Table_SourceData_Scope3_Other[[#Headers],[Category]], 0, 2)</calculatedColumnFormula>
    </tableColumn>
    <tableColumn id="9" xr3:uid="{3AE2EDBD-49A1-41BB-9175-D46E39A89BC4}" name="AusLCI Emissions intensity" dataDxfId="195" dataCellStyle="Content normal">
      <calculatedColumnFormula array="1">Common_InputFunctions.Utility_DisplayArrayInTable(Scope3_SourceData.Scope3_Other_Data(), Table_SourceData_Scope3_Other[[#Headers],[Category]], 0, 2)</calculatedColumnFormula>
    </tableColumn>
    <tableColumn id="10" xr3:uid="{80A78345-BEC0-4EE5-BC9F-126790BCF3A5}" name="System boundary" dataDxfId="194"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25DB8C03-887A-455A-92C6-E80522CBEDE8}" name="Table_SourceData_Scope3_Packaging" displayName="Table_SourceData_Scope3_Packaging" ref="D212:I216" totalsRowShown="0" dataDxfId="193"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21856B2C-B17A-405D-8D51-7A58DAAA59DE}" name="Category" dataDxfId="192" dataCellStyle="Content normal">
      <calculatedColumnFormula array="1">Common_InputFunctions.Utility_DisplayArrayInTable(Scope3_SourceData.Scope3_Packaging_Data(), Table_SourceData_Scope3_Packaging[[#Headers],[Category]], 0, 2)</calculatedColumnFormula>
    </tableColumn>
    <tableColumn id="2" xr3:uid="{74D19078-9E27-45E1-A57C-64EC2A912C2E}" name="Product" dataDxfId="191" dataCellStyle="Content normal">
      <calculatedColumnFormula array="1">Common_InputFunctions.Utility_DisplayArrayInTable(Scope3_SourceData.Scope3_Packaging_Data(), Table_SourceData_Scope3_Packaging[[#Headers],[Category]], 0, 2)</calculatedColumnFormula>
    </tableColumn>
    <tableColumn id="3" xr3:uid="{3BE040B0-2B7E-4E28-AD34-BD0E592F14D2}" name="Region of origin" dataDxfId="190" dataCellStyle="Content normal">
      <calculatedColumnFormula array="1">Common_InputFunctions.Utility_DisplayArrayInTable(Scope3_SourceData.Scope3_Packaging_Data(), Table_SourceData_Scope3_Packaging[[#Headers],[Category]], 0, 2)</calculatedColumnFormula>
    </tableColumn>
    <tableColumn id="8" xr3:uid="{A18B24DC-E9FA-40D9-AE67-B2291F0A6145}" name="Quantity Unit" dataDxfId="189" dataCellStyle="Content normal">
      <calculatedColumnFormula array="1">Common_InputFunctions.Utility_DisplayArrayInTable(Scope3_SourceData.Scope3_Packaging_Data(), Table_SourceData_Scope3_Packaging[[#Headers],[Category]], 0, 2)</calculatedColumnFormula>
    </tableColumn>
    <tableColumn id="9" xr3:uid="{467129FC-6F62-4669-A123-C1BBE2C55B7F}" name="AusLCI Emissions intensity" dataDxfId="188" dataCellStyle="Content normal">
      <calculatedColumnFormula array="1">Common_InputFunctions.Utility_DisplayArrayInTable(Scope3_SourceData.Scope3_Packaging_Data(), Table_SourceData_Scope3_Packaging[[#Headers],[Category]], 0, 2)</calculatedColumnFormula>
    </tableColumn>
    <tableColumn id="10" xr3:uid="{C1C9912A-81A2-42A4-8E4F-89322CC5EC7F}" name="System boundary" dataDxfId="187"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92898C0D-CB18-461B-AE63-C565F6AA0555}" name="Table_SourceData_Scope3_Pesticides" displayName="Table_SourceData_Scope3_Pesticides" ref="D219:I231" totalsRowShown="0" dataDxfId="186"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AB7D0F6F-8B82-40A0-9629-4ED355BD7649}" name="Category" dataDxfId="185" dataCellStyle="Content normal">
      <calculatedColumnFormula array="1">Common_InputFunctions.Utility_DisplayArrayInTable(Scope3_SourceData.Scope3_Pesticides_Data(), Table_SourceData_Scope3_Pesticides[[#Headers],[Category]], 0, 2)</calculatedColumnFormula>
    </tableColumn>
    <tableColumn id="2" xr3:uid="{F3867D44-F91D-4501-89F1-4E0F29FBE897}" name="Product" dataDxfId="184" dataCellStyle="Content normal">
      <calculatedColumnFormula array="1">Common_InputFunctions.Utility_DisplayArrayInTable(Scope3_SourceData.Scope3_Pesticides_Data(), Table_SourceData_Scope3_Pesticides[[#Headers],[Category]], 0, 2)</calculatedColumnFormula>
    </tableColumn>
    <tableColumn id="3" xr3:uid="{ACBE08BD-8274-4760-81E4-20B6C651CAD4}" name="Region of origin" dataDxfId="183" dataCellStyle="Content normal">
      <calculatedColumnFormula array="1">Common_InputFunctions.Utility_DisplayArrayInTable(Scope3_SourceData.Scope3_Pesticides_Data(), Table_SourceData_Scope3_Pesticides[[#Headers],[Category]], 0, 2)</calculatedColumnFormula>
    </tableColumn>
    <tableColumn id="8" xr3:uid="{18B48980-BC0F-4BB5-8615-A548F6D6F3FB}" name="Quantity Unit" dataDxfId="182" dataCellStyle="Content normal">
      <calculatedColumnFormula array="1">Common_InputFunctions.Utility_DisplayArrayInTable(Scope3_SourceData.Scope3_Pesticides_Data(), Table_SourceData_Scope3_Pesticides[[#Headers],[Category]], 0, 2)</calculatedColumnFormula>
    </tableColumn>
    <tableColumn id="9" xr3:uid="{7D7709B6-2A6B-4050-BC0F-E81FEE565DEC}" name="AusLCI Emissions intensity" dataDxfId="181" dataCellStyle="Content normal">
      <calculatedColumnFormula array="1">Common_InputFunctions.Utility_DisplayArrayInTable(Scope3_SourceData.Scope3_Pesticides_Data(), Table_SourceData_Scope3_Pesticides[[#Headers],[Category]], 0, 2)</calculatedColumnFormula>
    </tableColumn>
    <tableColumn id="10" xr3:uid="{36BD8062-BFB8-4A3C-AA4C-E4BDDBA27584}" name="System boundary" dataDxfId="180"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27C94A31-1411-41B3-BC0E-D3AB22053EFA}" name="Table_SourceData_Scope3_SoilAmeliorants" displayName="Table_SourceData_Scope3_SoilAmeliorants" ref="D234:I237" totalsRowShown="0" dataDxfId="179"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A3263A47-BB48-4F58-A68C-54A39996AF19}" name="Category" dataDxfId="178" dataCellStyle="Content normal">
      <calculatedColumnFormula array="1">Common_InputFunctions.Utility_DisplayArrayInTable(Scope3_SourceData.Scope3_SoilAmendments_Data(), Table_SourceData_Scope3_SoilAmeliorants[[#Headers],[Category]], 0, 2)</calculatedColumnFormula>
    </tableColumn>
    <tableColumn id="2" xr3:uid="{2EBF9A13-413A-4EF1-B2CC-B9C34729FE06}" name="Product" dataDxfId="177" dataCellStyle="Content normal">
      <calculatedColumnFormula array="1">Common_InputFunctions.Utility_DisplayArrayInTable(Scope3_SourceData.Scope3_SoilAmendments_Data(), Table_SourceData_Scope3_SoilAmeliorants[[#Headers],[Category]], 0, 2)</calculatedColumnFormula>
    </tableColumn>
    <tableColumn id="3" xr3:uid="{EC5B01D6-F252-44A5-AA3A-CF3F8A25D11B}" name="Region of origin" dataDxfId="176" dataCellStyle="Content normal">
      <calculatedColumnFormula array="1">Common_InputFunctions.Utility_DisplayArrayInTable(Scope3_SourceData.Scope3_SoilAmendments_Data(), Table_SourceData_Scope3_SoilAmeliorants[[#Headers],[Category]], 0, 2)</calculatedColumnFormula>
    </tableColumn>
    <tableColumn id="8" xr3:uid="{8F2153EE-CC47-4E9F-883D-190CEA499D1F}" name="Quantity Unit" dataDxfId="175" dataCellStyle="Content normal">
      <calculatedColumnFormula array="1">Common_InputFunctions.Utility_DisplayArrayInTable(Scope3_SourceData.Scope3_SoilAmendments_Data(), Table_SourceData_Scope3_SoilAmeliorants[[#Headers],[Category]], 0, 2)</calculatedColumnFormula>
    </tableColumn>
    <tableColumn id="9" xr3:uid="{BED8044F-5574-43E9-B363-64B55F5E627F}" name="AusLCI Emissions intensity" dataDxfId="174" dataCellStyle="Content normal">
      <calculatedColumnFormula array="1">Common_InputFunctions.Utility_DisplayArrayInTable(Scope3_SourceData.Scope3_SoilAmendments_Data(), Table_SourceData_Scope3_SoilAmeliorants[[#Headers],[Category]], 0, 2)</calculatedColumnFormula>
    </tableColumn>
    <tableColumn id="10" xr3:uid="{9C904882-6D11-4B92-9F47-44ABFE9658F5}" name="System boundary" dataDxfId="173"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D251A8D3-564B-4A82-A872-0A0BFDFAB51C}" name="Table_SourceData_Scope3_ChemicalsPharmacy" displayName="Table_SourceData_Scope3_ChemicalsPharmacy" ref="D82:I86" totalsRowShown="0" dataDxfId="172"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C174B9CA-86DB-42B6-B2DD-9CE658C0269C}" name="Category" dataDxfId="171" dataCellStyle="Content normal">
      <calculatedColumnFormula array="1">Common_InputFunctions.Utility_DisplayArrayInTable(Scope3_SourceData.Scope3_Chemicals_Data(), Table_SourceData_Scope3_ChemicalsPharmacy[[#Headers],[Category]], -3, 2)</calculatedColumnFormula>
    </tableColumn>
    <tableColumn id="2" xr3:uid="{6B8DEF61-669A-4806-AFF4-013498630953}" name="Product" dataDxfId="170" dataCellStyle="Content normal">
      <calculatedColumnFormula array="1">Common_InputFunctions.Utility_DisplayArrayInTable(Scope3_SourceData.Scope3_Chemicals_Data(), Table_SourceData_Scope3_ChemicalsPharmacy[[#Headers],[Category]], -3, 2)</calculatedColumnFormula>
    </tableColumn>
    <tableColumn id="3" xr3:uid="{F1EFC901-CBD8-44B6-A4C2-8FA1096A99B2}" name="Region of origin" dataDxfId="169" dataCellStyle="Content normal">
      <calculatedColumnFormula array="1">Common_InputFunctions.Utility_DisplayArrayInTable(Scope3_SourceData.Scope3_Chemicals_Data(), Table_SourceData_Scope3_ChemicalsPharmacy[[#Headers],[Category]], -3, 2)</calculatedColumnFormula>
    </tableColumn>
    <tableColumn id="8" xr3:uid="{9D1E7676-7A33-444A-96B6-4DD8283B5C1B}" name="Quantity Unit" dataDxfId="168" dataCellStyle="Content normal">
      <calculatedColumnFormula array="1">Common_InputFunctions.Utility_DisplayArrayInTable(Scope3_SourceData.Scope3_Chemicals_Data(), Table_SourceData_Scope3_ChemicalsPharmacy[[#Headers],[Category]], -3, 2)</calculatedColumnFormula>
    </tableColumn>
    <tableColumn id="9" xr3:uid="{67B15C49-0317-490D-8543-4ABBEB832279}" name="AusLCI Emissions intensity" dataDxfId="167" dataCellStyle="Content normal">
      <calculatedColumnFormula array="1">Common_InputFunctions.Utility_DisplayArrayInTable(Scope3_SourceData.Scope3_Chemicals_Data(), Table_SourceData_Scope3_ChemicalsPharmacy[[#Headers],[Category]], -3, 2)</calculatedColumnFormula>
    </tableColumn>
    <tableColumn id="10" xr3:uid="{06C63B34-F228-42CA-9300-8301E7230B12}" name="System boundary" dataDxfId="166"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6131810-C5E2-47D9-B347-27936A24D42E}" name="Table_SourceData_Scope3_LickBlocks" displayName="Table_SourceData_Scope3_LickBlocks" ref="D167:I170" totalsRowShown="0" headerRowDxfId="165"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4564331A-26AC-497E-BE8F-EB87AC1CD8B7}" name="Category" dataDxfId="164" dataCellStyle="Content normal">
      <calculatedColumnFormula array="1">Common_InputFunctions.Utility_DisplayArrayInTable(Scope3_SourceData.Scope3_Feed_Data(), Table_SourceData_Scope3_LickBlocks[[#Headers],[Category]], -73, 2)</calculatedColumnFormula>
    </tableColumn>
    <tableColumn id="2" xr3:uid="{E197A1BB-0972-440C-81A7-F1F0FAF729F8}" name="Product" dataDxfId="163" dataCellStyle="Content normal">
      <calculatedColumnFormula array="1">Common_InputFunctions.Utility_DisplayArrayInTable(Scope3_SourceData.Scope3_Feed_Data(), Table_SourceData_Scope3_LickBlocks[[#Headers],[Category]], -73, 2)</calculatedColumnFormula>
    </tableColumn>
    <tableColumn id="3" xr3:uid="{AE9A341F-8707-4AB6-AE8C-A0CB525866D6}" name="Region of origin" dataDxfId="162" dataCellStyle="Content normal">
      <calculatedColumnFormula array="1">Common_InputFunctions.Utility_DisplayArrayInTable(Scope3_SourceData.Scope3_Feed_Data(), Table_SourceData_Scope3_LickBlocks[[#Headers],[Category]], -73, 2)</calculatedColumnFormula>
    </tableColumn>
    <tableColumn id="4" xr3:uid="{A205ADC0-6070-4274-BEA9-595D723A58C7}" name="Quantity Unit" dataDxfId="161" dataCellStyle="Content normal">
      <calculatedColumnFormula array="1">Common_InputFunctions.Utility_DisplayArrayInTable(Scope3_SourceData.Scope3_Feed_Data(), Table_SourceData_Scope3_LickBlocks[[#Headers],[Category]], -73, 2)</calculatedColumnFormula>
    </tableColumn>
    <tableColumn id="5" xr3:uid="{63A4860A-D152-43EC-BCDC-0A64D2B2FA06}" name="AusLCI Emissions intensity" dataDxfId="160" dataCellStyle="Content normal">
      <calculatedColumnFormula array="1">Common_InputFunctions.Utility_DisplayArrayInTable(Scope3_SourceData.Scope3_Feed_Data(), Table_SourceData_Scope3_LickBlocks[[#Headers],[Category]], -73, 2)</calculatedColumnFormula>
    </tableColumn>
    <tableColumn id="6" xr3:uid="{1AC58821-7051-4CEE-83EF-D21EF0407804}" name="System boundary" dataDxfId="159"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F019E6A8-2B69-4722-9E75-3D002322E76A}" name="Table_SourceData_Scope3_MixedRations" displayName="Table_SourceData_Scope3_MixedRations" ref="D161:I165" totalsRowShown="0" headerRowDxfId="158"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76B04FE-F34E-4D94-8BDA-B588A5A97CDE}" name="Category" dataDxfId="157" dataCellStyle="Content normal">
      <calculatedColumnFormula array="1">Common_InputFunctions.Utility_DisplayArrayInTable(Scope3_SourceData.Scope3_Feed_Data(), Table_SourceData_Scope3_MixedRations[[#Headers],[Category]], -66, 2)</calculatedColumnFormula>
    </tableColumn>
    <tableColumn id="2" xr3:uid="{B711E624-B903-4AD3-BF4E-DCAA5894F524}" name="Product" dataDxfId="156" dataCellStyle="Content normal">
      <calculatedColumnFormula array="1">Common_InputFunctions.Utility_DisplayArrayInTable(Scope3_SourceData.Scope3_Feed_Data(), Table_SourceData_Scope3_MixedRations[[#Headers],[Category]], -66, 2)</calculatedColumnFormula>
    </tableColumn>
    <tableColumn id="3" xr3:uid="{6800CDD4-ABEB-4CF1-8D89-C39BD846A4BE}" name="Region of origin" dataDxfId="155" dataCellStyle="Content normal">
      <calculatedColumnFormula array="1">Common_InputFunctions.Utility_DisplayArrayInTable(Scope3_SourceData.Scope3_Feed_Data(), Table_SourceData_Scope3_MixedRations[[#Headers],[Category]], -66, 2)</calculatedColumnFormula>
    </tableColumn>
    <tableColumn id="4" xr3:uid="{7F23476F-AF9C-43BF-8E7B-455761610C46}" name="Quantity Unit" dataDxfId="154" dataCellStyle="Content normal">
      <calculatedColumnFormula array="1">Common_InputFunctions.Utility_DisplayArrayInTable(Scope3_SourceData.Scope3_Feed_Data(), Table_SourceData_Scope3_MixedRations[[#Headers],[Category]], -66, 2)</calculatedColumnFormula>
    </tableColumn>
    <tableColumn id="5" xr3:uid="{4A3971DA-B123-44B0-B63D-945AACE12B27}" name="AusLCI Emissions intensity" dataDxfId="153" dataCellStyle="Content normal">
      <calculatedColumnFormula array="1">Common_InputFunctions.Utility_DisplayArrayInTable(Scope3_SourceData.Scope3_Feed_Data(), Table_SourceData_Scope3_MixedRations[[#Headers],[Category]], -66, 2)</calculatedColumnFormula>
    </tableColumn>
    <tableColumn id="6" xr3:uid="{6F6322C1-9D4C-4EE7-9581-0FC4689CDDE8}" name="System boundary" dataDxfId="152"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7A6824EF-1579-4124-BC2D-8BF9D476C0AE}"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FF66688F-1E54-44DB-97DD-8A67214BD88E}" name="Product">
      <calculatedColumnFormula>Table_SourceData_Scope3_Feed[[#This Row],[Product]]</calculatedColumnFormula>
    </tableColumn>
    <tableColumn id="2" xr3:uid="{66B66AE6-4E7B-43DB-B8B9-B8072A1DE3D0}"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B5FC2-A756-47E2-83DF-D88D892DC7BB}"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F3EA91E-0E8C-4593-ABC8-0BC30CFF0D0B}" name="Product">
      <calculatedColumnFormula>Table_SourceData_Scope3_Feed[[#This Row],[Product]]</calculatedColumnFormula>
    </tableColumn>
    <tableColumn id="2" xr3:uid="{D1BE5BC3-7268-4A4D-8670-67602B6A9757}"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D54374AA-F4B4-49D2-990C-EF013ED0F66F}" name="Table_ProductRegions_Maizegrain" displayName="Table_ProductRegions_Maizegrain" ref="K98:L105" totalsRowShown="0" headerRowDxfId="151" headerRowCellStyle="Content normal">
  <autoFilter ref="K98:L105" xr:uid="{70F320A7-5DBE-4A83-91E4-C9B3BDA564BD}">
    <filterColumn colId="0" hiddenButton="1"/>
    <filterColumn colId="1" hiddenButton="1"/>
  </autoFilter>
  <tableColumns count="2">
    <tableColumn id="1" xr3:uid="{FC0F4C57-D384-4540-B028-356015FE7F7D}" name="Product">
      <calculatedColumnFormula>Table_SourceData_Scope3_Feed[[#This Row],[Product]]</calculatedColumnFormula>
    </tableColumn>
    <tableColumn id="2" xr3:uid="{66B67925-8DC6-4ECA-B21D-F7BA0B25E3ED}" name="Region">
      <calculatedColumnFormula>Table_SourceData_Scope3_Feed[[#This Row],[Region of origin]]</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BBF51D5-5B33-470C-A55B-E9B94DFA7E44}" name="Table_ProductRegions_Sorghumgrain" displayName="Table_ProductRegions_Sorghumgrain" ref="N105:O110" totalsRowShown="0" headerRowDxfId="150" headerRowCellStyle="Content normal">
  <autoFilter ref="N105:O110" xr:uid="{90205417-8A77-41A3-A4E2-624BD92B7269}">
    <filterColumn colId="0" hiddenButton="1"/>
    <filterColumn colId="1" hiddenButton="1"/>
  </autoFilter>
  <tableColumns count="2">
    <tableColumn id="1" xr3:uid="{46602ACD-4D7E-4F93-A277-66A6A69983FB}" name="Product">
      <calculatedColumnFormula>Table_SourceData_Scope3_Feed[[#This Row],[Product]]</calculatedColumnFormula>
    </tableColumn>
    <tableColumn id="2" xr3:uid="{00A16FA1-E2FC-4D39-B3F6-BCC9A5578C74}" name="Region">
      <calculatedColumnFormula>Table_SourceData_Scope3_Feed[[#This Row],[Region of origin]]</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7BB74545-3854-4F3A-80B3-F69A1DB4945F}" name="Table_ProductRegions_Wheatgrain" displayName="Table_ProductRegions_Wheatgrain" ref="K110:L118" totalsRowShown="0" headerRowDxfId="149" headerRowCellStyle="Content normal">
  <autoFilter ref="K110:L118" xr:uid="{9DD7D3AD-59A1-48FC-B80D-99C25A2A79F5}">
    <filterColumn colId="0" hiddenButton="1"/>
    <filterColumn colId="1" hiddenButton="1"/>
  </autoFilter>
  <tableColumns count="2">
    <tableColumn id="1" xr3:uid="{AC5BAB07-60AC-43BE-AE58-DDD22586C994}" name="Product">
      <calculatedColumnFormula>Table_SourceData_Scope3_Feed[[#This Row],[Product]]</calculatedColumnFormula>
    </tableColumn>
    <tableColumn id="2" xr3:uid="{821AD8BC-6F24-4019-9E14-459E6D8ABE11}" name="Region">
      <calculatedColumnFormula>Table_SourceData_Scope3_Feed[[#This Row],[Region of origin]]</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FA944D89-B5E3-4D64-9964-F3681A7C1943}"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7770811C-3F0D-4DCF-9F91-9CB1ACAB164A}" name="Product">
      <calculatedColumnFormula>Table_SourceData_Scope3_Feed[[#This Row],[Product]]</calculatedColumnFormula>
    </tableColumn>
    <tableColumn id="2" xr3:uid="{D79882F7-9D6A-496D-9386-C4231C894A28}" name="Region">
      <calculatedColumnFormula>Table_SourceData_Scope3_Feed[[#This Row],[Region of origin]]</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724F5971-2328-4D23-BAC0-D48F9FE73BED}"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A1443B10-3B05-413E-86ED-5A39C0442FDA}" name="Product">
      <calculatedColumnFormula>Table_SourceData_Scope3_Feed[[#This Row],[Product]]</calculatedColumnFormula>
    </tableColumn>
    <tableColumn id="2" xr3:uid="{D692D26D-B795-4D4E-A626-5C944108E077}" name="Region">
      <calculatedColumnFormula>Table_SourceData_Scope3_Feed[[#This Row],[Region of origin]]</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AF60FF4-638C-4B8A-96A2-A79A2774CFE8}"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B4B8410D-D330-445E-AE00-DCA7F5284284}" name="Product">
      <calculatedColumnFormula>Table_SourceData_Scope3_Feed[[#This Row],[Product]]</calculatedColumnFormula>
    </tableColumn>
    <tableColumn id="2" xr3:uid="{FA32FC8B-100F-49C8-B843-F6F5EA361E4E}" name="Region">
      <calculatedColumnFormula>Table_SourceData_Scope3_Feed[[#This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522463EF-AB41-4A00-9E5B-4C8F1FF09C02}"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B0479960-269A-4B83-AD16-4F6C412A242F}" name="Product">
      <calculatedColumnFormula>Table_SourceData_Scope3_Feed[[#This Row],[Product]]</calculatedColumnFormula>
    </tableColumn>
    <tableColumn id="2" xr3:uid="{01E8D4AE-2931-4E5F-848D-5B7190AB38CD}"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E99FD750-FD39-4A84-AB0D-6B68C640A76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68722CE2-B282-42C1-BDDB-133193F50F1C}" name="Product">
      <calculatedColumnFormula>Table_SourceData_Scope3_Feed[[#This Row],[Product]]</calculatedColumnFormula>
    </tableColumn>
    <tableColumn id="2" xr3:uid="{32AE94A9-849E-48BF-B1CB-8F052BB1DEEC}"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84AD9952-2CFB-4116-BBDD-E0208AF31B03}" name="Table_ProductRegions_Canolameal" displayName="Table_ProductRegions_Canolameal" ref="K151:L152" totalsRowShown="0" headerRowDxfId="148" headerRowCellStyle="Content normal" dataCellStyle="Content normal">
  <autoFilter ref="K151:L152" xr:uid="{58F78B6F-294E-4D4E-8E3B-BFE4FA85583E}">
    <filterColumn colId="0" hiddenButton="1"/>
    <filterColumn colId="1" hiddenButton="1"/>
  </autoFilter>
  <tableColumns count="2">
    <tableColumn id="1" xr3:uid="{27B971C4-F3F8-426D-B54D-5705F4B51086}" name="Product" dataCellStyle="Content normal">
      <calculatedColumnFormula>Table_SourceData_Scope3_Feed[[#This Row],[Product]]</calculatedColumnFormula>
    </tableColumn>
    <tableColumn id="2" xr3:uid="{839A7CFD-B189-4F34-B32E-BEEF1D1F7352}"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F17779C-755C-41A7-A4BE-02F2C3851896}"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1878F13A-3DE0-497E-AC7D-C99704255BA6}" name="Product">
      <calculatedColumnFormula>Table_SourceData_Scope3_Feed[[#This Row],[Product]]</calculatedColumnFormula>
    </tableColumn>
    <tableColumn id="2" xr3:uid="{A89200D8-9A7C-4051-A957-D0C6F06E97C6}"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9E23932D-AACC-40F5-8204-25D6CB257B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CA270E7E-96BB-4444-B62B-5592A4D5ECCC}" name="Product">
      <calculatedColumnFormula>Table_SourceData_Scope3_Feed[[#This Row],[Product]]</calculatedColumnFormula>
    </tableColumn>
    <tableColumn id="2" xr3:uid="{0B192E9A-A0D1-4D38-91B2-617852E4C4D1}"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F6E023B-49D9-4353-BEB6-593B012D056E}"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C56FF9F0-032A-4A9A-839C-95DA6F9478B5}" name="Product">
      <calculatedColumnFormula>Table_SourceData_Scope3_Feed[[#This Row],[Product]]</calculatedColumnFormula>
    </tableColumn>
    <tableColumn id="2" xr3:uid="{E9F9B2F8-01D9-4EED-9185-ECA7AB4B7473}"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EB9723B5-5762-4FA5-8D73-07637DC97F39}"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AF8A7A80-842B-41A0-9299-AB96CEDFFE8F}" name="Product">
      <calculatedColumnFormula>Table_SourceData_Scope3_Feed[[#This Row],[Product]]</calculatedColumnFormula>
    </tableColumn>
    <tableColumn id="2" xr3:uid="{25F04781-04DC-4CD8-A5F8-91FDC9EF7080}"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7B3AD881-B3DE-4CC5-B306-8BA2712CBAD3}"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EFBA73B2-EE80-4CAA-A1A2-FE3915AEED28}" name="Product">
      <calculatedColumnFormula>Table_SourceData_Scope3_Feed[[#This Row],[Product]]</calculatedColumnFormula>
    </tableColumn>
    <tableColumn id="2" xr3:uid="{85910D1D-662D-4DE5-8032-7DD801C907F3}"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19DB171-914C-4EE4-BAE0-4AE0C3171296}"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DCF26754-CE52-4159-9EDA-6D22BA991D56}" name="Product">
      <calculatedColumnFormula>Table_SourceData_Scope3_Feed[[#This Row],[Product]]</calculatedColumnFormula>
    </tableColumn>
    <tableColumn id="2" xr3:uid="{7C01F0E3-79FD-4C7B-814A-CBC455024605}"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70CC0CB1-F0A5-4438-ABD9-3E5DDBF5388C}"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FCB830E-32A0-44C1-8872-B44EA6A04C25}" name="Product">
      <calculatedColumnFormula>Table_SourceData_Scope3_Feed[[#This Row],[Product]]</calculatedColumnFormula>
    </tableColumn>
    <tableColumn id="2" xr3:uid="{70E03E89-9420-46C1-8425-B3598EFCEA55}" name="Region">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2CCD28AB-8F6D-4111-8EC8-00C96DFAB838}" name="Table_ProductRegions_Beefcattle129" displayName="Table_ProductRegions_Beefcattle129" ref="K33:L49" totalsRowShown="0">
  <autoFilter ref="K33:L49" xr:uid="{77539992-728B-4655-965B-FB28372E4BBC}">
    <filterColumn colId="0" hiddenButton="1"/>
    <filterColumn colId="1" hiddenButton="1"/>
  </autoFilter>
  <tableColumns count="2">
    <tableColumn id="1" xr3:uid="{4EC5819C-4650-4BE5-878F-D1729E77F889}" name="Region"/>
    <tableColumn id="2" xr3:uid="{A8334F95-C0C5-4886-825A-E51C92391FDC}" name="Scope3 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1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4E69B6F-0094-4D89-8AE6-D7ED3B1B8DBA}"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11E7027-8F6B-406B-9A98-E5EBD860B515}" name="Description"/>
    <tableColumn id="5" xr3:uid="{B7699B2C-6FFB-4BB2-84AA-65DFCD7B0AD0}" name="Treatment type (select)" dataCellStyle="Input select"/>
    <tableColumn id="2" xr3:uid="{2C7448AA-D5FE-4CB1-B85F-2967B9259444}" name="Waste type (select)" dataCellStyle="Input select"/>
    <tableColumn id="3" xr3:uid="{DC2EF0E5-6F97-4944-BEB0-A301FDA5001B}" name="Treatment location (select)" dataCellStyle="Input select"/>
    <tableColumn id="4" xr3:uid="{DE179B4C-9A33-4B7C-89DD-927888701256}" name="Amount" dataCellStyle="Input number general"/>
    <tableColumn id="7" xr3:uid="{498F216E-4D4C-4A48-A698-239315848655}" name="Amount unit (select)" dataCellStyle="Input select"/>
  </tableColumns>
  <tableStyleInfo name="Editable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B2E1FF24-333E-4EA9-9452-28A87B0AEB43}"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C963F77F-1C1B-4630-A4E7-611CB83019A3}"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384CA3DC-A693-4428-97E2-68E880D2101A}" name="Waste type w" dataDxfId="11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78D4B9E1-8CE2-478A-BFCB-2A2C2F894EB3}" name="EFwt" dataDxfId="11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4FE0389E-DED1-4574-A2CC-53B2BFC8664F}" name="EF source" dataDxfId="10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F64FC93-5EB4-41C4-BC1D-E77608DE7550}"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25FAC688-FA53-42EF-814D-D993158C91D4}"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8957913-5409-418B-8352-9DE09AF65A27}" name="VTMw" dataDxfId="10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561A308F-64AE-49F6-BE97-77ECE6B81B81}" name="Table_WasteTypes_Landfill" displayName="Table_WasteTypes_Landfill" ref="I16:I27" totalsRowShown="0">
  <autoFilter ref="I16:I27" xr:uid="{99B942E3-1D24-4166-921C-DCC10960718D}">
    <filterColumn colId="0" hiddenButton="1"/>
  </autoFilter>
  <tableColumns count="1">
    <tableColumn id="1" xr3:uid="{0B956038-3995-4DB5-BECB-F93C0DEFC73A}"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68870B27-5C17-4076-AB6B-81C6B0B8A847}" name="Table_WasteTypes_Incineration" displayName="Table_WasteTypes_Incineration" ref="K16:K26" totalsRowShown="0" headerRowDxfId="107" headerRowCellStyle="Content normal" dataCellStyle="Content normal">
  <autoFilter ref="K16:K26" xr:uid="{9A900595-7035-4239-9059-ACC16835BF72}">
    <filterColumn colId="0" hiddenButton="1"/>
  </autoFilter>
  <tableColumns count="1">
    <tableColumn id="1" xr3:uid="{5FCF5EF1-3615-4FE8-B06C-CE7493EAE81B}" name="Waste type w" dataCellStyle="Content normal">
      <calculatedColumnFormula>E29</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7CC6157-191F-457A-9579-0DC8EAF869B4}" name="Table_WasteTypes_Composting" displayName="Table_WasteTypes_Composting" ref="M16:M21" totalsRowShown="0" headerRowDxfId="106" headerRowCellStyle="Content normal" dataCellStyle="Content normal">
  <autoFilter ref="M16:M21" xr:uid="{5C8D39D3-1330-49EB-B431-1B2B8C8238DC}">
    <filterColumn colId="0" hiddenButton="1"/>
  </autoFilter>
  <tableColumns count="1">
    <tableColumn id="1" xr3:uid="{C5E4036C-A152-44A6-8FFC-E717516FA805}" name="Waste type w" totalsRowDxfId="105" dataCellStyle="Content normal">
      <calculatedColumnFormula>E40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A2F8767-14D1-456A-A23B-0F110DD11D44}" name="Table_WasteTypes_Anaerobicdigestion" displayName="Table_WasteTypes_Anaerobicdigestion" ref="O16:O21" totalsRowShown="0" headerRowDxfId="104" headerRowCellStyle="Content normal" dataCellStyle="Content normal">
  <autoFilter ref="O16:O21" xr:uid="{331EC43E-DF68-429F-A2A4-58BFE6216EC3}">
    <filterColumn colId="0" hiddenButton="1"/>
  </autoFilter>
  <tableColumns count="1">
    <tableColumn id="1" xr3:uid="{D5CD411F-D578-4D67-8C89-EADB7236876D}" name="Waste type w" totalsRowDxfId="103" dataCellStyle="Content normal">
      <calculatedColumnFormula>E46</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5" Type="http://schemas.openxmlformats.org/officeDocument/2006/relationships/table" Target="../tables/table6.xml"/><Relationship Id="rId4"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printerSettings" Target="../printerSettings/printerSettings8.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 Id="rId9"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18" Type="http://schemas.openxmlformats.org/officeDocument/2006/relationships/table" Target="../tables/table37.xml"/><Relationship Id="rId26" Type="http://schemas.openxmlformats.org/officeDocument/2006/relationships/table" Target="../tables/table45.xml"/><Relationship Id="rId3" Type="http://schemas.openxmlformats.org/officeDocument/2006/relationships/table" Target="../tables/table22.xml"/><Relationship Id="rId21" Type="http://schemas.openxmlformats.org/officeDocument/2006/relationships/table" Target="../tables/table40.xml"/><Relationship Id="rId7" Type="http://schemas.openxmlformats.org/officeDocument/2006/relationships/table" Target="../tables/table26.xml"/><Relationship Id="rId12" Type="http://schemas.openxmlformats.org/officeDocument/2006/relationships/table" Target="../tables/table31.xml"/><Relationship Id="rId17" Type="http://schemas.openxmlformats.org/officeDocument/2006/relationships/table" Target="../tables/table36.xml"/><Relationship Id="rId25" Type="http://schemas.openxmlformats.org/officeDocument/2006/relationships/table" Target="../tables/table44.xml"/><Relationship Id="rId2" Type="http://schemas.openxmlformats.org/officeDocument/2006/relationships/table" Target="../tables/table21.xml"/><Relationship Id="rId16" Type="http://schemas.openxmlformats.org/officeDocument/2006/relationships/table" Target="../tables/table35.xml"/><Relationship Id="rId20" Type="http://schemas.openxmlformats.org/officeDocument/2006/relationships/table" Target="../tables/table39.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24" Type="http://schemas.openxmlformats.org/officeDocument/2006/relationships/table" Target="../tables/table43.xml"/><Relationship Id="rId5" Type="http://schemas.openxmlformats.org/officeDocument/2006/relationships/table" Target="../tables/table24.xml"/><Relationship Id="rId15" Type="http://schemas.openxmlformats.org/officeDocument/2006/relationships/table" Target="../tables/table34.xml"/><Relationship Id="rId23" Type="http://schemas.openxmlformats.org/officeDocument/2006/relationships/table" Target="../tables/table42.xml"/><Relationship Id="rId10" Type="http://schemas.openxmlformats.org/officeDocument/2006/relationships/table" Target="../tables/table29.xml"/><Relationship Id="rId19" Type="http://schemas.openxmlformats.org/officeDocument/2006/relationships/table" Target="../tables/table38.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 Id="rId22" Type="http://schemas.openxmlformats.org/officeDocument/2006/relationships/table" Target="../tables/table41.xml"/><Relationship Id="rId27" Type="http://schemas.openxmlformats.org/officeDocument/2006/relationships/table" Target="../tables/table46.xml"/></Relationships>
</file>

<file path=xl/worksheets/_rels/sheet36.xml.rels><?xml version="1.0" encoding="UTF-8" standalone="yes"?>
<Relationships xmlns="http://schemas.openxmlformats.org/package/2006/relationships"><Relationship Id="rId8" Type="http://schemas.openxmlformats.org/officeDocument/2006/relationships/table" Target="../tables/table53.xml"/><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 Id="rId9" Type="http://schemas.openxmlformats.org/officeDocument/2006/relationships/table" Target="../tables/table54.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56.xml"/><Relationship Id="rId7" Type="http://schemas.openxmlformats.org/officeDocument/2006/relationships/table" Target="../tables/table60.xml"/><Relationship Id="rId2" Type="http://schemas.openxmlformats.org/officeDocument/2006/relationships/table" Target="../tables/table55.xml"/><Relationship Id="rId1" Type="http://schemas.openxmlformats.org/officeDocument/2006/relationships/printerSettings" Target="../printerSettings/printerSettings26.bin"/><Relationship Id="rId6" Type="http://schemas.openxmlformats.org/officeDocument/2006/relationships/table" Target="../tables/table59.xml"/><Relationship Id="rId5" Type="http://schemas.openxmlformats.org/officeDocument/2006/relationships/table" Target="../tables/table58.xml"/><Relationship Id="rId4" Type="http://schemas.openxmlformats.org/officeDocument/2006/relationships/table" Target="../tables/table57.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table" Target="../tables/table61.xml"/></Relationships>
</file>

<file path=xl/worksheets/_rels/sheet39.xml.rels><?xml version="1.0" encoding="UTF-8" standalone="yes"?>
<Relationships xmlns="http://schemas.openxmlformats.org/package/2006/relationships"><Relationship Id="rId8" Type="http://schemas.openxmlformats.org/officeDocument/2006/relationships/table" Target="../tables/table69.xml"/><Relationship Id="rId3" Type="http://schemas.openxmlformats.org/officeDocument/2006/relationships/table" Target="../tables/table64.xml"/><Relationship Id="rId7" Type="http://schemas.openxmlformats.org/officeDocument/2006/relationships/table" Target="../tables/table68.xml"/><Relationship Id="rId12" Type="http://schemas.openxmlformats.org/officeDocument/2006/relationships/table" Target="../tables/table73.xml"/><Relationship Id="rId2" Type="http://schemas.openxmlformats.org/officeDocument/2006/relationships/table" Target="../tables/table63.xml"/><Relationship Id="rId1" Type="http://schemas.openxmlformats.org/officeDocument/2006/relationships/printerSettings" Target="../printerSettings/printerSettings27.bin"/><Relationship Id="rId6" Type="http://schemas.openxmlformats.org/officeDocument/2006/relationships/table" Target="../tables/table67.xml"/><Relationship Id="rId11" Type="http://schemas.openxmlformats.org/officeDocument/2006/relationships/table" Target="../tables/table72.xml"/><Relationship Id="rId5" Type="http://schemas.openxmlformats.org/officeDocument/2006/relationships/table" Target="../tables/table66.xml"/><Relationship Id="rId10" Type="http://schemas.openxmlformats.org/officeDocument/2006/relationships/table" Target="../tables/table71.xml"/><Relationship Id="rId4" Type="http://schemas.openxmlformats.org/officeDocument/2006/relationships/table" Target="../tables/table65.xml"/><Relationship Id="rId9" Type="http://schemas.openxmlformats.org/officeDocument/2006/relationships/table" Target="../tables/table70.xml"/></Relationships>
</file>

<file path=xl/worksheets/_rels/sheet40.xml.rels><?xml version="1.0" encoding="UTF-8" standalone="yes"?>
<Relationships xmlns="http://schemas.openxmlformats.org/package/2006/relationships"><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table" Target="../tables/table74.xml"/><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88.xml"/><Relationship Id="rId13" Type="http://schemas.openxmlformats.org/officeDocument/2006/relationships/table" Target="../tables/table93.xml"/><Relationship Id="rId18" Type="http://schemas.openxmlformats.org/officeDocument/2006/relationships/table" Target="../tables/table98.xml"/><Relationship Id="rId26" Type="http://schemas.openxmlformats.org/officeDocument/2006/relationships/table" Target="../tables/table106.xml"/><Relationship Id="rId3" Type="http://schemas.openxmlformats.org/officeDocument/2006/relationships/table" Target="../tables/table83.xml"/><Relationship Id="rId21" Type="http://schemas.openxmlformats.org/officeDocument/2006/relationships/table" Target="../tables/table101.xml"/><Relationship Id="rId7" Type="http://schemas.openxmlformats.org/officeDocument/2006/relationships/table" Target="../tables/table87.xml"/><Relationship Id="rId12" Type="http://schemas.openxmlformats.org/officeDocument/2006/relationships/table" Target="../tables/table92.xml"/><Relationship Id="rId17" Type="http://schemas.openxmlformats.org/officeDocument/2006/relationships/table" Target="../tables/table97.xml"/><Relationship Id="rId25" Type="http://schemas.openxmlformats.org/officeDocument/2006/relationships/table" Target="../tables/table105.xml"/><Relationship Id="rId2" Type="http://schemas.openxmlformats.org/officeDocument/2006/relationships/table" Target="../tables/table82.xml"/><Relationship Id="rId16" Type="http://schemas.openxmlformats.org/officeDocument/2006/relationships/table" Target="../tables/table96.xml"/><Relationship Id="rId20" Type="http://schemas.openxmlformats.org/officeDocument/2006/relationships/table" Target="../tables/table100.xml"/><Relationship Id="rId29" Type="http://schemas.openxmlformats.org/officeDocument/2006/relationships/table" Target="../tables/table109.xml"/><Relationship Id="rId1" Type="http://schemas.openxmlformats.org/officeDocument/2006/relationships/table" Target="../tables/table81.xml"/><Relationship Id="rId6" Type="http://schemas.openxmlformats.org/officeDocument/2006/relationships/table" Target="../tables/table86.xml"/><Relationship Id="rId11" Type="http://schemas.openxmlformats.org/officeDocument/2006/relationships/table" Target="../tables/table91.xml"/><Relationship Id="rId24" Type="http://schemas.openxmlformats.org/officeDocument/2006/relationships/table" Target="../tables/table104.xml"/><Relationship Id="rId5" Type="http://schemas.openxmlformats.org/officeDocument/2006/relationships/table" Target="../tables/table85.xml"/><Relationship Id="rId15" Type="http://schemas.openxmlformats.org/officeDocument/2006/relationships/table" Target="../tables/table95.xml"/><Relationship Id="rId23" Type="http://schemas.openxmlformats.org/officeDocument/2006/relationships/table" Target="../tables/table103.xml"/><Relationship Id="rId28" Type="http://schemas.openxmlformats.org/officeDocument/2006/relationships/table" Target="../tables/table108.xml"/><Relationship Id="rId10" Type="http://schemas.openxmlformats.org/officeDocument/2006/relationships/table" Target="../tables/table90.xml"/><Relationship Id="rId19" Type="http://schemas.openxmlformats.org/officeDocument/2006/relationships/table" Target="../tables/table99.xml"/><Relationship Id="rId4" Type="http://schemas.openxmlformats.org/officeDocument/2006/relationships/table" Target="../tables/table84.xml"/><Relationship Id="rId9" Type="http://schemas.openxmlformats.org/officeDocument/2006/relationships/table" Target="../tables/table89.xml"/><Relationship Id="rId14" Type="http://schemas.openxmlformats.org/officeDocument/2006/relationships/table" Target="../tables/table94.xml"/><Relationship Id="rId22" Type="http://schemas.openxmlformats.org/officeDocument/2006/relationships/table" Target="../tables/table102.xml"/><Relationship Id="rId27" Type="http://schemas.openxmlformats.org/officeDocument/2006/relationships/table" Target="../tables/table107.xml"/><Relationship Id="rId30" Type="http://schemas.openxmlformats.org/officeDocument/2006/relationships/table" Target="../tables/table110.xml"/></Relationships>
</file>

<file path=xl/worksheets/_rels/sheet42.xml.rels><?xml version="1.0" encoding="UTF-8" standalone="yes"?>
<Relationships xmlns="http://schemas.openxmlformats.org/package/2006/relationships"><Relationship Id="rId8" Type="http://schemas.openxmlformats.org/officeDocument/2006/relationships/table" Target="../tables/table117.xml"/><Relationship Id="rId13" Type="http://schemas.openxmlformats.org/officeDocument/2006/relationships/table" Target="../tables/table122.xml"/><Relationship Id="rId18" Type="http://schemas.openxmlformats.org/officeDocument/2006/relationships/table" Target="../tables/table127.xml"/><Relationship Id="rId3" Type="http://schemas.openxmlformats.org/officeDocument/2006/relationships/table" Target="../tables/table112.xml"/><Relationship Id="rId7" Type="http://schemas.openxmlformats.org/officeDocument/2006/relationships/table" Target="../tables/table116.xml"/><Relationship Id="rId12" Type="http://schemas.openxmlformats.org/officeDocument/2006/relationships/table" Target="../tables/table121.xml"/><Relationship Id="rId17" Type="http://schemas.openxmlformats.org/officeDocument/2006/relationships/table" Target="../tables/table126.xml"/><Relationship Id="rId2" Type="http://schemas.openxmlformats.org/officeDocument/2006/relationships/table" Target="../tables/table111.xml"/><Relationship Id="rId16" Type="http://schemas.openxmlformats.org/officeDocument/2006/relationships/table" Target="../tables/table125.xml"/><Relationship Id="rId1" Type="http://schemas.openxmlformats.org/officeDocument/2006/relationships/printerSettings" Target="../printerSettings/printerSettings28.bin"/><Relationship Id="rId6" Type="http://schemas.openxmlformats.org/officeDocument/2006/relationships/table" Target="../tables/table115.xml"/><Relationship Id="rId11" Type="http://schemas.openxmlformats.org/officeDocument/2006/relationships/table" Target="../tables/table120.xml"/><Relationship Id="rId5" Type="http://schemas.openxmlformats.org/officeDocument/2006/relationships/table" Target="../tables/table114.xml"/><Relationship Id="rId15" Type="http://schemas.openxmlformats.org/officeDocument/2006/relationships/table" Target="../tables/table124.xml"/><Relationship Id="rId10" Type="http://schemas.openxmlformats.org/officeDocument/2006/relationships/table" Target="../tables/table119.xml"/><Relationship Id="rId4" Type="http://schemas.openxmlformats.org/officeDocument/2006/relationships/table" Target="../tables/table113.xml"/><Relationship Id="rId9" Type="http://schemas.openxmlformats.org/officeDocument/2006/relationships/table" Target="../tables/table118.xml"/><Relationship Id="rId14" Type="http://schemas.openxmlformats.org/officeDocument/2006/relationships/table" Target="../tables/table123.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128.xml"/><Relationship Id="rId1" Type="http://schemas.openxmlformats.org/officeDocument/2006/relationships/printerSettings" Target="../printerSettings/printerSettings2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3" Type="http://schemas.openxmlformats.org/officeDocument/2006/relationships/table" Target="../tables/table130.xml"/><Relationship Id="rId7" Type="http://schemas.openxmlformats.org/officeDocument/2006/relationships/table" Target="../tables/table134.xml"/><Relationship Id="rId2" Type="http://schemas.openxmlformats.org/officeDocument/2006/relationships/table" Target="../tables/table129.xml"/><Relationship Id="rId1" Type="http://schemas.openxmlformats.org/officeDocument/2006/relationships/printerSettings" Target="../printerSettings/printerSettings31.bin"/><Relationship Id="rId6" Type="http://schemas.openxmlformats.org/officeDocument/2006/relationships/table" Target="../tables/table133.xml"/><Relationship Id="rId5" Type="http://schemas.openxmlformats.org/officeDocument/2006/relationships/table" Target="../tables/table132.xml"/><Relationship Id="rId4" Type="http://schemas.openxmlformats.org/officeDocument/2006/relationships/table" Target="../tables/table13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58"/>
  <sheetViews>
    <sheetView workbookViewId="0" zoomScale="100" zoomScaleNormal="100">
      <selection activeCell="A58" sqref="A58"/>
    </sheetView>
  </sheetViews>
  <sheetFormatPr defaultRowHeight="15" x14ac:dyDescent="0.25"/>
  <sheetData>
    <row r="1" spans="1:1" ht="25.5" x14ac:dyDescent="0.35">
      <c r="A1" s="16" t="e" vm="1">
        <v>#VALUE!</v>
      </c>
    </row>
    <row r="3" spans="1:1" ht="15.75" x14ac:dyDescent="0.25">
      <c r="A3" s="271" t="str">
        <f>HYPERLINK("#'Home'!A1", "Home")</f>
        <v>Home</v>
      </c>
    </row>
    <row r="4" spans="1:1" ht="15.75" x14ac:dyDescent="0.25">
      <c r="A4" s="5" t="str">
        <f>HYPERLINK("#'Overview'!A1", "Overview")</f>
        <v>Overview</v>
      </c>
    </row>
    <row r="5" spans="1:1" ht="15.75" x14ac:dyDescent="0.25">
      <c r="A5" s="5" t="str">
        <f>HYPERLINK("#'Results'!A1", "Results")</f>
        <v>Results</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Pasture Beef (Enteric)'!A1", "Pasture Beef (Enteric)")</f>
        <v>Pasture Beef (Enteric)</v>
      </c>
    </row>
    <row r="13" spans="1:1" ht="15.75" x14ac:dyDescent="0.25">
      <c r="A13" s="5" t="str">
        <f>HYPERLINK("#'Input - Livestock sales'!A1", "Livestock sales")</f>
        <v>Livestock sales</v>
      </c>
    </row>
    <row r="14" spans="1:1" ht="15.75" x14ac:dyDescent="0.25">
      <c r="A14" s="5" t="str">
        <f>HYPERLINK("#'Input - Beef cattle purchases'!A1", "Beef cattle purchases")</f>
        <v>Beef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Farm Inputs'!A1", "Farm Inputs")</f>
        <v>Farm Inputs</v>
      </c>
    </row>
    <row r="21" spans="1:1" ht="15.75" x14ac:dyDescent="0.25">
      <c r="A21" s="5" t="str">
        <f>HYPERLINK("#'Input - Freight'!A1", "Freight")</f>
        <v>Freight</v>
      </c>
    </row>
    <row r="22" spans="1:1" ht="15.75" x14ac:dyDescent="0.25">
      <c r="A22" s="5" t="str">
        <f>HYPERLINK("#'Input - Manure sent off-site'!A1", "Manure sent off-site")</f>
        <v>Manure sent off-site</v>
      </c>
    </row>
    <row r="23" spans="1:1" ht="15.75" x14ac:dyDescent="0.25">
      <c r="A23" s="5" t="str">
        <f>HYPERLINK("#'Input - Solid waste'!A1", "Solid waste")</f>
        <v>Solid waste</v>
      </c>
    </row>
    <row r="26" spans="1:1" x14ac:dyDescent="0.25">
      <c r="A26" s="6" t="s">
        <v>2</v>
      </c>
    </row>
    <row r="27" spans="1:1" ht="15.75" x14ac:dyDescent="0.25">
      <c r="A27" s="5" t="str">
        <f>HYPERLINK("#'3.2.1.1-2 Enteric Methane'!A1", "3.2.1.1-2 Enteric methane")</f>
        <v>3.2.1.1-2 Enteric methane</v>
      </c>
    </row>
    <row r="28" spans="1:1" ht="15.75" x14ac:dyDescent="0.25">
      <c r="A28" s="5" t="str">
        <f>HYPERLINK("#'4.2.1.1-2 Methane'!A1", "4.2.1.1-2 Manure methane")</f>
        <v>4.2.1.1-2 Manure methane</v>
      </c>
    </row>
    <row r="29" spans="1:1" ht="15.75" x14ac:dyDescent="0.25">
      <c r="A29" s="5" t="str">
        <f>HYPERLINK("#'4.2.1.3-4 Soil direct N20'!A1", "4.2.1.3-4 Soil direct N2O")</f>
        <v>4.2.1.3-4 Soil direct N2O</v>
      </c>
    </row>
    <row r="30" spans="1:1" ht="15.75" x14ac:dyDescent="0.25">
      <c r="A30" s="5" t="str">
        <f>HYPERLINK("#'4.2.1.5-6 Soil Atmos Dep'!A1", "4.2.1.5-6 Soil atm. deposition")</f>
        <v>4.2.1.5-6 Soil atm. deposition</v>
      </c>
    </row>
    <row r="31" spans="1:1" ht="15.75" x14ac:dyDescent="0.25">
      <c r="A31" s="5" t="str">
        <f>HYPERLINK("#'4.2.1.7-8 Soil leach runoff'!A1", "4.2.1.7-8 Soil leach &amp; runoff")</f>
        <v>4.2.1.7-8 Soil leach &amp; runoff</v>
      </c>
    </row>
    <row r="32" spans="1:1" ht="15.75" x14ac:dyDescent="0.25">
      <c r="A32" s="5" t="str">
        <f>HYPERLINK("#'5.1.1.1-2 Inorganic fert N2O'!A1", "5.1.1.1-2 Inorganic fert N2O")</f>
        <v>5.1.1.1-2 Inorganic fert N2O</v>
      </c>
    </row>
    <row r="33" spans="1:1" ht="15.75" x14ac:dyDescent="0.25">
      <c r="A33" s="5" t="str">
        <f>HYPERLINK("#'5.1.1.3-4 Inorganic fert CO2'!A1", "5.1.1.3-4 Inorganic fert CO2")</f>
        <v>5.1.1.3-4 Inorganic fert CO2</v>
      </c>
    </row>
    <row r="34" spans="1:1" ht="15.75" x14ac:dyDescent="0.25">
      <c r="A34" s="5" t="str">
        <f>HYPERLINK("#'5.2.1.1-2 Organic Fert N2O'!A1", "5.2.1.1-2 Organic fert N2O")</f>
        <v>5.2.1.1-2 Organic fert N2O</v>
      </c>
    </row>
    <row r="35" spans="1:1" ht="15.75" x14ac:dyDescent="0.25">
      <c r="A35" s="5" t="str">
        <f>HYPERLINK("#'5.3.1.1-2 Lime CO2'!A1", "5.3.1.1-2 Lime CO2")</f>
        <v>5.3.1.1-2 Lime CO2</v>
      </c>
    </row>
    <row r="36" spans="1:1" ht="15.75" x14ac:dyDescent="0.25">
      <c r="A36" s="5" t="str">
        <f>HYPERLINK("#'5.4.1.1-4 Atmos deposition'!A1", "5.4.1.1-4 Atmos. deposition")</f>
        <v>5.4.1.1-4 Atmos. deposition</v>
      </c>
    </row>
    <row r="37" spans="1:1" ht="15.75" x14ac:dyDescent="0.25">
      <c r="A37" s="5" t="str">
        <f>HYPERLINK("#'5.5.1.1-2 Leaching and runoff'!A1", "5.5.1.1-2 Leaching &amp; runoff")</f>
        <v>5.5.1.1-2 Leaching &amp; runoff</v>
      </c>
    </row>
    <row r="38" spans="1:1" ht="15.75" x14ac:dyDescent="0.25">
      <c r="A38" s="5" t="str">
        <f>HYPERLINK("#'6.2.1.1-2 Pasture residue N2O'!A1", "6.2.1.1-2 Pasture residue N2O")</f>
        <v>6.2.1.1-2 Pasture residue N2O</v>
      </c>
    </row>
    <row r="39" spans="1:1" ht="15.75" x14ac:dyDescent="0.25">
      <c r="A39" s="5" t="str">
        <f>HYPERLINK("#'6.3.1.1-2 Leach runoff pasture'!A1", "6.3.1.1-2 Leach &amp; runoff (pasture)")</f>
        <v>6.3.1.1-2 Leach &amp; runoff (pasture)</v>
      </c>
    </row>
    <row r="40" spans="1:1" ht="15.75" x14ac:dyDescent="0.25">
      <c r="A40" s="5" t="str">
        <f>HYPERLINK("#'8.1.1.1-2 Transport fuel'!A1", "8.1.1.1-2 Transport fuel")</f>
        <v>8.1.1.1-2 Transport fuel</v>
      </c>
    </row>
    <row r="41" spans="1:1" ht="15.75" x14ac:dyDescent="0.25">
      <c r="A41" s="5" t="str">
        <f>HYPERLINK("#'8.2.1.1-2 Stationary fuel'!A1", "8.2.1.1-2 Stationary fuel")</f>
        <v>8.2.1.1-2 Stationary fuel</v>
      </c>
    </row>
    <row r="42" spans="1:1" ht="15.75" x14ac:dyDescent="0.25">
      <c r="A42" s="5" t="str">
        <f>HYPERLINK("#'14.1.1-2 Purchased electricity'!A1", "14.1.1-2 Purchased electricity")</f>
        <v>14.1.1-2 Purchased electricity</v>
      </c>
    </row>
    <row r="43" spans="1:1" ht="15.75" x14ac:dyDescent="0.25">
      <c r="A43" s="5" t="str">
        <f>HYPERLINK("#'15 Scope 3'!A1", "15 Scope 3")</f>
        <v>15 Scope 3</v>
      </c>
    </row>
    <row r="44" spans="1:1" ht="15.75" x14ac:dyDescent="0.25">
      <c r="A44" s="5" t="str">
        <f>HYPERLINK("#'Calcs - Manure sent off-site'!A1", "Calcs - Manure sent off-site")</f>
        <v>Calcs - Manure sent off-site</v>
      </c>
    </row>
    <row r="45" spans="1:1" ht="15.75" x14ac:dyDescent="0.25">
      <c r="A45" s="5" t="str">
        <f>HYPERLINK("#'10.1.1-2 Solid waste treatment'!A1", "10.1.1-2 Solid waste treatment")</f>
        <v>10.1.1-2 Solid waste treatment</v>
      </c>
    </row>
    <row r="48" spans="1:1" x14ac:dyDescent="0.25">
      <c r="A48" s="97" t="s">
        <v>1</v>
      </c>
    </row>
    <row r="49" spans="1:1" ht="15.75" x14ac:dyDescent="0.25">
      <c r="A49" s="5" t="str">
        <f>HYPERLINK("#'Constants - Pasture Beef'!A1", "Constants - Pasture Beef")</f>
        <v>Constants - Pasture Beef</v>
      </c>
    </row>
    <row r="50" spans="1:1" ht="15.75" x14ac:dyDescent="0.25">
      <c r="A50" s="5" t="str">
        <f>HYPERLINK("#'Constants - Ag Residue'!A1", "Constants - Ag residue")</f>
        <v>Constants - Ag residue</v>
      </c>
    </row>
    <row r="51" spans="1:1" ht="15.75" x14ac:dyDescent="0.25">
      <c r="A51" s="5" t="str">
        <f>HYPERLINK("#'Constants - Common Livestock'!A1", "Constants - Common Livestock")</f>
        <v>Constants - Common Livestock</v>
      </c>
    </row>
    <row r="52" spans="1:1" ht="15.75" x14ac:dyDescent="0.25">
      <c r="A52" s="5" t="str">
        <f>HYPERLINK("#'Constants - Electricity'!A1", "Constants - Electricity")</f>
        <v>Constants - Electricity</v>
      </c>
    </row>
    <row r="53" spans="1:1" ht="15.75" x14ac:dyDescent="0.25">
      <c r="A53" s="5" t="str">
        <f>HYPERLINK("#'Constants - Fertiliser'!A1", "Constants - Fertiliser")</f>
        <v>Constants - Fertiliser</v>
      </c>
    </row>
    <row r="54" spans="1:1" ht="15.75" x14ac:dyDescent="0.25">
      <c r="A54" s="5" t="str">
        <f>HYPERLINK("#'Constants - Fuel'!A1", "Constants - Fuel")</f>
        <v>Constants - Fuel</v>
      </c>
    </row>
    <row r="55" spans="1:1" ht="15.75" x14ac:dyDescent="0.25">
      <c r="A55" s="5" t="str">
        <f>HYPERLINK("#'Constants - Scope 3'!A1", "Constants - Scope 3")</f>
        <v>Constants - Scope 3</v>
      </c>
    </row>
    <row r="56" spans="1:1" ht="15.75" x14ac:dyDescent="0.25">
      <c r="A56" s="5" t="str">
        <f>HYPERLINK("#'Constants - Common'!A1", "Constants - Common")</f>
        <v>Constants - Common</v>
      </c>
    </row>
    <row r="57" spans="1:1" ht="15.75" x14ac:dyDescent="0.25">
      <c r="A57" s="5" t="str">
        <f>HYPERLINK("#'Acknowledgements'!A1", "Acknowledgements")</f>
        <v>Acknowledgements</v>
      </c>
    </row>
    <row r="58" spans="1:1" ht="15.75" x14ac:dyDescent="0.25">
      <c r="A58" s="5" t="str">
        <f>HYPERLINK("#'Constants - Solid Waste'!A1", "Constants - Solid Waste")</f>
        <v>Constants - Solid Waste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workbookViewId="0" zoomScale="100" zoomScaleNormal="100">
      <selection activeCell="A58" sqref="A5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186</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5" t="str">
        <f>HYPERLINK("#'Overview'!A1", "Overview")</f>
        <v>Overview</v>
      </c>
      <c r="C4" s="8"/>
      <c r="D4" s="2" t="str">
        <f>"Emissions breakdown for activities running between " &amp; TEXT(X_Cell_Site_StartDate, "dd mmmm yyyy") &amp; " and " &amp; TEXT('Input - Enterprise'!E13, "dd mmmm yyyy")</f>
        <v>Emissions breakdown for activities running between 01 January 2024 and 31 December 2024</v>
      </c>
      <c r="E4" s="10"/>
      <c r="F4" s="10"/>
      <c r="G4" s="10"/>
      <c r="H4" s="2"/>
      <c r="I4" s="2"/>
      <c r="J4" s="2"/>
      <c r="K4" s="11"/>
    </row>
    <row r="5" spans="1:11" ht="20.100000000000001" customHeight="1" x14ac:dyDescent="0.3">
      <c r="A5" s="271" t="str">
        <f>HYPERLINK("#'Results'!A1", "Results")</f>
        <v>Results</v>
      </c>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C7" s="8"/>
      <c r="D7" s="1" t="s">
        <v>154</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7" t="s">
        <v>0</v>
      </c>
      <c r="C8" s="8"/>
      <c r="D8" s="1" t="s">
        <v>12</v>
      </c>
      <c r="E8" s="18" cm="1">
        <f t="array" aca="1" ref="E8" ca="1">VEERG_4_2_1_1__1_TotalAnnualMethaneProductionFromManureManagement_Result_Method1</f>
        <v>0.88628531326724402</v>
      </c>
      <c r="F8" s="18" cm="1">
        <f t="array" aca="1" ref="F8" ca="1">VEERG_4_2_1_1__1_TotalAnnualMethaneProductionFromManureManagement_Result_Method2</f>
        <v>0.89029635334910784</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24.928297893775021</v>
      </c>
      <c r="J8" s="15" t="s">
        <v>7</v>
      </c>
      <c r="K8" s="8"/>
    </row>
    <row r="9" spans="1:11" ht="20.100000000000001" customHeight="1" x14ac:dyDescent="0.25">
      <c r="A9" s="5" t="str">
        <f>HYPERLINK("#'Input - Enterprise'!A1", "Enterprise")</f>
        <v>Enterprise</v>
      </c>
      <c r="C9" s="8"/>
      <c r="D9" s="1" t="s">
        <v>14</v>
      </c>
      <c r="E9" s="18" cm="1">
        <f t="array" aca="1" ref="E9" ca="1">VEERG_4_2_1_3__1_DirectNitrousOxideEmissionsOnPasture_Result_Method1</f>
        <v>0.19011252663030423</v>
      </c>
      <c r="F9" s="18" cm="1">
        <f t="array" aca="1" ref="F9" ca="1">VEERG_4_2_1_3__1_DirectNitrousOxideEmissionsOnPasture_Result_Method2</f>
        <v>0.18424525527410571</v>
      </c>
      <c r="G9" s="15" t="s">
        <v>13</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48.824992647638012</v>
      </c>
      <c r="J9" s="15" t="s">
        <v>7</v>
      </c>
      <c r="K9" s="8"/>
    </row>
    <row r="10" spans="1:11" ht="20.100000000000001" customHeight="1" x14ac:dyDescent="0.25">
      <c r="A10" s="5" t="str">
        <f>HYPERLINK("#'Input - Site'!A1", "Site")</f>
        <v>Site</v>
      </c>
      <c r="C10" s="8"/>
      <c r="D10" s="1" t="s">
        <v>15</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0.11413993564230847</v>
      </c>
      <c r="G10" s="15" t="s">
        <v>13</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30.247082945211744</v>
      </c>
      <c r="J10" s="15" t="s">
        <v>7</v>
      </c>
      <c r="K10" s="8"/>
    </row>
    <row r="11" spans="1:11" ht="20.100000000000001" customHeight="1" x14ac:dyDescent="0.25">
      <c r="A11" s="5" t="str">
        <f>HYPERLINK("#'Input - Pasture Beef'!A1", "Pasture Beef")</f>
        <v>Pasture Beef</v>
      </c>
      <c r="C11" s="8"/>
      <c r="D11" s="1" t="s">
        <v>16</v>
      </c>
      <c r="E11" s="18" cm="1">
        <f t="array" aca="1" ref="E11" ca="1">VEERG_4_2_1_7__1_LeachingAndRunoffEmissionsFromUrineAndDungOnPasture_Result_Method1</f>
        <v>0.2509485351520015</v>
      </c>
      <c r="F11" s="18" cm="1">
        <f t="array" aca="1" ref="F11" ca="1">VEERG_4_2_1_7__1_LeachingAndRunoffEmissionsFromUrineAndDungOnPasture_Result_Method2</f>
        <v>0.24320373696181949</v>
      </c>
      <c r="G11" s="15" t="s">
        <v>13</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64.448990294882165</v>
      </c>
      <c r="J11" s="15" t="s">
        <v>7</v>
      </c>
      <c r="K11" s="8"/>
    </row>
    <row r="12" spans="1:11" ht="20.100000000000001" customHeight="1" x14ac:dyDescent="0.25">
      <c r="A12" s="5" t="str">
        <f>HYPERLINK("#'Input - Pasture Beef (Enteric)'!A1", "Pasture Beef (Enteric)")</f>
        <v>Pasture Beef (Enteric)</v>
      </c>
      <c r="C12" s="8"/>
      <c r="D12" s="1" t="s">
        <v>155</v>
      </c>
      <c r="E12" s="18" cm="1">
        <f t="array" ref="E12">VEERG_5_1_1_1__1_InorganicFertiliserApplicationN2OEmissions_Result_Method1</f>
        <v>1.206185042857143</v>
      </c>
      <c r="F12" s="18" cm="1">
        <f t="array" ref="F12">VEERG_5_1_1_1__1_InorganicFertiliserApplicationN2OEmissions_Result_Method2</f>
        <v>1.2061850428571428</v>
      </c>
      <c r="G12" s="15" t="s">
        <v>13</v>
      </c>
      <c r="H12" s="18" cm="1">
        <f t="array" ref="H12">Common_Equations.Common_ConvertN2OToCO2e(E12,_xlfn.XLOOKUP("N2O", Table_GWPData[Gas],Table_GWPData[CO2-e factor]))</f>
        <v>319.63903635714291</v>
      </c>
      <c r="I12" s="18" cm="1">
        <f t="array" ref="I12">Common_Equations.Common_ConvertN2OToCO2e(F12,_xlfn.XLOOKUP("N2O", Table_GWPData[Gas],Table_GWPData[CO2-e factor]))</f>
        <v>319.63903635714286</v>
      </c>
      <c r="J12" s="15" t="s">
        <v>7</v>
      </c>
      <c r="K12" s="8"/>
    </row>
    <row r="13" spans="1:11" ht="20.100000000000001" customHeight="1" x14ac:dyDescent="0.25">
      <c r="A13" s="5" t="str">
        <f>HYPERLINK("#'Input - Livestock sales'!A1", "Livestock sales")</f>
        <v>Livestock sales</v>
      </c>
      <c r="C13" s="8"/>
      <c r="D13" s="1" t="s">
        <v>156</v>
      </c>
      <c r="E13" s="18" cm="1">
        <f t="array" ref="E13">VEERG_5_1_1_3__1_InorganicFertiliserApplicationCO2Emissions_Result_Method1</f>
        <v>73.333333333333329</v>
      </c>
      <c r="F13" s="18">
        <f>E13</f>
        <v>73.333333333333329</v>
      </c>
      <c r="G13" s="15" t="s">
        <v>144</v>
      </c>
      <c r="H13" s="18">
        <f>E13</f>
        <v>73.333333333333329</v>
      </c>
      <c r="I13" s="18">
        <f>F13</f>
        <v>73.333333333333329</v>
      </c>
      <c r="J13" s="15" t="s">
        <v>7</v>
      </c>
      <c r="K13" s="8"/>
    </row>
    <row r="14" spans="1:11" ht="20.100000000000001" customHeight="1" x14ac:dyDescent="0.25">
      <c r="A14" s="5" t="str">
        <f>HYPERLINK("#'Input - Beef cattle purchases'!A1", "Beef cattle purchases")</f>
        <v>Beef cattle purchases</v>
      </c>
      <c r="C14" s="8"/>
      <c r="D14" s="1" t="s">
        <v>157</v>
      </c>
      <c r="E14" s="18" cm="1">
        <f t="array" ref="E14">VEERG_5_2_1_1__2_MassOfNitrogenInOrganicFertiliser_Result_Method1</f>
        <v>5.5785714285714286E-2</v>
      </c>
      <c r="F14" s="18">
        <f>E14</f>
        <v>5.5785714285714286E-2</v>
      </c>
      <c r="G14" s="15" t="s">
        <v>13</v>
      </c>
      <c r="H14" s="18" cm="1">
        <f t="array" ref="H14">Common_Equations.Common_ConvertN2OToCO2e(E14,_xlfn.XLOOKUP("N2O", Table_GWPData[Gas],Table_GWPData[CO2-e factor]))</f>
        <v>14.783214285714285</v>
      </c>
      <c r="I14" s="18" cm="1">
        <f t="array" ref="I14">Common_Equations.Common_ConvertN2OToCO2e(F14,_xlfn.XLOOKUP("N2O", Table_GWPData[Gas],Table_GWPData[CO2-e factor]))</f>
        <v>14.783214285714285</v>
      </c>
      <c r="J14" s="15" t="s">
        <v>7</v>
      </c>
      <c r="K14" s="8"/>
    </row>
    <row r="15" spans="1:11" ht="20.100000000000001" customHeight="1" x14ac:dyDescent="0.25">
      <c r="A15" s="5" t="str">
        <f>HYPERLINK("#'Input - Pasture'!A1", "Pasture")</f>
        <v>Pasture</v>
      </c>
      <c r="C15" s="8"/>
      <c r="D15" s="1" t="s">
        <v>158</v>
      </c>
      <c r="E15" s="18" cm="1">
        <f t="array" ref="E15">VEERG_5_3_1_1__1_LimeApplicationCO2Emissions_Result_Method1</f>
        <v>758.08333333333326</v>
      </c>
      <c r="F15" s="18">
        <f>E15</f>
        <v>758.08333333333326</v>
      </c>
      <c r="G15" s="15" t="s">
        <v>144</v>
      </c>
      <c r="H15" s="18">
        <f>E15</f>
        <v>758.08333333333326</v>
      </c>
      <c r="I15" s="18">
        <f>F15</f>
        <v>758.08333333333326</v>
      </c>
      <c r="J15" s="15" t="s">
        <v>7</v>
      </c>
      <c r="K15" s="8"/>
    </row>
    <row r="16" spans="1:11" ht="20.100000000000001" customHeight="1" x14ac:dyDescent="0.25">
      <c r="A16" s="5" t="str">
        <f>HYPERLINK("#'Input - Fert Prod System'!A1", "Fert Prod System")</f>
        <v>Fert Prod System</v>
      </c>
      <c r="C16" s="8"/>
      <c r="D16" s="1" t="s">
        <v>159</v>
      </c>
      <c r="E16" s="18" cm="1">
        <f t="array" ref="E16">VEERG_5_4_1_3__1_OrganicFertiliserAtmosphericDepositionN2OEmissions_Result_Method1</f>
        <v>1.38237E-2</v>
      </c>
      <c r="F16" s="18">
        <f>E16</f>
        <v>1.38237E-2</v>
      </c>
      <c r="G16" s="15" t="s">
        <v>13</v>
      </c>
      <c r="H16" s="18" cm="1">
        <f t="array" ref="H16">Common_Equations.Common_ConvertN2OToCO2e(E16,_xlfn.XLOOKUP("N2O", Table_GWPData[Gas],Table_GWPData[CO2-e factor]))</f>
        <v>3.6632804999999999</v>
      </c>
      <c r="I16" s="18" cm="1">
        <f t="array" ref="I16">Common_Equations.Common_ConvertN2OToCO2e(F16,_xlfn.XLOOKUP("N2O", Table_GWPData[Gas],Table_GWPData[CO2-e factor]))</f>
        <v>3.6632804999999999</v>
      </c>
      <c r="J16" s="15" t="s">
        <v>7</v>
      </c>
      <c r="K16" s="8"/>
    </row>
    <row r="17" spans="1:11" ht="20.100000000000001" customHeight="1" x14ac:dyDescent="0.25">
      <c r="A17" s="5" t="str">
        <f>HYPERLINK("#'Input - Fertiliser'!A1", "Fertiliser")</f>
        <v>Fertiliser</v>
      </c>
      <c r="C17" s="8"/>
      <c r="D17" s="1" t="s">
        <v>160</v>
      </c>
      <c r="E17" s="18" cm="1">
        <f t="array" ref="E17">VEERG_5_5_1_1__1_FertiliserLeachingAndRunoffN2OEmissions_result_Method1</f>
        <v>0.56917155428571431</v>
      </c>
      <c r="F17" s="18">
        <f>E17</f>
        <v>0.56917155428571431</v>
      </c>
      <c r="G17" s="15" t="s">
        <v>13</v>
      </c>
      <c r="H17" s="18" cm="1">
        <f t="array" ref="H17">Common_Equations.Common_ConvertN2OToCO2e(E17,_xlfn.XLOOKUP("N2O", Table_GWPData[Gas],Table_GWPData[CO2-e factor]))</f>
        <v>150.8304618857143</v>
      </c>
      <c r="I17" s="18" cm="1">
        <f t="array" ref="I17">Common_Equations.Common_ConvertN2OToCO2e(F17,_xlfn.XLOOKUP("N2O", Table_GWPData[Gas],Table_GWPData[CO2-e factor]))</f>
        <v>150.8304618857143</v>
      </c>
      <c r="J17" s="15" t="s">
        <v>7</v>
      </c>
      <c r="K17" s="8"/>
    </row>
    <row r="18" spans="1:11" ht="20.100000000000001" customHeight="1" x14ac:dyDescent="0.25">
      <c r="A18" s="5" t="str">
        <f>HYPERLINK("#'Input - Fuel'!A1", "Fuel")</f>
        <v>Fuel</v>
      </c>
      <c r="C18" s="8"/>
      <c r="D18" s="1" t="s">
        <v>161</v>
      </c>
      <c r="E18" s="18" cm="1">
        <f t="array" ref="E18">VEERG_6_2_1_1__1__NitrousOxideEmissionsFromPastureResidues_Result_Method1</f>
        <v>5.8320428571428569E-7</v>
      </c>
      <c r="F18" s="18" cm="1">
        <f t="array" ref="F18">VEERG_6_2_1_1__1__NitrousOxideEmissionsFromPastureResidues_Result_Method2</f>
        <v>5.8320428571428569E-7</v>
      </c>
      <c r="G18" s="15" t="s">
        <v>13</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HYPERLINK("#'Input - Electricity'!A1", "Electricity")</f>
        <v>Electricity</v>
      </c>
      <c r="C19" s="8"/>
      <c r="D19" s="1" t="s">
        <v>162</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13</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HYPERLINK("#'Input - Farm Inputs'!A1", "Farm Inputs")</f>
        <v>Farm Inputs</v>
      </c>
      <c r="C20" s="8"/>
      <c r="D20" s="1" t="s">
        <v>163</v>
      </c>
      <c r="E20" s="18" cm="1">
        <f t="array" ref="E20">VEERG_8_1_1_1__1_FuelCombustionTransport_Result_CO2</f>
        <v>83.182000000000002</v>
      </c>
      <c r="F20" s="18">
        <f>E20</f>
        <v>83.182000000000002</v>
      </c>
      <c r="G20" s="15" t="s">
        <v>144</v>
      </c>
      <c r="H20" s="18">
        <f>E20</f>
        <v>83.182000000000002</v>
      </c>
      <c r="I20" s="18">
        <f>F20</f>
        <v>83.182000000000002</v>
      </c>
      <c r="J20" s="15" t="s">
        <v>7</v>
      </c>
      <c r="K20" s="8"/>
    </row>
    <row r="21" spans="1:11" ht="20.100000000000001" customHeight="1" x14ac:dyDescent="0.25">
      <c r="A21" s="5" t="str">
        <f>HYPERLINK("#'Input - Freight'!A1", "Freight")</f>
        <v>Freight</v>
      </c>
      <c r="C21" s="8"/>
      <c r="D21" s="1" t="s">
        <v>165</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HYPERLINK("#'Input - Manure sent off-site'!A1", "Manure sent off-site")</f>
        <v>Manure sent off-site</v>
      </c>
      <c r="C22" s="8"/>
      <c r="D22" s="1" t="s">
        <v>164</v>
      </c>
      <c r="E22" s="18" cm="1">
        <f t="array" ref="E22">VEERG_8_1_1_1__1_FuelCombustionTransport_Result_N2O</f>
        <v>0.58450000000000002</v>
      </c>
      <c r="F22" s="18">
        <f>E22</f>
        <v>0.58450000000000002</v>
      </c>
      <c r="G22" s="15" t="s">
        <v>13</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HYPERLINK("#'Input - Solid waste'!A1", "Solid waste")</f>
        <v>Solid waste</v>
      </c>
      <c r="C23" s="8"/>
      <c r="D23" s="1" t="s">
        <v>166</v>
      </c>
      <c r="E23" s="18" cm="1">
        <f t="array" ref="E23">VEERG_8_2_1_1__1_FuelCombustionStationary_Result_CO2</f>
        <v>29.070800000000002</v>
      </c>
      <c r="F23" s="18">
        <f>E23</f>
        <v>29.070800000000002</v>
      </c>
      <c r="G23" s="15" t="s">
        <v>144</v>
      </c>
      <c r="H23" s="18">
        <f>E23</f>
        <v>29.070800000000002</v>
      </c>
      <c r="I23" s="18">
        <f>F23</f>
        <v>29.070800000000002</v>
      </c>
      <c r="J23" s="15" t="s">
        <v>7</v>
      </c>
      <c r="K23" s="8"/>
    </row>
    <row r="24" spans="1:11" ht="20.100000000000001" customHeight="1" x14ac:dyDescent="0.25">
      <c r="C24" s="8"/>
      <c r="D24" s="1" t="s">
        <v>167</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C25" s="8"/>
      <c r="D25" s="1" t="s">
        <v>168</v>
      </c>
      <c r="E25" s="18" cm="1">
        <f t="array" ref="E25">VEERG_8_2_1_1__1_FuelCombustionStationary_Result_N2O</f>
        <v>7.1400000000000005E-2</v>
      </c>
      <c r="F25" s="18">
        <f t="shared" si="0"/>
        <v>7.1400000000000005E-2</v>
      </c>
      <c r="G25" s="15" t="s">
        <v>13</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6" t="s">
        <v>2</v>
      </c>
      <c r="C26" s="8"/>
      <c r="D26" s="1" t="s">
        <v>169</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HYPERLINK("#'3.2.1.1-2 Enteric Methane'!A1", "3.2.1.1-2 Enteric methane")</f>
        <v>3.2.1.1-2 Enteric methane</v>
      </c>
      <c r="C27" s="8"/>
      <c r="D27" s="1" t="s">
        <v>170</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HYPERLINK("#'4.2.1.1-2 Methane'!A1", "4.2.1.1-2 Manure methane")</f>
        <v>4.2.1.1-2 Manure methane</v>
      </c>
      <c r="C28" s="8"/>
      <c r="D28" s="14" t="s">
        <v>4</v>
      </c>
      <c r="E28" s="9"/>
      <c r="F28" s="9"/>
      <c r="G28" s="14"/>
      <c r="H28" s="19">
        <f ca="1">SUM(H7:H27)</f>
        <v>3346.1586963070749</v>
      </c>
      <c r="I28" s="19">
        <f ca="1">SUM(I7:I27)</f>
        <v>3344.5965329307064</v>
      </c>
      <c r="J28" s="15" t="s">
        <v>7</v>
      </c>
      <c r="K28" s="8"/>
    </row>
    <row r="29" spans="1:11" ht="20.100000000000001" customHeight="1" x14ac:dyDescent="0.3">
      <c r="A29" s="5" t="str">
        <f>HYPERLINK("#'4.2.1.3-4 Soil direct N20'!A1", "4.2.1.3-4 Soil direct N2O")</f>
        <v>4.2.1.3-4 Soil direct N2O</v>
      </c>
      <c r="C29" s="8"/>
      <c r="D29" s="1"/>
      <c r="E29" s="1"/>
      <c r="F29" s="1"/>
      <c r="G29" s="1"/>
      <c r="H29" s="13"/>
      <c r="I29" s="8"/>
      <c r="J29" s="8"/>
      <c r="K29" s="8"/>
    </row>
    <row r="30" spans="1:11" ht="20.100000000000001" customHeight="1" x14ac:dyDescent="0.3">
      <c r="A30" s="5" t="str">
        <f>HYPERLINK("#'4.2.1.5-6 Soil Atmos Dep'!A1", "4.2.1.5-6 Soil atm. deposition")</f>
        <v>4.2.1.5-6 Soil atm. deposition</v>
      </c>
      <c r="C30" s="8"/>
      <c r="D30" s="1"/>
      <c r="E30" s="1"/>
      <c r="F30" s="1"/>
      <c r="G30" s="1"/>
      <c r="H30" s="13"/>
      <c r="I30" s="8"/>
      <c r="J30" s="8"/>
      <c r="K30" s="8"/>
    </row>
    <row r="31" spans="1:11" ht="20.100000000000001" customHeight="1" x14ac:dyDescent="0.3">
      <c r="A31" s="5" t="str">
        <f>HYPERLINK("#'4.2.1.7-8 Soil leach runoff'!A1", "4.2.1.7-8 Soil leach &amp; runoff")</f>
        <v>4.2.1.7-8 Soil leach &amp; runoff</v>
      </c>
      <c r="C31" s="8"/>
      <c r="D31" s="1"/>
      <c r="E31" s="1"/>
      <c r="F31" s="1"/>
      <c r="G31" s="1"/>
      <c r="H31" s="13"/>
      <c r="I31" s="8"/>
      <c r="J31" s="8"/>
      <c r="K31" s="8"/>
    </row>
    <row r="32" spans="1:11" ht="20.100000000000001" customHeight="1" x14ac:dyDescent="0.3">
      <c r="A32" s="5" t="str">
        <f>HYPERLINK("#'5.1.1.1-2 Inorganic fert N2O'!A1", "5.1.1.1-2 Inorganic fert N2O")</f>
        <v>5.1.1.1-2 Inorganic fert N2O</v>
      </c>
      <c r="C32" s="8"/>
      <c r="D32" s="2" t="s">
        <v>125</v>
      </c>
      <c r="E32" s="1"/>
      <c r="F32" s="1"/>
      <c r="G32" s="1"/>
      <c r="H32" s="13"/>
      <c r="I32" s="8"/>
      <c r="J32" s="8"/>
      <c r="K32" s="8"/>
    </row>
    <row r="33" spans="1:11" ht="20.100000000000001" customHeight="1" x14ac:dyDescent="0.3">
      <c r="A33" s="5" t="str">
        <f>HYPERLINK("#'5.1.1.3-4 Inorganic fert CO2'!A1", "5.1.1.3-4 Inorganic fert CO2")</f>
        <v>5.1.1.3-4 Inorganic fert CO2</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HYPERLINK("#'5.2.1.1-2 Organic Fert N2O'!A1", "5.2.1.1-2 Organic fert N2O")</f>
        <v>5.2.1.1-2 Organic fert N2O</v>
      </c>
      <c r="C34" s="8"/>
      <c r="D34" s="1" t="s">
        <v>127</v>
      </c>
      <c r="E34" s="1"/>
      <c r="F34" s="1"/>
      <c r="G34" s="1"/>
      <c r="H34" s="13"/>
      <c r="I34" s="8"/>
      <c r="J34" s="8"/>
      <c r="K34" s="8"/>
    </row>
    <row r="35" spans="1:11" ht="20.100000000000001" customHeight="1" x14ac:dyDescent="0.3">
      <c r="A35" s="5" t="str">
        <f>HYPERLINK("#'5.3.1.1-2 Lime CO2'!A1", "5.3.1.1-2 Lime CO2")</f>
        <v>5.3.1.1-2 Lime CO2</v>
      </c>
      <c r="C35" s="8"/>
      <c r="D35" s="1"/>
      <c r="E35" s="1"/>
      <c r="F35" s="1"/>
      <c r="G35" s="1"/>
      <c r="H35" s="13"/>
      <c r="I35" s="8"/>
      <c r="J35" s="8"/>
      <c r="K35" s="8"/>
    </row>
    <row r="36" spans="1:11" ht="20.100000000000001" customHeight="1" x14ac:dyDescent="0.3">
      <c r="A36" s="5" t="str">
        <f>HYPERLINK("#'5.4.1.1-4 Atmos deposition'!A1", "5.4.1.1-4 Atmos. deposition")</f>
        <v>5.4.1.1-4 Atmos. deposition</v>
      </c>
      <c r="C36" s="8"/>
      <c r="D36" s="20" t="s">
        <v>126</v>
      </c>
      <c r="E36" s="20" t="s">
        <v>10</v>
      </c>
      <c r="F36" s="20" t="s">
        <v>11</v>
      </c>
      <c r="G36" s="1"/>
      <c r="H36" s="13"/>
      <c r="I36" s="8"/>
      <c r="J36" s="8"/>
      <c r="K36" s="8"/>
    </row>
    <row r="37" spans="1:11" ht="20.100000000000001" customHeight="1" x14ac:dyDescent="0.3">
      <c r="A37" s="5" t="str">
        <f>HYPERLINK("#'5.5.1.1-2 Leaching and runoff'!A1", "5.5.1.1-2 Leaching &amp; runoff")</f>
        <v>5.5.1.1-2 Leaching &amp; runoff</v>
      </c>
      <c r="C37" s="8"/>
      <c r="D37" s="1" t="str" cm="1">
        <f t="array" ref="D37:D39">Common_InputFunctions.getOverlappingReportingPeriods(X_Cell_Enterprise_ProductionTimeframeStart,X_Cell_Enterprise_ProductionTimeframeEnd,X_Cell_Site_StartDate)</f>
        <v>01 Jan 2023 to 31 Dec 2023</v>
      </c>
      <c r="E37" s="86" t="str">
        <f>IF(ISBLANK($D37), "", IF(ISNUMBER(SEARCH("reporting", $D37)), Result_Enterprise_Method1, "Enter value"))</f>
        <v>Enter value</v>
      </c>
      <c r="F37" s="86" t="str">
        <f>IF(ISBLANK($D37), "", IF(ISNUMBER(SEARCH("reporting", $D37)), Result_Enterprise_Method2, "Enter value"))</f>
        <v>Enter value</v>
      </c>
      <c r="G37" s="15" t="s">
        <v>7</v>
      </c>
      <c r="H37" s="13"/>
      <c r="I37" s="8"/>
      <c r="J37" s="8"/>
      <c r="K37" s="8"/>
    </row>
    <row r="38" spans="1:11" ht="20.100000000000001" customHeight="1" x14ac:dyDescent="0.3">
      <c r="A38" s="5" t="str">
        <f>HYPERLINK("#'6.2.1.1-2 Pasture residue N2O'!A1", "6.2.1.1-2 Pasture residue N2O")</f>
        <v>6.2.1.1-2 Pasture residue N2O</v>
      </c>
      <c r="C38" s="8"/>
      <c r="D38" s="1" t="str">
        <v>01 Jan 2024 to 31 Dec 2024 (This reporting cycle)</v>
      </c>
      <c r="E38" s="86">
        <f ca="1">IF(ISBLANK($D38), "", IF(ISNUMBER(SEARCH("reporting", $D38)), Result_Enterprise_Method1, "Enter value"))</f>
        <v>3346.1586963070749</v>
      </c>
      <c r="F38" s="86">
        <f ca="1">IF(ISBLANK($D38), "", IF(ISNUMBER(SEARCH("reporting", $D38)), Result_Enterprise_Method2, "Enter value"))</f>
        <v>3344.5965329307064</v>
      </c>
      <c r="G38" s="15" t="s">
        <v>7</v>
      </c>
      <c r="H38" s="13"/>
      <c r="I38" s="8"/>
      <c r="J38" s="8"/>
      <c r="K38" s="8"/>
    </row>
    <row r="39" spans="1:11" ht="20.100000000000001" customHeight="1" x14ac:dyDescent="0.3">
      <c r="A39" s="5" t="str">
        <f>HYPERLINK("#'6.3.1.1-2 Leach runoff pasture'!A1", "6.3.1.1-2 Leach &amp; runoff (pasture)")</f>
        <v>6.3.1.1-2 Leach &amp; runoff (pasture)</v>
      </c>
      <c r="C39" s="8"/>
      <c r="D39" s="1" t="str">
        <v>01 Jan 2025 to 31 Dec 2025</v>
      </c>
      <c r="E39" s="86" t="str">
        <f>IF(ISBLANK($D39), "", IF(ISNUMBER(SEARCH("reporting", $D39)), Result_Enterprise_Method1, "Enter value"))</f>
        <v>Enter value</v>
      </c>
      <c r="F39" s="86" t="str">
        <f>IF(ISBLANK($D39), "", IF(ISNUMBER(SEARCH("reporting", $D39)), Result_Enterprise_Method2, "Enter value"))</f>
        <v>Enter value</v>
      </c>
      <c r="G39" s="15" t="s">
        <v>7</v>
      </c>
      <c r="H39" s="13"/>
      <c r="I39" s="8"/>
      <c r="J39" s="8"/>
      <c r="K39" s="8"/>
    </row>
    <row r="40" spans="1:11" ht="20.100000000000001" customHeight="1" x14ac:dyDescent="0.3">
      <c r="A40" s="5" t="str">
        <f>HYPERLINK("#'8.1.1.1-2 Transport fuel'!A1", "8.1.1.1-2 Transport fuel")</f>
        <v>8.1.1.1-2 Transport fuel</v>
      </c>
      <c r="C40" s="8"/>
      <c r="D40" s="1"/>
      <c r="E40" s="86" t="str">
        <f>IF(ISBLANK($D40), "", IF(ISNUMBER(SEARCH("reporting", $D40)), Result_Enterprise_Method1, "Enter value"))</f>
        <v/>
      </c>
      <c r="F40" s="86" t="str">
        <f>IF(ISBLANK($D40), "", IF(ISNUMBER(SEARCH("reporting", $D40)), Result_Enterprise_Method2, "Enter value"))</f>
        <v/>
      </c>
      <c r="G40" s="15" t="s">
        <v>7</v>
      </c>
      <c r="H40" s="13"/>
      <c r="I40" s="8"/>
      <c r="J40" s="8"/>
      <c r="K40" s="8"/>
    </row>
    <row r="41" spans="1:11" ht="20.100000000000001" customHeight="1" x14ac:dyDescent="0.3">
      <c r="A41" s="5" t="str">
        <f>HYPERLINK("#'8.2.1.1-2 Stationary fuel'!A1", "8.2.1.1-2 Stationary fuel")</f>
        <v>8.2.1.1-2 Stationary fuel</v>
      </c>
      <c r="C41" s="8"/>
      <c r="D41" s="88"/>
      <c r="E41" s="86" t="str">
        <f>IF(ISBLANK($D41), "", IF(ISNUMBER(SEARCH("reporting", $D41)), Result_Enterprise_Method1, "Enter value"))</f>
        <v/>
      </c>
      <c r="F41" s="86" t="str">
        <f>IF(ISBLANK($D41), "", IF(ISNUMBER(SEARCH("reporting", $D41)), Result_Enterprise_Method2, "Enter value"))</f>
        <v/>
      </c>
      <c r="G41" s="15" t="s">
        <v>7</v>
      </c>
      <c r="H41" s="13"/>
      <c r="I41" s="8"/>
      <c r="J41" s="8"/>
      <c r="K41" s="8"/>
    </row>
    <row r="42" spans="1:11" ht="20.100000000000001" customHeight="1" x14ac:dyDescent="0.3">
      <c r="A42" s="5" t="str">
        <f>HYPERLINK("#'14.1.1-2 Purchased electricity'!A1", "14.1.1-2 Purchased electricity")</f>
        <v>14.1.1-2 Purchased electricity</v>
      </c>
      <c r="C42" s="8"/>
      <c r="D42" s="14" t="s">
        <v>145</v>
      </c>
      <c r="E42" s="19">
        <f ca="1">SUM(E37:E41)</f>
        <v>3346.1586963070749</v>
      </c>
      <c r="F42" s="19">
        <f ca="1">SUM(F37:F41)</f>
        <v>3344.5965329307064</v>
      </c>
      <c r="G42" s="1"/>
      <c r="H42" s="1"/>
      <c r="I42" s="1"/>
      <c r="J42" s="8"/>
      <c r="K42" s="8"/>
    </row>
    <row r="43" spans="1:11" ht="20.100000000000001" customHeight="1" x14ac:dyDescent="0.25">
      <c r="A43" s="5" t="str">
        <f>HYPERLINK("#'15 Scope 3'!A1", "15 Scope 3")</f>
        <v>15 Scope 3</v>
      </c>
      <c r="C43" s="8"/>
      <c r="D43" s="1"/>
      <c r="E43" s="1"/>
      <c r="F43" s="1"/>
      <c r="G43" s="1"/>
      <c r="H43" s="1"/>
      <c r="I43" s="1"/>
      <c r="J43" s="8"/>
      <c r="K43" s="8"/>
    </row>
    <row r="44" spans="1:11" ht="20.100000000000001" customHeight="1" x14ac:dyDescent="0.25">
      <c r="A44" s="5" t="str">
        <f>HYPERLINK("#'Calcs - Manure sent off-site'!A1", "Calcs - Manure sent off-site")</f>
        <v>Calcs - Manure sent off-site</v>
      </c>
      <c r="C44" s="8"/>
      <c r="D44" s="1"/>
      <c r="E44" s="1"/>
      <c r="F44" s="1"/>
      <c r="G44" s="1"/>
      <c r="H44" s="1"/>
      <c r="I44" s="1"/>
      <c r="J44" s="8"/>
      <c r="K44" s="8"/>
    </row>
    <row r="45" spans="1:11" ht="20.100000000000001" customHeight="1" x14ac:dyDescent="0.25">
      <c r="A45" s="5" t="str">
        <f>HYPERLINK("#'10.1.1-2 Solid waste treatment'!A1", "10.1.1-2 Solid waste treatment")</f>
        <v>10.1.1-2 Solid waste treatment</v>
      </c>
      <c r="C45" s="8"/>
      <c r="D45" s="2" t="s">
        <v>142</v>
      </c>
      <c r="E45" s="1"/>
      <c r="F45" s="1"/>
      <c r="G45" s="1"/>
      <c r="H45" s="1"/>
      <c r="I45" s="1"/>
      <c r="J45" s="8"/>
      <c r="K45" s="8"/>
    </row>
    <row r="46" spans="1:11" ht="20.100000000000001" customHeight="1" x14ac:dyDescent="0.25">
      <c r="C46" s="8"/>
      <c r="D46" s="1"/>
      <c r="E46" s="1"/>
      <c r="F46" s="1"/>
      <c r="G46" s="1"/>
      <c r="H46" s="1"/>
      <c r="I46" s="1"/>
      <c r="J46" s="1"/>
      <c r="K46" s="8"/>
    </row>
    <row r="47" spans="1:11" ht="20.100000000000001" customHeight="1" x14ac:dyDescent="0.25">
      <c r="C47" s="8"/>
      <c r="D47" s="20" t="s">
        <v>126</v>
      </c>
      <c r="E47" s="20" t="s">
        <v>143</v>
      </c>
      <c r="F47" s="1"/>
      <c r="G47" s="1"/>
      <c r="H47" s="1"/>
      <c r="I47" s="1"/>
      <c r="J47" s="1"/>
      <c r="K47" s="8"/>
    </row>
    <row r="48" spans="1:11" ht="20.100000000000001" customHeight="1" x14ac:dyDescent="0.25">
      <c r="A48" s="97" t="s">
        <v>1</v>
      </c>
      <c r="C48" s="8"/>
      <c r="D48" s="1" t="str" cm="1">
        <f t="array" ref="D48:D50">Common_InputFunctions.getOverlappingReportingPeriods(X_Cell_Enterprise_ProductionTimeframeStart,X_Cell_Enterprise_ProductionTimeframeEnd,X_Cell_Site_StartDate)</f>
        <v>01 Jan 2023 to 31 Dec 2023</v>
      </c>
      <c r="E48" s="86" t="str">
        <f>IF(ISBLANK(D48), "", "Enter value")</f>
        <v>Enter value</v>
      </c>
      <c r="F48" s="15" t="s">
        <v>144</v>
      </c>
      <c r="G48" s="1"/>
      <c r="H48" s="1"/>
      <c r="I48" s="1"/>
      <c r="J48" s="1"/>
      <c r="K48" s="8"/>
    </row>
    <row r="49" spans="1:11" ht="20.100000000000001" customHeight="1" x14ac:dyDescent="0.25">
      <c r="A49" s="5" t="str">
        <f>HYPERLINK("#'Constants - Pasture Beef'!A1", "Constants - Pasture Beef")</f>
        <v>Constants - Pasture Beef</v>
      </c>
      <c r="C49" s="8"/>
      <c r="D49" s="1" t="str">
        <v>01 Jan 2024 to 31 Dec 2024 (This reporting cycle)</v>
      </c>
      <c r="E49" s="86" t="str">
        <f t="shared" ref="E49:E52" si="1">IF(ISBLANK(D49), "", "Enter value")</f>
        <v>Enter value</v>
      </c>
      <c r="F49" s="15" t="s">
        <v>144</v>
      </c>
      <c r="G49" s="1"/>
      <c r="H49" s="1"/>
      <c r="I49" s="1"/>
      <c r="J49" s="1"/>
      <c r="K49" s="8"/>
    </row>
    <row r="50" spans="1:11" ht="20.100000000000001" customHeight="1" x14ac:dyDescent="0.25">
      <c r="A50" s="5" t="str">
        <f>HYPERLINK("#'Constants - Ag Residue'!A1", "Constants - Ag residue")</f>
        <v>Constants - Ag residue</v>
      </c>
      <c r="C50" s="8"/>
      <c r="D50" s="1" t="str">
        <v>01 Jan 2025 to 31 Dec 2025</v>
      </c>
      <c r="E50" s="86" t="str">
        <f t="shared" si="1"/>
        <v>Enter value</v>
      </c>
      <c r="F50" s="15" t="s">
        <v>144</v>
      </c>
      <c r="G50" s="1"/>
      <c r="H50" s="1"/>
      <c r="I50" s="1"/>
      <c r="J50" s="1"/>
      <c r="K50" s="8"/>
    </row>
    <row r="51" spans="1:11" ht="20.100000000000001" customHeight="1" x14ac:dyDescent="0.25">
      <c r="A51" s="5" t="str">
        <f>HYPERLINK("#'Constants - Common Livestock'!A1", "Constants - Common Livestock")</f>
        <v>Constants - Common Livestock</v>
      </c>
      <c r="C51" s="8"/>
      <c r="D51" s="1"/>
      <c r="E51" s="86" t="str">
        <f t="shared" si="1"/>
        <v/>
      </c>
      <c r="F51" s="15" t="s">
        <v>144</v>
      </c>
      <c r="G51" s="1"/>
      <c r="H51" s="1"/>
      <c r="I51" s="1"/>
      <c r="J51" s="1"/>
      <c r="K51" s="8"/>
    </row>
    <row r="52" spans="1:11" ht="20.100000000000001" customHeight="1" x14ac:dyDescent="0.25">
      <c r="A52" s="5" t="str">
        <f>HYPERLINK("#'Constants - Electricity'!A1", "Constants - Electricity")</f>
        <v>Constants - Electricity</v>
      </c>
      <c r="C52" s="8"/>
      <c r="D52" s="1"/>
      <c r="E52" s="86" t="str">
        <f t="shared" si="1"/>
        <v/>
      </c>
      <c r="F52" s="15" t="s">
        <v>144</v>
      </c>
      <c r="G52" s="1"/>
      <c r="H52" s="1"/>
      <c r="I52" s="8"/>
      <c r="J52" s="8"/>
      <c r="K52" s="8"/>
    </row>
    <row r="53" spans="1:11" ht="20.100000000000001" customHeight="1" x14ac:dyDescent="0.3">
      <c r="A53" s="5" t="str">
        <f>HYPERLINK("#'Constants - Fertiliser'!A1", "Constants - Fertiliser")</f>
        <v>Constants - Fertiliser</v>
      </c>
      <c r="C53" s="8"/>
      <c r="D53" s="14" t="s">
        <v>146</v>
      </c>
      <c r="E53" s="19">
        <f>SUM(E48:E51)</f>
        <v>0</v>
      </c>
      <c r="F53" s="1"/>
      <c r="G53" s="1"/>
      <c r="H53" s="1"/>
      <c r="I53" s="1"/>
      <c r="J53" s="1"/>
      <c r="K53" s="8"/>
    </row>
    <row r="54" spans="1:11" ht="20.100000000000001" customHeight="1" x14ac:dyDescent="0.25">
      <c r="A54" s="5" t="str">
        <f>HYPERLINK("#'Constants - Fuel'!A1", "Constants - Fuel")</f>
        <v>Constants - Fuel</v>
      </c>
      <c r="C54" s="8"/>
      <c r="D54" s="1"/>
      <c r="E54" s="1"/>
      <c r="F54" s="1"/>
      <c r="G54" s="1"/>
      <c r="H54" s="1"/>
      <c r="I54" s="1"/>
      <c r="J54" s="1"/>
      <c r="K54" s="8"/>
    </row>
    <row r="55" spans="1:11" ht="20.100000000000001" customHeight="1" x14ac:dyDescent="0.25">
      <c r="A55" s="5" t="str">
        <f>HYPERLINK("#'Constants - Scope 3'!A1", "Constants - Scope 3")</f>
        <v>Constants - Scope 3</v>
      </c>
      <c r="C55" s="8"/>
      <c r="D55" s="1"/>
      <c r="E55" s="1"/>
      <c r="F55" s="1"/>
      <c r="G55" s="1"/>
      <c r="H55" s="1"/>
      <c r="I55" s="1"/>
      <c r="J55" s="1"/>
      <c r="K55" s="8"/>
    </row>
    <row r="56" spans="1:11" ht="20.100000000000001" customHeight="1" x14ac:dyDescent="0.25">
      <c r="A56" s="5" t="str">
        <f>HYPERLINK("#'Constants - Common'!A1", "Constants - Common")</f>
        <v>Constants - Common</v>
      </c>
      <c r="C56" s="8"/>
      <c r="D56" s="2" t="s">
        <v>129</v>
      </c>
      <c r="E56" s="1"/>
      <c r="F56" s="1"/>
      <c r="G56" s="1"/>
      <c r="H56" s="1"/>
      <c r="I56" s="1"/>
      <c r="J56" s="8"/>
      <c r="K56" s="8"/>
    </row>
    <row r="57" spans="1:11" ht="20.100000000000001" customHeight="1" x14ac:dyDescent="0.25">
      <c r="A57" s="5" t="str">
        <f>HYPERLINK("#'Acknowledgements'!A1", "Acknowledgements")</f>
        <v>Acknowledgements</v>
      </c>
      <c r="C57" s="8"/>
      <c r="D57" s="1"/>
      <c r="E57" s="1"/>
      <c r="F57" s="1"/>
      <c r="G57" s="1"/>
      <c r="H57" s="1"/>
      <c r="I57" s="1"/>
      <c r="J57" s="1"/>
      <c r="K57" s="8"/>
    </row>
    <row r="58" spans="1:11" ht="20.100000000000001" customHeight="1" x14ac:dyDescent="0.25">
      <c r="A58" s="5" t="str">
        <f>HYPERLINK("#'Constants - Solid Waste'!A1", "Constants - Solid Waste")</f>
        <v>Constants - Solid Waste</v>
      </c>
      <c r="C58" s="8"/>
      <c r="D58" s="20"/>
      <c r="E58" s="20" t="s">
        <v>148</v>
      </c>
      <c r="F58" s="20" t="s">
        <v>149</v>
      </c>
      <c r="G58" s="1"/>
      <c r="H58" s="1"/>
      <c r="I58" s="1"/>
      <c r="J58" s="1"/>
      <c r="K58" s="8"/>
    </row>
    <row r="59" spans="1:11" ht="20.100000000000001" customHeight="1" x14ac:dyDescent="0.3">
      <c r="C59" s="8"/>
      <c r="D59" s="89" t="s">
        <v>147</v>
      </c>
      <c r="E59" s="87">
        <f ca="1">E42-E53</f>
        <v>3346.1586963070749</v>
      </c>
      <c r="F59" s="87">
        <f ca="1">F42-E53</f>
        <v>3344.5965329307064</v>
      </c>
      <c r="G59" s="1"/>
      <c r="H59" s="1"/>
      <c r="I59" s="1"/>
      <c r="J59" s="1"/>
      <c r="K59" s="8"/>
    </row>
    <row r="60" spans="1:11" ht="20.100000000000001" customHeight="1" x14ac:dyDescent="0.25">
      <c r="C60" s="8"/>
      <c r="D60" s="1"/>
      <c r="E60" s="1"/>
      <c r="F60" s="1"/>
      <c r="G60" s="1"/>
      <c r="H60" s="1"/>
      <c r="I60" s="1"/>
      <c r="J60" s="1"/>
      <c r="K60" s="8"/>
    </row>
    <row r="61" spans="1:11" ht="20.100000000000001" customHeight="1" x14ac:dyDescent="0.25">
      <c r="C61" s="8"/>
      <c r="D61" s="1"/>
      <c r="E61" s="1"/>
      <c r="F61" s="1"/>
      <c r="G61" s="1"/>
      <c r="H61" s="1"/>
      <c r="I61" s="1"/>
      <c r="J61" s="1"/>
      <c r="K61" s="8"/>
    </row>
    <row r="62" spans="1:11" ht="20.100000000000001" customHeight="1" x14ac:dyDescent="0.25">
      <c r="C62" s="8"/>
      <c r="D62" s="91" t="s">
        <v>177</v>
      </c>
      <c r="E62" s="1"/>
      <c r="F62" s="1"/>
      <c r="G62" s="1"/>
      <c r="H62" s="1"/>
      <c r="I62" s="1"/>
      <c r="J62" s="1"/>
      <c r="K62" s="8"/>
    </row>
    <row r="63" spans="1:11" ht="20.100000000000001" customHeight="1" x14ac:dyDescent="0.25">
      <c r="C63" s="8"/>
      <c r="D63" s="20" t="s">
        <v>152</v>
      </c>
      <c r="E63" s="20" t="s">
        <v>136</v>
      </c>
      <c r="F63" s="20" t="s">
        <v>130</v>
      </c>
      <c r="G63" s="20" t="s">
        <v>179</v>
      </c>
      <c r="H63" s="20" t="s">
        <v>134</v>
      </c>
      <c r="I63" s="20" t="s">
        <v>135</v>
      </c>
      <c r="J63" s="20" t="s">
        <v>131</v>
      </c>
      <c r="K63" s="8"/>
    </row>
    <row r="64" spans="1:11" ht="20.100000000000001" customHeight="1" x14ac:dyDescent="0.25">
      <c r="C64" s="8"/>
      <c r="D64" s="1" t="s">
        <v>182</v>
      </c>
      <c r="E64" s="1" t="s">
        <v>137</v>
      </c>
      <c r="F64" s="18">
        <f>'Input - Enterprise'!E22</f>
        <v>5</v>
      </c>
      <c r="G64" s="18">
        <f ca="1">F64/(F64+F66)</f>
        <v>6.0391865213221472E-6</v>
      </c>
      <c r="H64" s="18">
        <f ca="1">(Result_EmissionsForWholeProductionCycle_Method1/F64)*G64</f>
        <v>4.041615299388515E-3</v>
      </c>
      <c r="I64" s="18">
        <f ca="1">(Result_EmissionsForWholeProductionCycle_Method2/F64)*G64</f>
        <v>4.0397284601871811E-3</v>
      </c>
      <c r="J64" s="15" t="s">
        <v>132</v>
      </c>
      <c r="K64" s="8"/>
    </row>
    <row r="65" spans="3:11" ht="20.100000000000001" customHeight="1" x14ac:dyDescent="0.25">
      <c r="C65" s="8"/>
      <c r="D65" s="1" t="s">
        <v>183</v>
      </c>
      <c r="E65" s="1" t="s">
        <v>137</v>
      </c>
      <c r="F65" s="18">
        <f>F64</f>
        <v>5</v>
      </c>
      <c r="G65" s="18">
        <f ca="1">G64</f>
        <v>6.0391865213221472E-6</v>
      </c>
      <c r="H65" s="18">
        <f ca="1">(Result_NetEmissions_Method1/F65)*G65</f>
        <v>4.041615299388515E-3</v>
      </c>
      <c r="I65" s="18">
        <f ca="1">(Result_NetEmissions_Method2/F65)*G65</f>
        <v>4.0397284601871811E-3</v>
      </c>
      <c r="J65" s="15" t="s">
        <v>132</v>
      </c>
      <c r="K65" s="8"/>
    </row>
    <row r="66" spans="3:11" ht="20.100000000000001" customHeight="1" x14ac:dyDescent="0.25">
      <c r="C66" s="8"/>
      <c r="D66" s="1" t="s">
        <v>184</v>
      </c>
      <c r="E66" s="1" t="s">
        <v>138</v>
      </c>
      <c r="F66" s="18">
        <f ca="1">'Input - Enterprise'!E25*'Input - Enterprise'!E26</f>
        <v>827921.07619367912</v>
      </c>
      <c r="G66" s="18">
        <f ca="1">F66/(F64+F66)</f>
        <v>0.99999396081347869</v>
      </c>
      <c r="H66" s="18">
        <f ca="1">(Result_EmissionsForWholeProductionCycle_Method1/F66)*G66</f>
        <v>4.041615299388515E-3</v>
      </c>
      <c r="I66" s="18">
        <f ca="1">(Result_EmissionsForWholeProductionCycle_Method2/F66)*G66</f>
        <v>4.0397284601871811E-3</v>
      </c>
      <c r="J66" s="15" t="s">
        <v>133</v>
      </c>
      <c r="K66" s="8"/>
    </row>
    <row r="67" spans="3:11" ht="20.100000000000001" customHeight="1" x14ac:dyDescent="0.25">
      <c r="C67" s="8"/>
      <c r="D67" s="1" t="s">
        <v>185</v>
      </c>
      <c r="E67" s="1" t="s">
        <v>138</v>
      </c>
      <c r="F67" s="18">
        <f ca="1">F66</f>
        <v>827921.07619367912</v>
      </c>
      <c r="G67" s="18">
        <f ca="1">G66</f>
        <v>0.99999396081347869</v>
      </c>
      <c r="H67" s="18">
        <f ca="1">(Result_NetEmissions_Method1/F67)*G67</f>
        <v>4.041615299388515E-3</v>
      </c>
      <c r="I67" s="18">
        <f ca="1">(Result_NetEmissions_Method2/F67)*G67</f>
        <v>4.0397284601871811E-3</v>
      </c>
      <c r="J67" s="15" t="s">
        <v>133</v>
      </c>
      <c r="K67" s="8"/>
    </row>
    <row r="68" spans="3:11" ht="20.100000000000001" customHeight="1" x14ac:dyDescent="0.25">
      <c r="C68" s="8"/>
      <c r="D68" s="1" t="s">
        <v>139</v>
      </c>
      <c r="E68" s="1" t="s">
        <v>141</v>
      </c>
      <c r="F68" s="18">
        <f ca="1">'Input - Enterprise'!E25*'Input - Enterprise'!E27</f>
        <v>91.01179696172197</v>
      </c>
      <c r="G68" s="18" t="s">
        <v>140</v>
      </c>
      <c r="H68" s="18" t="s">
        <v>140</v>
      </c>
      <c r="I68" s="18" t="s">
        <v>140</v>
      </c>
      <c r="J68" s="8"/>
      <c r="K68" s="8"/>
    </row>
    <row r="69" spans="3:11" ht="20.100000000000001" customHeight="1" x14ac:dyDescent="0.25">
      <c r="C69" s="8"/>
      <c r="D69" s="1"/>
      <c r="E69" s="1"/>
      <c r="F69" s="18"/>
      <c r="G69" s="18"/>
      <c r="H69" s="18"/>
      <c r="I69" s="18"/>
      <c r="J69" s="17"/>
      <c r="K69" s="8"/>
    </row>
    <row r="70" spans="3:11" ht="20.100000000000001" customHeight="1" x14ac:dyDescent="0.25">
      <c r="C70" s="8"/>
      <c r="D70" s="91" t="s">
        <v>178</v>
      </c>
      <c r="E70" s="1"/>
      <c r="F70" s="1"/>
      <c r="G70" s="1"/>
      <c r="H70" s="1"/>
      <c r="I70" s="1"/>
      <c r="J70" s="1"/>
      <c r="K70" s="8"/>
    </row>
    <row r="71" spans="3:11" ht="20.100000000000001" customHeight="1" x14ac:dyDescent="0.25">
      <c r="C71" s="8"/>
      <c r="D71" s="20" t="s">
        <v>152</v>
      </c>
      <c r="E71" s="20" t="s">
        <v>136</v>
      </c>
      <c r="F71" s="20" t="s">
        <v>130</v>
      </c>
      <c r="G71" s="20" t="s">
        <v>180</v>
      </c>
      <c r="H71" s="20" t="s">
        <v>134</v>
      </c>
      <c r="I71" s="20" t="s">
        <v>135</v>
      </c>
      <c r="J71" s="20" t="s">
        <v>131</v>
      </c>
      <c r="K71" s="8"/>
    </row>
    <row r="72" spans="3:11" ht="20.100000000000001" customHeight="1" x14ac:dyDescent="0.25">
      <c r="C72" s="8"/>
      <c r="D72" s="1" t="s">
        <v>182</v>
      </c>
      <c r="E72" s="1" t="s">
        <v>137</v>
      </c>
      <c r="F72" s="18">
        <f>F64</f>
        <v>5</v>
      </c>
      <c r="G72" s="18">
        <f>'Input - Enterprise'!E31</f>
        <v>0.8</v>
      </c>
      <c r="H72" s="18">
        <f ca="1">(Result_EmissionsForWholeProductionCycle_Method1/F72)*G72</f>
        <v>535.38539140913201</v>
      </c>
      <c r="I72" s="18">
        <f ca="1">(Result_EmissionsForWholeProductionCycle_Method2/F72)*G72</f>
        <v>535.13544526891303</v>
      </c>
      <c r="J72" s="15" t="s">
        <v>132</v>
      </c>
      <c r="K72" s="8"/>
    </row>
    <row r="73" spans="3:11" ht="20.100000000000001" customHeight="1" x14ac:dyDescent="0.25">
      <c r="C73" s="8"/>
      <c r="D73" s="1" t="s">
        <v>183</v>
      </c>
      <c r="E73" s="1" t="s">
        <v>137</v>
      </c>
      <c r="F73" s="18">
        <f>F64</f>
        <v>5</v>
      </c>
      <c r="G73" s="18">
        <f>G72</f>
        <v>0.8</v>
      </c>
      <c r="H73" s="18">
        <f ca="1">(Result_NetEmissions_Method1/F73)*G73</f>
        <v>535.38539140913201</v>
      </c>
      <c r="I73" s="18">
        <f ca="1">(Result_NetEmissions_Method2/F73)*G73</f>
        <v>535.13544526891303</v>
      </c>
      <c r="J73" s="15" t="s">
        <v>132</v>
      </c>
      <c r="K73" s="8"/>
    </row>
    <row r="74" spans="3:11" ht="20.100000000000001" customHeight="1" x14ac:dyDescent="0.25">
      <c r="C74" s="8"/>
      <c r="D74" s="1" t="s">
        <v>184</v>
      </c>
      <c r="E74" s="1" t="s">
        <v>138</v>
      </c>
      <c r="F74" s="18">
        <f ca="1">F66</f>
        <v>827921.07619367912</v>
      </c>
      <c r="G74" s="18">
        <f>'Input - Enterprise'!E32</f>
        <v>0.2</v>
      </c>
      <c r="H74" s="18">
        <f ca="1">(Result_EmissionsForWholeProductionCycle_Method1/F74)*G74</f>
        <v>8.083279415209123E-4</v>
      </c>
      <c r="I74" s="18">
        <f ca="1">(Result_EmissionsForWholeProductionCycle_Method2/F74)*G74</f>
        <v>8.0795057140163693E-4</v>
      </c>
      <c r="J74" s="15" t="s">
        <v>133</v>
      </c>
      <c r="K74" s="8"/>
    </row>
    <row r="75" spans="3:11" ht="20.100000000000001" customHeight="1" x14ac:dyDescent="0.25">
      <c r="C75" s="8"/>
      <c r="D75" s="1" t="s">
        <v>185</v>
      </c>
      <c r="E75" s="1" t="s">
        <v>138</v>
      </c>
      <c r="F75" s="18">
        <f ca="1">F67</f>
        <v>827921.07619367912</v>
      </c>
      <c r="G75" s="18">
        <f>G74</f>
        <v>0.2</v>
      </c>
      <c r="H75" s="18">
        <f ca="1">(Result_NetEmissions_Method1/F75)*G75</f>
        <v>8.083279415209123E-4</v>
      </c>
      <c r="I75" s="18">
        <f ca="1">(Result_NetEmissions_Method2/F75)*G75</f>
        <v>8.0795057140163693E-4</v>
      </c>
      <c r="J75" s="15" t="s">
        <v>133</v>
      </c>
      <c r="K75" s="8"/>
    </row>
    <row r="76" spans="3:11" ht="15.75" x14ac:dyDescent="0.25">
      <c r="C76" s="8"/>
      <c r="D76" s="1" t="s">
        <v>139</v>
      </c>
      <c r="E76" s="1" t="s">
        <v>141</v>
      </c>
      <c r="F76" s="18">
        <f ca="1">F68</f>
        <v>91.01179696172197</v>
      </c>
      <c r="G76" s="18" t="s">
        <v>140</v>
      </c>
      <c r="H76" s="18" t="s">
        <v>140</v>
      </c>
      <c r="I76" s="18" t="s">
        <v>140</v>
      </c>
      <c r="J76" s="8"/>
      <c r="K76" s="8"/>
    </row>
    <row r="77" spans="3:11" ht="15.75" x14ac:dyDescent="0.25">
      <c r="C77" s="8"/>
      <c r="D77" s="1"/>
      <c r="E77" s="1"/>
      <c r="F77" s="1"/>
      <c r="G77" s="1"/>
      <c r="H77" s="1"/>
      <c r="I77" s="1"/>
      <c r="J77" s="1"/>
      <c r="K77" s="8"/>
    </row>
    <row r="78" spans="3:11" ht="18.75" x14ac:dyDescent="0.25">
      <c r="C78" s="8"/>
      <c r="D78" s="91" t="s">
        <v>181</v>
      </c>
      <c r="E78" s="1"/>
      <c r="F78" s="1"/>
      <c r="G78" s="1"/>
      <c r="H78" s="1"/>
      <c r="I78" s="1"/>
      <c r="J78" s="1"/>
      <c r="K78" s="8"/>
    </row>
    <row r="79" spans="3:11" ht="15.75" x14ac:dyDescent="0.25">
      <c r="C79" s="8"/>
      <c r="D79" s="20" t="s">
        <v>152</v>
      </c>
      <c r="E79" s="20" t="s">
        <v>136</v>
      </c>
      <c r="F79" s="20" t="s">
        <v>130</v>
      </c>
      <c r="G79" s="20" t="s">
        <v>180</v>
      </c>
      <c r="H79" s="20" t="s">
        <v>134</v>
      </c>
      <c r="I79" s="20" t="s">
        <v>135</v>
      </c>
      <c r="J79" s="20" t="s">
        <v>131</v>
      </c>
      <c r="K79" s="8"/>
    </row>
    <row r="80" spans="3:11" ht="15.75" x14ac:dyDescent="0.25">
      <c r="C80" s="8"/>
      <c r="D80" s="1" t="s">
        <v>150</v>
      </c>
      <c r="E80" s="1" t="s">
        <v>140</v>
      </c>
      <c r="F80" s="18">
        <f>'Input - Enterprise'!E23</f>
        <v>154.76</v>
      </c>
      <c r="G80" s="18" t="s">
        <v>140</v>
      </c>
      <c r="H80" s="18">
        <f ca="1">E59/F80</f>
        <v>21.621599226590043</v>
      </c>
      <c r="I80" s="18" t="s">
        <v>140</v>
      </c>
      <c r="J80" s="15" t="s">
        <v>153</v>
      </c>
      <c r="K80" s="8"/>
    </row>
    <row r="81" spans="3:11" ht="15.75" x14ac:dyDescent="0.25">
      <c r="C81" s="8"/>
      <c r="D81" s="1" t="s">
        <v>151</v>
      </c>
      <c r="E81" s="1" t="s">
        <v>140</v>
      </c>
      <c r="F81" s="18">
        <f>'Input - Enterprise'!E24</f>
        <v>154.86799999999999</v>
      </c>
      <c r="G81" s="18" t="s">
        <v>140</v>
      </c>
      <c r="H81" s="18" t="s">
        <v>140</v>
      </c>
      <c r="I81" s="18">
        <f ca="1">F59/F81</f>
        <v>21.596433949755319</v>
      </c>
      <c r="J81" s="15" t="s">
        <v>153</v>
      </c>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58"/>
  <sheetViews>
    <sheetView showGridLines="0" topLeftCell="A4" workbookViewId="0" zoomScale="100" zoomScaleNormal="100">
      <selection activeCell="A58" sqref="A58"/>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171</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HYPERLINK("#'Overview'!A1", "Overview")</f>
        <v>Overview</v>
      </c>
    </row>
    <row r="5" spans="1:10" ht="23.25" x14ac:dyDescent="0.25">
      <c r="A5" s="5" t="str">
        <f>HYPERLINK("#'Results'!A1", "Results")</f>
        <v>Results</v>
      </c>
      <c r="D5" s="2" t="s">
        <v>97</v>
      </c>
      <c r="E5" s="35"/>
      <c r="F5" s="35"/>
      <c r="G5" s="35"/>
    </row>
    <row r="6" spans="1:10" x14ac:dyDescent="0.25">
      <c r="D6" s="42"/>
      <c r="E6" s="35"/>
      <c r="F6" s="35"/>
      <c r="G6" s="35"/>
    </row>
    <row r="7" spans="1:10" x14ac:dyDescent="0.25">
      <c r="D7" s="1" t="s">
        <v>98</v>
      </c>
      <c r="E7" s="44" t="s">
        <v>99</v>
      </c>
      <c r="F7" s="26"/>
      <c r="G7" s="35"/>
    </row>
    <row r="8" spans="1:10" x14ac:dyDescent="0.25">
      <c r="A8" s="7" t="s">
        <v>0</v>
      </c>
      <c r="D8" s="22" t="s">
        <v>100</v>
      </c>
      <c r="E8" s="44" t="s">
        <v>101</v>
      </c>
      <c r="F8" s="35"/>
      <c r="G8" s="35"/>
    </row>
    <row r="9" spans="1:10" x14ac:dyDescent="0.25">
      <c r="A9" s="95" t="str">
        <f>HYPERLINK("#'Input - Enterprise'!A1", "Enterprise")</f>
        <v>Enterprise</v>
      </c>
      <c r="D9" s="35"/>
      <c r="E9" s="35"/>
      <c r="F9" s="35"/>
      <c r="G9" s="35"/>
    </row>
    <row r="10" spans="1:10" x14ac:dyDescent="0.25">
      <c r="A10" s="5" t="str">
        <f>HYPERLINK("#'Input - Site'!A1", "Site")</f>
        <v>Site</v>
      </c>
      <c r="D10" s="46" t="s">
        <v>102</v>
      </c>
      <c r="E10" s="47"/>
      <c r="F10" s="48"/>
      <c r="G10" s="49"/>
    </row>
    <row r="11" spans="1:10" x14ac:dyDescent="0.25">
      <c r="A11" s="5" t="str">
        <f>HYPERLINK("#'Input - Pasture Beef'!A1", "Pasture Beef")</f>
        <v>Pasture Beef</v>
      </c>
      <c r="D11" s="35"/>
      <c r="E11" s="35"/>
      <c r="F11" s="35"/>
      <c r="G11" s="35"/>
    </row>
    <row r="12" spans="1:10" x14ac:dyDescent="0.25">
      <c r="A12" s="5" t="str">
        <f>HYPERLINK("#'Input - Pasture Beef (Enteric)'!A1", "Pasture Beef (Enteric)")</f>
        <v>Pasture Beef (Enteric)</v>
      </c>
      <c r="D12" s="22" t="s">
        <v>20</v>
      </c>
      <c r="E12" s="24">
        <v>45292</v>
      </c>
      <c r="F12" s="26" t="s">
        <v>103</v>
      </c>
      <c r="G12" s="35"/>
    </row>
    <row r="13" spans="1:10" x14ac:dyDescent="0.25">
      <c r="A13" s="5" t="str">
        <f>HYPERLINK("#'Input - Livestock sales'!A1", "Livestock sales")</f>
        <v>Livestock sales</v>
      </c>
      <c r="D13" s="22" t="s">
        <v>21</v>
      </c>
      <c r="E13" s="51">
        <f>DATE(YEAR(E12)+1,MONTH(E12),DAY(E12))-1</f>
        <v>45657</v>
      </c>
      <c r="F13" s="26" t="s">
        <v>104</v>
      </c>
      <c r="G13" s="35"/>
    </row>
    <row r="14" spans="1:10" x14ac:dyDescent="0.25">
      <c r="A14" s="5" t="str">
        <f>HYPERLINK("#'Input - Beef cattle purchases'!A1", "Beef cattle purchases")</f>
        <v>Beef cattle purchases</v>
      </c>
      <c r="F14" s="35"/>
      <c r="G14" s="35"/>
    </row>
    <row r="15" spans="1:10" x14ac:dyDescent="0.25">
      <c r="A15" s="5" t="str">
        <f>HYPERLINK("#'Input - Pasture'!A1", "Pasture")</f>
        <v>Pasture</v>
      </c>
    </row>
    <row r="16" spans="1:10" ht="23.25" x14ac:dyDescent="0.25">
      <c r="A16" s="5" t="str">
        <f>HYPERLINK("#'Input - Fert Prod System'!A1", "Fert Prod System")</f>
        <v>Fert Prod System</v>
      </c>
      <c r="D16" s="2" t="s">
        <v>22</v>
      </c>
    </row>
    <row r="17" spans="1:7" x14ac:dyDescent="0.25">
      <c r="A17" s="5" t="str">
        <f>HYPERLINK("#'Input - Fertiliser'!A1", "Fertiliser")</f>
        <v>Fertiliser</v>
      </c>
    </row>
    <row r="18" spans="1:7" x14ac:dyDescent="0.25">
      <c r="A18" s="5" t="str">
        <f>HYPERLINK("#'Input - Fuel'!A1", "Fuel")</f>
        <v>Fuel</v>
      </c>
      <c r="D18" s="1" t="s">
        <v>17</v>
      </c>
      <c r="E18" s="24">
        <v>45231</v>
      </c>
      <c r="F18" s="26" t="s">
        <v>103</v>
      </c>
    </row>
    <row r="19" spans="1:7" x14ac:dyDescent="0.25">
      <c r="A19" s="5" t="str">
        <f>HYPERLINK("#'Input - Electricity'!A1", "Electricity")</f>
        <v>Electricity</v>
      </c>
      <c r="D19" s="1" t="s">
        <v>18</v>
      </c>
      <c r="E19" s="24">
        <v>45747</v>
      </c>
      <c r="F19" s="26" t="s">
        <v>103</v>
      </c>
    </row>
    <row r="20" spans="1:7" x14ac:dyDescent="0.25">
      <c r="A20" s="5" t="str">
        <f>HYPERLINK("#'Input - Farm Inputs'!A1", "Farm Inputs")</f>
        <v>Farm Inputs</v>
      </c>
      <c r="D20" s="1" t="s">
        <v>19</v>
      </c>
      <c r="E20" s="25">
        <f>DATEDIF(E18,E19+1,"m")</f>
        <v>17</v>
      </c>
      <c r="F20" s="26" t="s">
        <v>128</v>
      </c>
    </row>
    <row r="21" spans="1:7" x14ac:dyDescent="0.25">
      <c r="A21" s="5" t="str">
        <f>HYPERLINK("#'Input - Freight'!A1", "Freight")</f>
        <v>Freight</v>
      </c>
    </row>
    <row r="22" spans="1:7" x14ac:dyDescent="0.25">
      <c r="A22" s="5" t="str">
        <f>HYPERLINK("#'Input - Manure sent off-site'!A1", "Manure sent off-site")</f>
        <v>Manure sent off-site</v>
      </c>
      <c r="D22" s="1" t="s">
        <v>23</v>
      </c>
      <c r="E22" s="90">
        <f>SUM(Table_Input_LivestockSales[Total liveweight sold])*10^-3</f>
        <v>5</v>
      </c>
      <c r="G22" s="26" t="s">
        <v>29</v>
      </c>
    </row>
    <row r="23" spans="1:7" x14ac:dyDescent="0.25">
      <c r="A23" s="5" t="str">
        <f>HYPERLINK("#'Input - Solid waste'!A1", "Solid waste")</f>
        <v>Solid waste</v>
      </c>
      <c r="D23" s="1" t="s">
        <v>24</v>
      </c>
      <c r="E23" s="90">
        <f>SUM(Enterprise_PastureBeef_InputFunctions.multiplyCorrespondingCells([0]!X_Table_PastureBeef_Head_Method1, [0]!X_Table_PastureBeef_Duration_Method1, [0]!X_Table_PastureBeef_LiveweightGain_Method1))*10^-3</f>
        <v>154.76</v>
      </c>
      <c r="G23" s="26" t="s">
        <v>29</v>
      </c>
    </row>
    <row r="24" spans="1:7" x14ac:dyDescent="0.25">
      <c r="D24" s="1" t="s">
        <v>25</v>
      </c>
      <c r="E24" s="90">
        <f>SUM(Enterprise_PastureBeef_InputFunctions.multiplyCorrespondingCells([0]!X_Table_PastureBeef_Head_Method2, [0]!X_Table_PastureBeef_Duration_Method2, [0]!X_Table_PastureBeef_LiveweightGain_Method2))*10^-3</f>
        <v>154.86799999999999</v>
      </c>
      <c r="G24" s="26" t="s">
        <v>29</v>
      </c>
    </row>
    <row r="25" spans="1:7" x14ac:dyDescent="0.25">
      <c r="D25" s="1" t="s">
        <v>173</v>
      </c>
      <c r="E25" s="90">
        <f ca="1">SUM(Enterprise_PastureBeef_InputFunctions.multiplyCorrespondingCells([0]!X_Table_PastureBeef_Head_Method1, [0]!X_Table_PastureBeef_Duration_Method1, '4.2.1.1-2 Methane'!M1_Table_VS_j_k_l))*10^-3</f>
        <v>910.11796961721961</v>
      </c>
      <c r="G25" s="26" t="s">
        <v>29</v>
      </c>
    </row>
    <row r="26" spans="1:7" x14ac:dyDescent="0.25">
      <c r="A26" s="6" t="s">
        <v>2</v>
      </c>
      <c r="D26" s="1" t="s">
        <v>174</v>
      </c>
      <c r="E26" s="90">
        <f ca="1">SUM(Enterprise_PastureBeef_InputFunctions.multiplyCorrespondingCells([0]!X_Table_PastureBeef_Head_Method2, [0]!X_Table_PastureBeef_Duration_Method2, M2_Table_VS_j_k_l))*10^-3</f>
        <v>909.68545159248845</v>
      </c>
      <c r="G26" s="26" t="s">
        <v>29</v>
      </c>
    </row>
    <row r="27" spans="1:7" x14ac:dyDescent="0.25">
      <c r="A27" s="5" t="str">
        <f>HYPERLINK("#'3.2.1.1-2 Enteric Methane'!A1", "3.2.1.1-2 Enteric methane")</f>
        <v>3.2.1.1-2 Enteric methane</v>
      </c>
      <c r="D27" s="1" t="s">
        <v>26</v>
      </c>
      <c r="E27" s="28">
        <v>0.1</v>
      </c>
      <c r="G27" s="26" t="s">
        <v>172</v>
      </c>
    </row>
    <row r="28" spans="1:7" x14ac:dyDescent="0.25">
      <c r="A28" s="5" t="str">
        <f>HYPERLINK("#'4.2.1.1-2 Methane'!A1", "4.2.1.1-2 Manure methane")</f>
        <v>4.2.1.1-2 Manure methane</v>
      </c>
      <c r="D28" s="1" t="s">
        <v>27</v>
      </c>
      <c r="E28" s="28">
        <v>0.2</v>
      </c>
      <c r="G28" s="26" t="s">
        <v>172</v>
      </c>
    </row>
    <row r="29" spans="1:7" x14ac:dyDescent="0.25">
      <c r="A29" s="5" t="str">
        <f>HYPERLINK("#'4.2.1.3-4 Soil direct N20'!A1", "4.2.1.3-4 Soil direct N2O")</f>
        <v>4.2.1.3-4 Soil direct N2O</v>
      </c>
      <c r="D29" s="1" t="s">
        <v>28</v>
      </c>
      <c r="E29" s="29">
        <f>100%-E27-E28</f>
        <v>0.7</v>
      </c>
      <c r="G29" s="26" t="s">
        <v>172</v>
      </c>
    </row>
    <row r="30" spans="1:7" x14ac:dyDescent="0.25">
      <c r="A30" s="5" t="str">
        <f>HYPERLINK("#'4.2.1.5-6 Soil Atmos Dep'!A1", "4.2.1.5-6 Soil atm. deposition")</f>
        <v>4.2.1.5-6 Soil atm. deposition</v>
      </c>
    </row>
    <row r="31" spans="1:7" x14ac:dyDescent="0.25">
      <c r="A31" s="5" t="str">
        <f>HYPERLINK("#'4.2.1.7-8 Soil leach runoff'!A1", "4.2.1.7-8 Soil leach &amp; runoff")</f>
        <v>4.2.1.7-8 Soil leach &amp; runoff</v>
      </c>
      <c r="D31" s="1" t="s">
        <v>175</v>
      </c>
      <c r="E31" s="28">
        <v>0.8</v>
      </c>
      <c r="G31" s="26" t="s">
        <v>172</v>
      </c>
    </row>
    <row r="32" spans="1:7" x14ac:dyDescent="0.25">
      <c r="A32" s="5" t="str">
        <f>HYPERLINK("#'5.1.1.1-2 Inorganic fert N2O'!A1", "5.1.1.1-2 Inorganic fert N2O")</f>
        <v>5.1.1.1-2 Inorganic fert N2O</v>
      </c>
      <c r="D32" s="1" t="s">
        <v>176</v>
      </c>
      <c r="E32" s="28">
        <v>0.2</v>
      </c>
      <c r="G32" s="26" t="s">
        <v>172</v>
      </c>
    </row>
    <row r="33" spans="1:1" x14ac:dyDescent="0.25">
      <c r="A33" s="5" t="str">
        <f>HYPERLINK("#'5.1.1.3-4 Inorganic fert CO2'!A1", "5.1.1.3-4 Inorganic fert CO2")</f>
        <v>5.1.1.3-4 Inorganic fert CO2</v>
      </c>
    </row>
    <row r="34" spans="1:1" x14ac:dyDescent="0.25">
      <c r="A34" s="5" t="str">
        <f>HYPERLINK("#'5.2.1.1-2 Organic Fert N2O'!A1", "5.2.1.1-2 Organic fert N2O")</f>
        <v>5.2.1.1-2 Organic fert N2O</v>
      </c>
    </row>
    <row r="35" spans="1:1" x14ac:dyDescent="0.25">
      <c r="A35" s="5" t="str">
        <f>HYPERLINK("#'5.3.1.1-2 Lime CO2'!A1", "5.3.1.1-2 Lime CO2")</f>
        <v>5.3.1.1-2 Lime CO2</v>
      </c>
    </row>
    <row r="36" spans="1:1" x14ac:dyDescent="0.25">
      <c r="A36" s="5" t="str">
        <f>HYPERLINK("#'5.4.1.1-4 Atmos deposition'!A1", "5.4.1.1-4 Atmos. deposition")</f>
        <v>5.4.1.1-4 Atmos. deposition</v>
      </c>
    </row>
    <row r="37" spans="1:1" x14ac:dyDescent="0.25">
      <c r="A37" s="5" t="str">
        <f>HYPERLINK("#'5.5.1.1-2 Leaching and runoff'!A1", "5.5.1.1-2 Leaching &amp; runoff")</f>
        <v>5.5.1.1-2 Leaching &amp; runoff</v>
      </c>
    </row>
    <row r="38" spans="1:1" x14ac:dyDescent="0.25">
      <c r="A38" s="5" t="str">
        <f>HYPERLINK("#'6.2.1.1-2 Pasture residue N2O'!A1", "6.2.1.1-2 Pasture residue N2O")</f>
        <v>6.2.1.1-2 Pasture residue N2O</v>
      </c>
    </row>
    <row r="39" spans="1:1" x14ac:dyDescent="0.25">
      <c r="A39" s="5" t="str">
        <f>HYPERLINK("#'6.3.1.1-2 Leach runoff pasture'!A1", "6.3.1.1-2 Leach &amp; runoff (pasture)")</f>
        <v>6.3.1.1-2 Leach &amp; runoff (pasture)</v>
      </c>
    </row>
    <row r="40" spans="1:1" x14ac:dyDescent="0.25">
      <c r="A40" s="5" t="str">
        <f>HYPERLINK("#'8.1.1.1-2 Transport fuel'!A1", "8.1.1.1-2 Transport fuel")</f>
        <v>8.1.1.1-2 Transport fuel</v>
      </c>
    </row>
    <row r="41" spans="1:1" x14ac:dyDescent="0.25">
      <c r="A41" s="5" t="str">
        <f>HYPERLINK("#'8.2.1.1-2 Stationary fuel'!A1", "8.2.1.1-2 Stationary fuel")</f>
        <v>8.2.1.1-2 Stationary fuel</v>
      </c>
    </row>
    <row r="42" spans="1:1" x14ac:dyDescent="0.25">
      <c r="A42" s="5" t="str">
        <f>HYPERLINK("#'14.1.1-2 Purchased electricity'!A1", "14.1.1-2 Purchased electricity")</f>
        <v>14.1.1-2 Purchased electricity</v>
      </c>
    </row>
    <row r="43" spans="1:1" x14ac:dyDescent="0.25">
      <c r="A43" s="5" t="str">
        <f>HYPERLINK("#'15 Scope 3'!A1", "15 Scope 3")</f>
        <v>15 Scope 3</v>
      </c>
    </row>
    <row r="44" spans="1:1" x14ac:dyDescent="0.25">
      <c r="A44" s="5" t="str">
        <f>HYPERLINK("#'Calcs - Manure sent off-site'!A1", "Calcs - Manure sent off-site")</f>
        <v>Calcs - Manure sent off-site</v>
      </c>
    </row>
    <row r="45" spans="1:1" x14ac:dyDescent="0.25">
      <c r="A45" s="5" t="str">
        <f>HYPERLINK("#'10.1.1-2 Solid waste treatment'!A1", "10.1.1-2 Solid waste treatment")</f>
        <v>10.1.1-2 Solid waste treatment</v>
      </c>
    </row>
    <row r="48" spans="1:1"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workbookViewId="0" zoomScale="100" zoomScaleNormal="100">
      <selection activeCell="A58" sqref="A58"/>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96</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HYPERLINK("#'Overview'!A1", "Overview")</f>
        <v>Overview</v>
      </c>
      <c r="C4" s="40"/>
      <c r="D4" s="40"/>
      <c r="E4" s="40"/>
      <c r="F4" s="40"/>
      <c r="G4" s="40"/>
      <c r="H4" s="40"/>
      <c r="I4" s="40"/>
      <c r="J4" s="40"/>
      <c r="K4" s="40"/>
    </row>
    <row r="5" spans="1:24" ht="20.100000000000001" customHeight="1" x14ac:dyDescent="0.25">
      <c r="A5" s="5" t="str">
        <f>HYPERLINK("#'Results'!A1", "Results")</f>
        <v>Results</v>
      </c>
      <c r="D5" s="2" t="s">
        <v>105</v>
      </c>
      <c r="N5" s="41"/>
    </row>
    <row r="6" spans="1:24" ht="20.100000000000001" customHeight="1" x14ac:dyDescent="0.25">
      <c r="A6"/>
      <c r="N6" s="43"/>
    </row>
    <row r="7" spans="1:24" ht="20.100000000000001" customHeight="1" x14ac:dyDescent="0.25">
      <c r="A7"/>
      <c r="D7" s="53" t="s">
        <v>106</v>
      </c>
      <c r="E7" s="54"/>
      <c r="F7" s="54"/>
      <c r="G7" s="55"/>
    </row>
    <row r="8" spans="1:24" ht="20.100000000000001" customHeight="1" x14ac:dyDescent="0.25">
      <c r="A8" s="7" t="s">
        <v>0</v>
      </c>
      <c r="D8" s="56" t="s">
        <v>107</v>
      </c>
      <c r="E8" s="57"/>
      <c r="F8" s="57"/>
      <c r="G8" s="58"/>
    </row>
    <row r="9" spans="1:24" ht="20.100000000000001" customHeight="1" x14ac:dyDescent="0.25">
      <c r="A9" s="5" t="str">
        <f>HYPERLINK("#'Input - Enterprise'!A1", "Enterprise")</f>
        <v>Enterprise</v>
      </c>
      <c r="D9" s="1"/>
      <c r="E9" s="59"/>
      <c r="F9" s="26"/>
      <c r="N9" s="45"/>
    </row>
    <row r="10" spans="1:24" ht="20.100000000000001" customHeight="1" x14ac:dyDescent="0.25">
      <c r="A10" s="95" t="str">
        <f>HYPERLINK("#'Input - Site'!A1", "Site")</f>
        <v>Site</v>
      </c>
      <c r="D10" s="1" t="s">
        <v>108</v>
      </c>
      <c r="E10" s="23" t="s">
        <v>109</v>
      </c>
      <c r="F10" s="26" t="s">
        <v>110</v>
      </c>
      <c r="N10" s="45"/>
    </row>
    <row r="11" spans="1:24" ht="20.100000000000001" customHeight="1" x14ac:dyDescent="0.25">
      <c r="A11" s="5" t="str">
        <f>HYPERLINK("#'Input - Pasture Beef'!A1", "Pasture Beef")</f>
        <v>Pasture Beef</v>
      </c>
      <c r="D11" s="1" t="s">
        <v>111</v>
      </c>
      <c r="E11" s="23" t="s">
        <v>112</v>
      </c>
      <c r="F11" s="26" t="s">
        <v>110</v>
      </c>
      <c r="G11" s="1"/>
      <c r="N11" s="50"/>
    </row>
    <row r="12" spans="1:24" ht="20.100000000000001" customHeight="1" x14ac:dyDescent="0.25">
      <c r="A12" s="5" t="str">
        <f>HYPERLINK("#'Input - Pasture Beef (Enteric)'!A1", "Pasture Beef (Enteric)")</f>
        <v>Pasture Beef (Enteric)</v>
      </c>
      <c r="D12" s="1" t="s">
        <v>113</v>
      </c>
      <c r="E12" s="23" t="s">
        <v>114</v>
      </c>
      <c r="F12" s="26" t="s">
        <v>110</v>
      </c>
    </row>
    <row r="13" spans="1:24" ht="20.100000000000001" customHeight="1" x14ac:dyDescent="0.25">
      <c r="A13" s="5" t="str">
        <f>HYPERLINK("#'Input - Livestock sales'!A1", "Livestock sales")</f>
        <v>Livestock sales</v>
      </c>
      <c r="D13" s="1" t="s">
        <v>46</v>
      </c>
      <c r="E13" s="44">
        <v>307.7</v>
      </c>
      <c r="F13" s="26" t="s">
        <v>115</v>
      </c>
      <c r="N13" s="52"/>
      <c r="O13" s="52"/>
    </row>
    <row r="14" spans="1:24" ht="20.100000000000001" customHeight="1" x14ac:dyDescent="0.25">
      <c r="A14" s="5" t="str">
        <f>HYPERLINK("#'Input - Beef cattle purchases'!A1", "Beef cattle purchases")</f>
        <v>Beef cattle purchases</v>
      </c>
      <c r="D14" s="1" t="s">
        <v>116</v>
      </c>
      <c r="E14" s="44">
        <v>18</v>
      </c>
      <c r="F14" s="26" t="s">
        <v>117</v>
      </c>
      <c r="N14" s="52"/>
      <c r="O14" s="52"/>
    </row>
    <row r="15" spans="1:24" ht="20.100000000000001" customHeight="1" x14ac:dyDescent="0.25">
      <c r="A15" s="5" t="str">
        <f>HYPERLINK("#'Input - Pasture'!A1", "Pasture")</f>
        <v>Pasture</v>
      </c>
      <c r="D15" s="1" t="s">
        <v>118</v>
      </c>
      <c r="E15" s="44">
        <v>601</v>
      </c>
      <c r="F15" s="26" t="s">
        <v>119</v>
      </c>
      <c r="N15" s="52"/>
      <c r="O15" s="52"/>
    </row>
    <row r="16" spans="1:24" ht="20.100000000000001" customHeight="1" x14ac:dyDescent="0.25">
      <c r="A16" s="5" t="str">
        <f>HYPERLINK("#'Input - Fert Prod System'!A1", "Fert Prod System")</f>
        <v>Fert Prod System</v>
      </c>
      <c r="D16" s="22" t="s">
        <v>120</v>
      </c>
      <c r="E16" s="44">
        <v>1326</v>
      </c>
      <c r="F16" s="26" t="s">
        <v>119</v>
      </c>
      <c r="N16" s="52"/>
      <c r="O16" s="52"/>
    </row>
    <row r="17" spans="1:25" ht="20.100000000000001" customHeight="1" x14ac:dyDescent="0.25">
      <c r="A17" s="5" t="str">
        <f>HYPERLINK("#'Input - Fertiliser'!A1", "Fertiliser")</f>
        <v>Fertiliser</v>
      </c>
      <c r="D17" s="1" t="s">
        <v>121</v>
      </c>
      <c r="E17" s="44">
        <v>7</v>
      </c>
      <c r="F17" s="26" t="s">
        <v>122</v>
      </c>
    </row>
    <row r="18" spans="1:25" ht="20.100000000000001" customHeight="1" x14ac:dyDescent="0.25">
      <c r="A18" s="5" t="str">
        <f>HYPERLINK("#'Input - Fuel'!A1", "Fuel")</f>
        <v>Fuel</v>
      </c>
      <c r="D18" s="22" t="s">
        <v>123</v>
      </c>
      <c r="E18" s="25">
        <f>E15/E16</f>
        <v>0.45324283559577677</v>
      </c>
      <c r="F18" s="26"/>
    </row>
    <row r="19" spans="1:25" ht="20.100000000000001" customHeight="1" x14ac:dyDescent="0.25">
      <c r="A19" s="5" t="str">
        <f>HYPERLINK("#'Input - Electricity'!A1", "Electricity")</f>
        <v>Electricity</v>
      </c>
      <c r="D19" s="22" t="s">
        <v>74</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HYPERLINK("#'Input - Farm Inputs'!A1", "Farm Inputs")</f>
        <v>Farm Inputs</v>
      </c>
      <c r="D20" s="1" t="s">
        <v>41</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HYPERLINK("#'Input - Freight'!A1", "Freight")</f>
        <v>Freight</v>
      </c>
      <c r="D21" s="1" t="s">
        <v>124</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HYPERLINK("#'Input - Manure sent off-site'!A1", "Manure sent off-site")</f>
        <v>Manure sent off-site</v>
      </c>
      <c r="D22" s="1" t="s">
        <v>78</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HYPERLINK("#'Input - Solid waste'!A1", "Solid waste")</f>
        <v>Solid waste</v>
      </c>
    </row>
    <row r="24" spans="1:25" ht="20.100000000000001" customHeight="1" x14ac:dyDescent="0.25">
      <c r="A24"/>
    </row>
    <row r="25" spans="1:25" ht="20.100000000000001" customHeight="1" x14ac:dyDescent="0.25">
      <c r="A25"/>
      <c r="N25" s="43"/>
    </row>
    <row r="26" spans="1:25" ht="20.100000000000001" customHeight="1" x14ac:dyDescent="0.25">
      <c r="A26" s="6" t="s">
        <v>2</v>
      </c>
    </row>
    <row r="27" spans="1:25" ht="20.100000000000001" customHeight="1" x14ac:dyDescent="0.25">
      <c r="A27" s="5" t="str">
        <f>HYPERLINK("#'3.2.1.1-2 Enteric Methane'!A1", "3.2.1.1-2 Enteric methane")</f>
        <v>3.2.1.1-2 Enteric methane</v>
      </c>
    </row>
    <row r="28" spans="1:25" ht="20.100000000000001" customHeight="1" x14ac:dyDescent="0.25">
      <c r="A28" s="5" t="str">
        <f>HYPERLINK("#'4.2.1.1-2 Methane'!A1", "4.2.1.1-2 Manure methane")</f>
        <v>4.2.1.1-2 Manure methane</v>
      </c>
    </row>
    <row r="29" spans="1:25" ht="20.100000000000001" customHeight="1" x14ac:dyDescent="0.25">
      <c r="A29" s="5" t="str">
        <f>HYPERLINK("#'4.2.1.3-4 Soil direct N20'!A1", "4.2.1.3-4 Soil direct N2O")</f>
        <v>4.2.1.3-4 Soil direct N2O</v>
      </c>
    </row>
    <row r="30" spans="1:25" ht="20.100000000000001" customHeight="1" x14ac:dyDescent="0.25">
      <c r="A30" s="5" t="str">
        <f>HYPERLINK("#'4.2.1.5-6 Soil Atmos Dep'!A1", "4.2.1.5-6 Soil atm. deposition")</f>
        <v>4.2.1.5-6 Soil atm. deposition</v>
      </c>
      <c r="L30" s="61"/>
      <c r="M30" s="61"/>
      <c r="N30" s="61"/>
      <c r="O30" s="61"/>
      <c r="P30" s="61"/>
      <c r="Q30" s="61"/>
      <c r="R30" s="61"/>
      <c r="S30" s="61"/>
      <c r="T30" s="61"/>
      <c r="U30" s="61"/>
      <c r="V30" s="61"/>
      <c r="W30" s="61"/>
      <c r="X30" s="61"/>
      <c r="Y30" s="61"/>
    </row>
    <row r="31" spans="1:25" ht="20.100000000000001" customHeight="1" x14ac:dyDescent="0.25">
      <c r="A31" s="5" t="str">
        <f>HYPERLINK("#'4.2.1.7-8 Soil leach runoff'!A1", "4.2.1.7-8 Soil leach &amp; runoff")</f>
        <v>4.2.1.7-8 Soil leach &amp; runoff</v>
      </c>
      <c r="L31" s="62"/>
      <c r="M31" s="62"/>
      <c r="N31" s="62"/>
      <c r="O31" s="62"/>
      <c r="P31" s="62"/>
      <c r="Q31" s="62"/>
      <c r="R31" s="62"/>
      <c r="S31" s="62"/>
      <c r="T31" s="62"/>
      <c r="U31" s="62"/>
      <c r="V31" s="62"/>
      <c r="W31" s="62"/>
      <c r="X31" s="62"/>
      <c r="Y31" s="62"/>
    </row>
    <row r="32" spans="1:25" ht="20.100000000000001" customHeight="1" x14ac:dyDescent="0.25">
      <c r="A32" s="5" t="str">
        <f>HYPERLINK("#'5.1.1.1-2 Inorganic fert N2O'!A1", "5.1.1.1-2 Inorganic fert N2O")</f>
        <v>5.1.1.1-2 Inorganic fert N2O</v>
      </c>
      <c r="L32" s="62"/>
      <c r="M32" s="62"/>
      <c r="N32" s="62"/>
      <c r="O32" s="62"/>
      <c r="P32" s="62"/>
      <c r="Q32" s="62"/>
      <c r="R32" s="62"/>
      <c r="S32" s="62"/>
      <c r="T32" s="62"/>
      <c r="U32" s="62"/>
      <c r="V32" s="62"/>
      <c r="W32" s="62"/>
      <c r="X32" s="62"/>
      <c r="Y32" s="62"/>
    </row>
    <row r="33" spans="1:25" ht="20.100000000000001" customHeight="1" x14ac:dyDescent="0.25">
      <c r="A33" s="5" t="str">
        <f>HYPERLINK("#'5.1.1.3-4 Inorganic fert CO2'!A1", "5.1.1.3-4 Inorganic fert CO2")</f>
        <v>5.1.1.3-4 Inorganic fert CO2</v>
      </c>
      <c r="L33" s="62"/>
      <c r="M33" s="62"/>
      <c r="N33" s="62"/>
      <c r="O33" s="62"/>
      <c r="P33" s="62"/>
      <c r="Q33" s="62"/>
      <c r="R33" s="62"/>
      <c r="S33" s="62"/>
      <c r="T33" s="62"/>
      <c r="U33" s="62"/>
      <c r="V33" s="62"/>
      <c r="W33" s="62"/>
      <c r="X33" s="62"/>
      <c r="Y33" s="62"/>
    </row>
    <row r="34" spans="1:25" ht="20.100000000000001" customHeight="1" x14ac:dyDescent="0.25">
      <c r="A34" s="5" t="str">
        <f>HYPERLINK("#'5.2.1.1-2 Organic Fert N2O'!A1", "5.2.1.1-2 Organic fert N2O")</f>
        <v>5.2.1.1-2 Organic fert N2O</v>
      </c>
      <c r="J34" s="64"/>
      <c r="K34" s="65"/>
      <c r="L34" s="62"/>
      <c r="M34" s="62"/>
      <c r="N34" s="62"/>
      <c r="O34" s="62"/>
      <c r="P34" s="62"/>
      <c r="Q34" s="62"/>
      <c r="R34" s="62"/>
      <c r="S34" s="62"/>
      <c r="T34" s="62"/>
      <c r="U34" s="62"/>
      <c r="V34" s="62"/>
      <c r="W34" s="62"/>
      <c r="X34" s="62"/>
      <c r="Y34" s="62"/>
    </row>
    <row r="35" spans="1:25" ht="20.100000000000001" customHeight="1" x14ac:dyDescent="0.25">
      <c r="A35" s="5" t="str">
        <f>HYPERLINK("#'5.3.1.1-2 Lime CO2'!A1", "5.3.1.1-2 Lime CO2")</f>
        <v>5.3.1.1-2 Lime CO2</v>
      </c>
      <c r="J35" s="64"/>
      <c r="K35" s="65"/>
      <c r="L35" s="62"/>
      <c r="M35" s="62"/>
      <c r="N35" s="62"/>
      <c r="O35" s="62"/>
      <c r="P35" s="62"/>
      <c r="Q35" s="62"/>
      <c r="R35" s="62"/>
      <c r="S35" s="62"/>
      <c r="T35" s="62"/>
      <c r="U35" s="62"/>
      <c r="V35" s="62"/>
      <c r="W35" s="62"/>
      <c r="X35" s="62"/>
      <c r="Y35" s="62"/>
    </row>
    <row r="36" spans="1:25" ht="20.100000000000001" customHeight="1" x14ac:dyDescent="0.25">
      <c r="A36" s="5" t="str">
        <f>HYPERLINK("#'5.4.1.1-4 Atmos deposition'!A1", "5.4.1.1-4 Atmos. deposition")</f>
        <v>5.4.1.1-4 Atmos. deposition</v>
      </c>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5" t="str">
        <f>HYPERLINK("#'5.5.1.1-2 Leaching and runoff'!A1", "5.5.1.1-2 Leaching &amp; runoff")</f>
        <v>5.5.1.1-2 Leaching &amp; runoff</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HYPERLINK("#'6.2.1.1-2 Pasture residue N2O'!A1", "6.2.1.1-2 Pasture residue N2O")</f>
        <v>6.2.1.1-2 Pasture residue N2O</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HYPERLINK("#'6.3.1.1-2 Leach runoff pasture'!A1", "6.3.1.1-2 Leach &amp; runoff (pasture)")</f>
        <v>6.3.1.1-2 Leach &amp; runoff (pasture)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HYPERLINK("#'8.1.1.1-2 Transport fuel'!A1", "8.1.1.1-2 Transport fuel")</f>
        <v>8.1.1.1-2 Transport fuel</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HYPERLINK("#'8.2.1.1-2 Stationary fuel'!A1", "8.2.1.1-2 Stationary fuel")</f>
        <v>8.2.1.1-2 Stationary fuel</v>
      </c>
    </row>
    <row r="42" spans="1:25" ht="20.100000000000001" customHeight="1" x14ac:dyDescent="0.25">
      <c r="A42" s="5" t="str">
        <f>HYPERLINK("#'14.1.1-2 Purchased electricity'!A1", "14.1.1-2 Purchased electricity")</f>
        <v>14.1.1-2 Purchased electricity</v>
      </c>
    </row>
    <row r="43" spans="1:25" ht="20.100000000000001" customHeight="1" x14ac:dyDescent="0.25">
      <c r="A43" s="5" t="str">
        <f>HYPERLINK("#'15 Scope 3'!A1", "15 Scope 3")</f>
        <v>15 Scope 3</v>
      </c>
    </row>
    <row r="44" spans="1:25" ht="20.100000000000001" customHeight="1" x14ac:dyDescent="0.25">
      <c r="A44" s="5" t="str">
        <f>HYPERLINK("#'Calcs - Manure sent off-site'!A1", "Calcs - Manure sent off-site")</f>
        <v>Calcs - Manure sent off-site</v>
      </c>
    </row>
    <row r="45" spans="1:25" ht="20.100000000000001" customHeight="1" x14ac:dyDescent="0.25">
      <c r="A45" s="5" t="str">
        <f>HYPERLINK("#'10.1.1-2 Solid waste treatment'!A1", "10.1.1-2 Solid waste treatment")</f>
        <v>10.1.1-2 Solid waste treatment</v>
      </c>
      <c r="D45" s="2"/>
    </row>
    <row r="46" spans="1:25" ht="20.100000000000001" customHeight="1" x14ac:dyDescent="0.25">
      <c r="A46"/>
      <c r="D46" s="2"/>
    </row>
    <row r="47" spans="1:25" ht="20.100000000000001" customHeight="1" x14ac:dyDescent="0.25">
      <c r="A47"/>
      <c r="D47" s="73"/>
      <c r="E47" s="73"/>
      <c r="F47" s="73"/>
      <c r="G47" s="73"/>
      <c r="H47" s="73"/>
    </row>
    <row r="48" spans="1:25" ht="20.100000000000001" customHeight="1" x14ac:dyDescent="0.25">
      <c r="A48" s="97" t="s">
        <v>1</v>
      </c>
      <c r="D48" s="74"/>
      <c r="E48" s="74"/>
      <c r="F48" s="75"/>
      <c r="G48" s="75"/>
      <c r="H48" s="74"/>
    </row>
    <row r="49" spans="1:8" ht="20.100000000000001" customHeight="1" x14ac:dyDescent="0.25">
      <c r="A49" s="5" t="str">
        <f>HYPERLINK("#'Constants - Pasture Beef'!A1", "Constants - Pasture Beef")</f>
        <v>Constants - Pasture Beef</v>
      </c>
      <c r="D49" s="74"/>
      <c r="E49" s="74"/>
      <c r="F49" s="75"/>
      <c r="G49" s="75"/>
      <c r="H49" s="74"/>
    </row>
    <row r="50" spans="1:8" ht="20.100000000000001" customHeight="1" x14ac:dyDescent="0.25">
      <c r="A50" s="5" t="str">
        <f>HYPERLINK("#'Constants - Ag Residue'!A1", "Constants - Ag residue")</f>
        <v>Constants - Ag residue</v>
      </c>
      <c r="D50" s="74"/>
      <c r="E50" s="74"/>
      <c r="F50" s="75"/>
      <c r="G50" s="75"/>
      <c r="H50" s="74"/>
    </row>
    <row r="51" spans="1:8" ht="20.100000000000001" customHeight="1" x14ac:dyDescent="0.25">
      <c r="A51" s="5" t="str">
        <f>HYPERLINK("#'Constants - Common Livestock'!A1", "Constants - Common Livestock")</f>
        <v>Constants - Common Livestock</v>
      </c>
      <c r="D51" s="76"/>
      <c r="E51" s="77"/>
      <c r="F51" s="77"/>
      <c r="G51" s="77"/>
      <c r="H51" s="78"/>
    </row>
    <row r="52" spans="1:8" ht="20.100000000000001" customHeight="1" x14ac:dyDescent="0.25">
      <c r="A52" s="5" t="str">
        <f>HYPERLINK("#'Constants - Electricity'!A1", "Constants - Electricity")</f>
        <v>Constants - Electricity</v>
      </c>
    </row>
    <row r="53" spans="1:8" ht="20.100000000000001" customHeight="1" x14ac:dyDescent="0.25">
      <c r="A53" s="5" t="str">
        <f>HYPERLINK("#'Constants - Fertiliser'!A1", "Constants - Fertiliser")</f>
        <v>Constants - Fertiliser</v>
      </c>
    </row>
    <row r="54" spans="1:8" ht="20.100000000000001" customHeight="1" x14ac:dyDescent="0.25">
      <c r="A54" s="5" t="str">
        <f>HYPERLINK("#'Constants - Fuel'!A1", "Constants - Fuel")</f>
        <v>Constants - Fuel</v>
      </c>
      <c r="G54" s="79"/>
    </row>
    <row r="55" spans="1:8" ht="20.100000000000001" customHeight="1" x14ac:dyDescent="0.25">
      <c r="A55" s="5" t="str">
        <f>HYPERLINK("#'Constants - Scope 3'!A1", "Constants - Scope 3")</f>
        <v>Constants - Scope 3</v>
      </c>
      <c r="D55" s="2"/>
    </row>
    <row r="56" spans="1:8" ht="20.100000000000001" customHeight="1" x14ac:dyDescent="0.25">
      <c r="A56" s="5" t="str">
        <f>HYPERLINK("#'Constants - Common'!A1", "Constants - Common")</f>
        <v>Constants - Common</v>
      </c>
    </row>
    <row r="57" spans="1:8" ht="20.100000000000001" customHeight="1" x14ac:dyDescent="0.25">
      <c r="A57" s="5" t="str">
        <f>HYPERLINK("#'Acknowledgements'!A1", "Acknowledgements")</f>
        <v>Acknowledgements</v>
      </c>
      <c r="D57" s="80"/>
      <c r="F57" s="81"/>
    </row>
    <row r="58" spans="1:8" ht="20.100000000000001" customHeight="1" x14ac:dyDescent="0.25">
      <c r="A58" s="5" t="str">
        <f>HYPERLINK("#'Constants - Solid Waste'!A1", "Constants - Solid Waste")</f>
        <v>Constants - Solid Waste</v>
      </c>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0581-3103-42F7-8FBB-4A776FA3698F}">
  <dimension ref="A1:AA334"/>
  <sheetViews>
    <sheetView showGridLines="0" topLeftCell="A145"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4" customWidth="1"/>
    <col min="19" max="24" width="30.7109375" style="94" customWidth="1"/>
    <col min="25" max="25" width="4.7109375" style="94" customWidth="1"/>
  </cols>
  <sheetData>
    <row r="1" spans="1:25" s="16" customFormat="1" ht="30" customHeight="1" x14ac:dyDescent="0.35">
      <c r="A1" s="16" t="e" vm="1">
        <v>#VALUE!</v>
      </c>
      <c r="C1" s="16" t="s">
        <v>202</v>
      </c>
      <c r="Q1" s="94"/>
      <c r="R1" s="94"/>
      <c r="S1" s="94"/>
      <c r="T1" s="94"/>
      <c r="U1" s="94"/>
      <c r="V1" s="94"/>
      <c r="W1" s="94"/>
      <c r="X1" s="94"/>
      <c r="Y1" s="94"/>
    </row>
    <row r="2" spans="1:25" s="3" customFormat="1" ht="20.100000000000001" customHeight="1" x14ac:dyDescent="0.25">
      <c r="A2"/>
      <c r="Q2" s="94"/>
      <c r="R2" s="94"/>
      <c r="S2" s="94"/>
      <c r="T2" s="94"/>
      <c r="U2" s="94"/>
      <c r="V2" s="94"/>
      <c r="W2" s="94"/>
      <c r="X2" s="94"/>
      <c r="Y2" s="94"/>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HYPERLINK("#'Overview'!A1", "Overview")</f>
        <v>Overview</v>
      </c>
    </row>
    <row r="5" spans="1:25" ht="20.100000000000001" customHeight="1" x14ac:dyDescent="0.25">
      <c r="A5" s="5" t="str">
        <f>HYPERLINK("#'Results'!A1", "Results")</f>
        <v>Results</v>
      </c>
      <c r="D5" s="2" t="s">
        <v>203</v>
      </c>
      <c r="P5" s="35"/>
      <c r="T5" s="32"/>
    </row>
    <row r="6" spans="1:25" ht="20.100000000000001" customHeight="1" x14ac:dyDescent="0.25">
      <c r="P6" s="35"/>
      <c r="T6" s="32"/>
    </row>
    <row r="7" spans="1:25" ht="20.100000000000001" customHeight="1" x14ac:dyDescent="0.25">
      <c r="D7" s="1" t="s">
        <v>108</v>
      </c>
      <c r="E7" s="25" t="str">
        <f>X_Cell_Site_State</f>
        <v>Western Australia</v>
      </c>
      <c r="P7" s="35"/>
      <c r="T7" s="32"/>
    </row>
    <row r="8" spans="1:25" ht="20.100000000000001" customHeight="1" x14ac:dyDescent="0.25">
      <c r="A8" s="7" t="s">
        <v>0</v>
      </c>
      <c r="D8" s="1" t="s">
        <v>204</v>
      </c>
      <c r="E8" s="23" t="s">
        <v>205</v>
      </c>
      <c r="F8" s="26" t="s">
        <v>110</v>
      </c>
      <c r="P8" s="35"/>
      <c r="T8" s="32"/>
    </row>
    <row r="9" spans="1:25" ht="20.100000000000001" customHeight="1" x14ac:dyDescent="0.25">
      <c r="A9" s="5" t="str">
        <f>HYPERLINK("#'Input - Enterprise'!A1", "Enterprise")</f>
        <v>Enterprise</v>
      </c>
      <c r="D9" s="1" t="s">
        <v>206</v>
      </c>
      <c r="E9" s="23" t="s">
        <v>207</v>
      </c>
      <c r="F9" s="26" t="s">
        <v>110</v>
      </c>
      <c r="T9" s="32"/>
    </row>
    <row r="10" spans="1:25" ht="20.100000000000001" customHeight="1" x14ac:dyDescent="0.25">
      <c r="A10" s="5" t="str">
        <f>HYPERLINK("#'Input - Site'!A1", "Site")</f>
        <v>Site</v>
      </c>
      <c r="T10" s="32"/>
    </row>
    <row r="11" spans="1:25" ht="20.100000000000001" customHeight="1" x14ac:dyDescent="0.25">
      <c r="A11" s="95" t="str">
        <f>HYPERLINK("#'Input - Pasture Beef'!A1", "Pasture Beef")</f>
        <v>Pasture Beef</v>
      </c>
      <c r="T11" s="32"/>
    </row>
    <row r="12" spans="1:25" ht="20.100000000000001" customHeight="1" x14ac:dyDescent="0.25">
      <c r="A12" s="5" t="str">
        <f>HYPERLINK("#'Input - Pasture Beef (Enteric)'!A1", "Pasture Beef (Enteric)")</f>
        <v>Pasture Beef (Enteric)</v>
      </c>
      <c r="T12" s="32"/>
    </row>
    <row r="13" spans="1:25" ht="20.100000000000001" customHeight="1" x14ac:dyDescent="0.25">
      <c r="A13" s="5" t="str">
        <f>HYPERLINK("#'Input - Livestock sales'!A1", "Livestock sales")</f>
        <v>Livestock sales</v>
      </c>
      <c r="D13" s="46" t="s">
        <v>208</v>
      </c>
      <c r="E13" s="48"/>
      <c r="F13" s="48"/>
      <c r="G13" s="49"/>
      <c r="T13" s="52"/>
    </row>
    <row r="14" spans="1:25" ht="20.100000000000001" customHeight="1" x14ac:dyDescent="0.25">
      <c r="A14" s="5" t="str">
        <f>HYPERLINK("#'Input - Beef cattle purchases'!A1", "Beef cattle purchases")</f>
        <v>Beef cattle purchases</v>
      </c>
      <c r="T14" s="52"/>
    </row>
    <row r="15" spans="1:25" ht="20.100000000000001" customHeight="1" x14ac:dyDescent="0.25">
      <c r="A15" s="5" t="str">
        <f>HYPERLINK("#'Input - Pasture'!A1", "Pasture")</f>
        <v>Pasture</v>
      </c>
      <c r="D15" s="91" t="s">
        <v>209</v>
      </c>
      <c r="T15" s="52"/>
    </row>
    <row r="16" spans="1:25" ht="20.100000000000001" customHeight="1" x14ac:dyDescent="0.25">
      <c r="A16" s="5" t="str">
        <f>HYPERLINK("#'Input - Fert Prod System'!A1", "Fert Prod System")</f>
        <v>Fert Prod System</v>
      </c>
      <c r="D16" s="96" t="s">
        <v>210</v>
      </c>
      <c r="E16" s="96" t="s">
        <v>211</v>
      </c>
      <c r="F16" s="96" t="s">
        <v>201</v>
      </c>
      <c r="G16" s="96" t="s">
        <v>212</v>
      </c>
      <c r="H16" s="96" t="s">
        <v>213</v>
      </c>
      <c r="I16" s="96" t="s">
        <v>214</v>
      </c>
      <c r="J16" s="96" t="s">
        <v>215</v>
      </c>
      <c r="K16" s="96" t="s">
        <v>216</v>
      </c>
      <c r="L16" s="96" t="s">
        <v>217</v>
      </c>
      <c r="M16" s="96" t="s">
        <v>218</v>
      </c>
      <c r="N16" s="96" t="s">
        <v>219</v>
      </c>
      <c r="T16" s="52"/>
    </row>
    <row r="17" spans="1:20" ht="20.100000000000001" customHeight="1" x14ac:dyDescent="0.25">
      <c r="A17" s="5" t="str">
        <f>HYPERLINK("#'Input - Fertiliser'!A1", "Fertiliser")</f>
        <v>Fertiliser</v>
      </c>
      <c r="D17" s="1" t="s">
        <v>220</v>
      </c>
      <c r="E17" s="25">
        <v>91.25</v>
      </c>
      <c r="F17" s="25">
        <v>91.25</v>
      </c>
      <c r="G17" s="25">
        <v>91.25</v>
      </c>
      <c r="H17" s="25">
        <v>91.25</v>
      </c>
      <c r="I17" s="25">
        <v>91.25</v>
      </c>
      <c r="J17" s="25">
        <v>91.25</v>
      </c>
      <c r="K17" s="25">
        <v>91.25</v>
      </c>
      <c r="L17" s="25">
        <v>91.25</v>
      </c>
      <c r="M17" s="25">
        <v>91.25</v>
      </c>
      <c r="N17" s="25">
        <v>91.25</v>
      </c>
      <c r="O17" s="26" t="s">
        <v>122</v>
      </c>
      <c r="T17" s="32"/>
    </row>
    <row r="18" spans="1:20" ht="20.100000000000001" customHeight="1" x14ac:dyDescent="0.25">
      <c r="A18" s="5" t="str">
        <f>HYPERLINK("#'Input - Fuel'!A1", "Fuel")</f>
        <v>Fuel</v>
      </c>
      <c r="D18" s="1" t="s">
        <v>221</v>
      </c>
      <c r="E18" s="25">
        <v>91.25</v>
      </c>
      <c r="F18" s="25">
        <v>91.25</v>
      </c>
      <c r="G18" s="25">
        <v>91.25</v>
      </c>
      <c r="H18" s="25">
        <v>91.25</v>
      </c>
      <c r="I18" s="25">
        <v>91.25</v>
      </c>
      <c r="J18" s="25">
        <v>91.25</v>
      </c>
      <c r="K18" s="25">
        <v>91.25</v>
      </c>
      <c r="L18" s="25">
        <v>91.25</v>
      </c>
      <c r="M18" s="25">
        <v>91.25</v>
      </c>
      <c r="N18" s="25">
        <v>91.25</v>
      </c>
      <c r="O18" s="26" t="s">
        <v>122</v>
      </c>
      <c r="T18" s="32"/>
    </row>
    <row r="19" spans="1:20" ht="20.100000000000001" customHeight="1" x14ac:dyDescent="0.25">
      <c r="A19" s="5" t="str">
        <f>HYPERLINK("#'Input - Electricity'!A1", "Electricity")</f>
        <v>Electricity</v>
      </c>
      <c r="D19" s="1" t="s">
        <v>222</v>
      </c>
      <c r="E19" s="25">
        <v>91.25</v>
      </c>
      <c r="F19" s="25">
        <v>91.25</v>
      </c>
      <c r="G19" s="25">
        <v>91.25</v>
      </c>
      <c r="H19" s="25">
        <v>91.25</v>
      </c>
      <c r="I19" s="25">
        <v>91.25</v>
      </c>
      <c r="J19" s="25">
        <v>91.25</v>
      </c>
      <c r="K19" s="25">
        <v>91.25</v>
      </c>
      <c r="L19" s="25">
        <v>91.25</v>
      </c>
      <c r="M19" s="25">
        <v>91.25</v>
      </c>
      <c r="N19" s="25">
        <v>91.25</v>
      </c>
      <c r="O19" s="26" t="s">
        <v>122</v>
      </c>
      <c r="T19" s="32"/>
    </row>
    <row r="20" spans="1:20" ht="20.100000000000001" customHeight="1" x14ac:dyDescent="0.25">
      <c r="A20" s="5" t="str">
        <f>HYPERLINK("#'Input - Farm Inputs'!A1", "Farm Inputs")</f>
        <v>Farm Inputs</v>
      </c>
      <c r="D20" s="1" t="s">
        <v>223</v>
      </c>
      <c r="E20" s="25">
        <v>91.25</v>
      </c>
      <c r="F20" s="25">
        <v>91.25</v>
      </c>
      <c r="G20" s="25">
        <v>91.25</v>
      </c>
      <c r="H20" s="25">
        <v>91.25</v>
      </c>
      <c r="I20" s="25">
        <v>91.25</v>
      </c>
      <c r="J20" s="25">
        <v>91.25</v>
      </c>
      <c r="K20" s="25">
        <v>91.25</v>
      </c>
      <c r="L20" s="25">
        <v>91.25</v>
      </c>
      <c r="M20" s="25">
        <v>91.25</v>
      </c>
      <c r="N20" s="25">
        <v>91.25</v>
      </c>
      <c r="O20" s="26" t="s">
        <v>122</v>
      </c>
      <c r="T20" s="32"/>
    </row>
    <row r="21" spans="1:20" ht="20.100000000000001" customHeight="1" x14ac:dyDescent="0.25">
      <c r="A21" s="5" t="str">
        <f>HYPERLINK("#'Input - Freight'!A1", "Freight")</f>
        <v>Freight</v>
      </c>
      <c r="T21" s="32"/>
    </row>
    <row r="22" spans="1:20" ht="20.100000000000001" customHeight="1" x14ac:dyDescent="0.25">
      <c r="A22" s="5" t="str">
        <f>HYPERLINK("#'Input - Manure sent off-site'!A1", "Manure sent off-site")</f>
        <v>Manure sent off-site</v>
      </c>
      <c r="D22" s="96" t="s">
        <v>224</v>
      </c>
      <c r="E22" s="96" t="s">
        <v>211</v>
      </c>
      <c r="F22" s="96" t="s">
        <v>201</v>
      </c>
      <c r="G22" s="96" t="s">
        <v>212</v>
      </c>
      <c r="H22" s="96" t="s">
        <v>213</v>
      </c>
      <c r="I22" s="96" t="s">
        <v>214</v>
      </c>
      <c r="J22" s="96" t="s">
        <v>215</v>
      </c>
      <c r="K22" s="96" t="s">
        <v>216</v>
      </c>
      <c r="L22" s="96" t="s">
        <v>217</v>
      </c>
      <c r="M22" s="96" t="s">
        <v>218</v>
      </c>
      <c r="N22" s="96" t="s">
        <v>219</v>
      </c>
      <c r="T22" s="32"/>
    </row>
    <row r="23" spans="1:20" ht="20.100000000000001" customHeight="1" x14ac:dyDescent="0.25">
      <c r="A23" s="5" t="str">
        <f>HYPERLINK("#'Input - Solid waste'!A1", "Solid waste")</f>
        <v>Solid waste</v>
      </c>
      <c r="D23" s="1" t="str">
        <f>TEXT(X_Cell_Site_StartDate, "mmmm yyyy")</f>
        <v>January 2024</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122</v>
      </c>
      <c r="T23" s="32"/>
    </row>
    <row r="24" spans="1:20" ht="20.100000000000001" customHeight="1" x14ac:dyDescent="0.25">
      <c r="D24" s="1" t="str">
        <f>TEXT(EDATE(X_Cell_Site_StartDate,1), "mmmm yyyy")</f>
        <v>February 2024</v>
      </c>
      <c r="E24" s="86">
        <f t="shared" si="0"/>
        <v>29</v>
      </c>
      <c r="F24" s="86">
        <f t="shared" si="0"/>
        <v>29</v>
      </c>
      <c r="G24" s="86">
        <f t="shared" si="0"/>
        <v>29</v>
      </c>
      <c r="H24" s="86">
        <f t="shared" si="0"/>
        <v>29</v>
      </c>
      <c r="I24" s="86">
        <f t="shared" si="0"/>
        <v>29</v>
      </c>
      <c r="J24" s="86">
        <f t="shared" si="0"/>
        <v>29</v>
      </c>
      <c r="K24" s="86">
        <f t="shared" si="0"/>
        <v>29</v>
      </c>
      <c r="L24" s="86">
        <f t="shared" si="0"/>
        <v>29</v>
      </c>
      <c r="M24" s="86">
        <f t="shared" si="0"/>
        <v>29</v>
      </c>
      <c r="N24" s="86">
        <f t="shared" si="0"/>
        <v>29</v>
      </c>
      <c r="O24" s="26" t="s">
        <v>122</v>
      </c>
      <c r="T24" s="32"/>
    </row>
    <row r="25" spans="1:20" ht="20.100000000000001" customHeight="1" x14ac:dyDescent="0.25">
      <c r="D25" s="1" t="str">
        <f>TEXT(EDATE(X_Cell_Site_StartDate,2), "mmmm yyyy")</f>
        <v>March 2024</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122</v>
      </c>
      <c r="T25" s="32"/>
    </row>
    <row r="26" spans="1:20" ht="20.100000000000001" customHeight="1" x14ac:dyDescent="0.25">
      <c r="A26" s="6" t="s">
        <v>2</v>
      </c>
      <c r="D26" s="1" t="str">
        <f>TEXT(EDATE(X_Cell_Site_StartDate,3), "mmmm yyyy")</f>
        <v>April 2024</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122</v>
      </c>
      <c r="T26" s="32"/>
    </row>
    <row r="27" spans="1:20" ht="20.100000000000001" customHeight="1" x14ac:dyDescent="0.25">
      <c r="A27" s="5" t="str">
        <f>HYPERLINK("#'3.2.1.1-2 Enteric Methane'!A1", "3.2.1.1-2 Enteric methane")</f>
        <v>3.2.1.1-2 Enteric methane</v>
      </c>
      <c r="D27" s="1" t="str">
        <f>TEXT(EDATE(X_Cell_Site_StartDate,4), "mmmm yyyy")</f>
        <v>May 2024</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122</v>
      </c>
      <c r="T27" s="32"/>
    </row>
    <row r="28" spans="1:20" ht="20.100000000000001" customHeight="1" x14ac:dyDescent="0.25">
      <c r="A28" s="5" t="str">
        <f>HYPERLINK("#'4.2.1.1-2 Methane'!A1", "4.2.1.1-2 Manure methane")</f>
        <v>4.2.1.1-2 Manure methane</v>
      </c>
      <c r="D28" s="1" t="str">
        <f>TEXT(EDATE(X_Cell_Site_StartDate,5), "mmmm yyyy")</f>
        <v>June 2024</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122</v>
      </c>
      <c r="T28" s="32"/>
    </row>
    <row r="29" spans="1:20" ht="20.100000000000001" customHeight="1" x14ac:dyDescent="0.25">
      <c r="A29" s="5" t="str">
        <f>HYPERLINK("#'4.2.1.3-4 Soil direct N20'!A1", "4.2.1.3-4 Soil direct N2O")</f>
        <v>4.2.1.3-4 Soil direct N2O</v>
      </c>
      <c r="D29" s="1" t="str">
        <f>TEXT(EDATE(X_Cell_Site_StartDate,6), "mmmm yyyy")</f>
        <v>July 2024</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122</v>
      </c>
      <c r="T29" s="32"/>
    </row>
    <row r="30" spans="1:20" ht="20.100000000000001" customHeight="1" x14ac:dyDescent="0.25">
      <c r="A30" s="5" t="str">
        <f>HYPERLINK("#'4.2.1.5-6 Soil Atmos Dep'!A1", "4.2.1.5-6 Soil atm. deposition")</f>
        <v>4.2.1.5-6 Soil atm. deposition</v>
      </c>
      <c r="D30" s="1" t="str">
        <f>TEXT(EDATE(X_Cell_Site_StartDate,7), "mmmm yyyy")</f>
        <v>August 2024</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122</v>
      </c>
      <c r="T30" s="32"/>
    </row>
    <row r="31" spans="1:20" ht="20.100000000000001" customHeight="1" x14ac:dyDescent="0.25">
      <c r="A31" s="5" t="str">
        <f>HYPERLINK("#'4.2.1.7-8 Soil leach runoff'!A1", "4.2.1.7-8 Soil leach &amp; runoff")</f>
        <v>4.2.1.7-8 Soil leach &amp; runoff</v>
      </c>
      <c r="D31" s="1" t="str">
        <f>TEXT(EDATE(X_Cell_Site_StartDate,8), "mmmm yyyy")</f>
        <v>September 2024</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122</v>
      </c>
      <c r="T31" s="32"/>
    </row>
    <row r="32" spans="1:20" ht="20.100000000000001" customHeight="1" x14ac:dyDescent="0.25">
      <c r="A32" s="5" t="str">
        <f>HYPERLINK("#'5.1.1.1-2 Inorganic fert N2O'!A1", "5.1.1.1-2 Inorganic fert N2O")</f>
        <v>5.1.1.1-2 Inorganic fert N2O</v>
      </c>
      <c r="D32" s="1" t="str">
        <f>TEXT(EDATE(X_Cell_Site_StartDate,9), "mmmm yyyy")</f>
        <v>October 2024</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122</v>
      </c>
      <c r="T32" s="32"/>
    </row>
    <row r="33" spans="1:20" ht="20.100000000000001" customHeight="1" x14ac:dyDescent="0.25">
      <c r="A33" s="5" t="str">
        <f>HYPERLINK("#'5.1.1.3-4 Inorganic fert CO2'!A1", "5.1.1.3-4 Inorganic fert CO2")</f>
        <v>5.1.1.3-4 Inorganic fert CO2</v>
      </c>
      <c r="D33" s="1" t="str">
        <f>TEXT(EDATE(X_Cell_Site_StartDate,10), "mmmm yyyy")</f>
        <v>November 2024</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122</v>
      </c>
      <c r="T33" s="32"/>
    </row>
    <row r="34" spans="1:20" ht="20.100000000000001" customHeight="1" x14ac:dyDescent="0.25">
      <c r="A34" s="5" t="str">
        <f>HYPERLINK("#'5.2.1.1-2 Organic Fert N2O'!A1", "5.2.1.1-2 Organic fert N2O")</f>
        <v>5.2.1.1-2 Organic fert N2O</v>
      </c>
      <c r="D34" s="1" t="str">
        <f>TEXT(EDATE(X_Cell_Site_StartDate,11), "mmmm yyyy")</f>
        <v>December 2024</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122</v>
      </c>
      <c r="T34" s="32"/>
    </row>
    <row r="35" spans="1:20" ht="20.100000000000001" customHeight="1" x14ac:dyDescent="0.25">
      <c r="A35" s="5" t="str">
        <f>HYPERLINK("#'5.3.1.1-2 Lime CO2'!A1", "5.3.1.1-2 Lime CO2")</f>
        <v>5.3.1.1-2 Lime CO2</v>
      </c>
      <c r="T35" s="32"/>
    </row>
    <row r="36" spans="1:20" ht="20.100000000000001" customHeight="1" x14ac:dyDescent="0.25">
      <c r="A36" s="5" t="str">
        <f>HYPERLINK("#'5.4.1.1-4 Atmos deposition'!A1", "5.4.1.1-4 Atmos. deposition")</f>
        <v>5.4.1.1-4 Atmos. deposition</v>
      </c>
      <c r="T36" s="32"/>
    </row>
    <row r="37" spans="1:20" ht="20.100000000000001" customHeight="1" x14ac:dyDescent="0.25">
      <c r="A37" s="5" t="str">
        <f>HYPERLINK("#'5.5.1.1-2 Leaching and runoff'!A1", "5.5.1.1-2 Leaching &amp; runoff")</f>
        <v>5.5.1.1-2 Leaching &amp; runoff</v>
      </c>
      <c r="D37" s="91" t="s">
        <v>225</v>
      </c>
      <c r="T37" s="32"/>
    </row>
    <row r="38" spans="1:20" ht="20.100000000000001" customHeight="1" x14ac:dyDescent="0.25">
      <c r="A38" s="5" t="str">
        <f>HYPERLINK("#'6.2.1.1-2 Pasture residue N2O'!A1", "6.2.1.1-2 Pasture residue N2O")</f>
        <v>6.2.1.1-2 Pasture residue N2O</v>
      </c>
      <c r="D38" s="96" t="s">
        <v>226</v>
      </c>
      <c r="E38" s="96" t="s">
        <v>211</v>
      </c>
      <c r="F38" s="96" t="s">
        <v>201</v>
      </c>
      <c r="G38" s="96" t="s">
        <v>212</v>
      </c>
      <c r="H38" s="96" t="s">
        <v>213</v>
      </c>
      <c r="I38" s="96" t="s">
        <v>214</v>
      </c>
      <c r="J38" s="96" t="s">
        <v>215</v>
      </c>
      <c r="K38" s="96" t="s">
        <v>216</v>
      </c>
      <c r="L38" s="96" t="s">
        <v>217</v>
      </c>
      <c r="M38" s="96" t="s">
        <v>218</v>
      </c>
      <c r="N38" s="96" t="s">
        <v>219</v>
      </c>
      <c r="T38" s="32"/>
    </row>
    <row r="39" spans="1:20" ht="20.100000000000001" customHeight="1" x14ac:dyDescent="0.25">
      <c r="A39" s="5" t="str">
        <f>HYPERLINK("#'6.3.1.1-2 Leach runoff pasture'!A1", "6.3.1.1-2 Leach &amp; runoff (pasture)")</f>
        <v>6.3.1.1-2 Leach &amp; runoff (pasture)</v>
      </c>
      <c r="D39" s="1" t="s">
        <v>220</v>
      </c>
      <c r="E39" s="86">
        <v>100</v>
      </c>
      <c r="F39" s="86">
        <v>100</v>
      </c>
      <c r="G39" s="86">
        <v>100</v>
      </c>
      <c r="H39" s="86">
        <v>100</v>
      </c>
      <c r="I39" s="86">
        <v>100</v>
      </c>
      <c r="J39" s="86">
        <v>100</v>
      </c>
      <c r="K39" s="86">
        <v>100</v>
      </c>
      <c r="L39" s="86">
        <v>100</v>
      </c>
      <c r="M39" s="86">
        <v>100</v>
      </c>
      <c r="N39" s="86">
        <v>100</v>
      </c>
      <c r="O39" s="26" t="s">
        <v>225</v>
      </c>
      <c r="T39" s="32"/>
    </row>
    <row r="40" spans="1:20" ht="20.100000000000001" customHeight="1" x14ac:dyDescent="0.25">
      <c r="A40" s="5" t="str">
        <f>HYPERLINK("#'8.1.1.1-2 Transport fuel'!A1", "8.1.1.1-2 Transport fuel")</f>
        <v>8.1.1.1-2 Transport fuel</v>
      </c>
      <c r="D40" s="1" t="s">
        <v>221</v>
      </c>
      <c r="E40" s="86">
        <v>100</v>
      </c>
      <c r="F40" s="86">
        <v>100</v>
      </c>
      <c r="G40" s="86">
        <v>100</v>
      </c>
      <c r="H40" s="86">
        <v>100</v>
      </c>
      <c r="I40" s="86">
        <v>100</v>
      </c>
      <c r="J40" s="86">
        <v>100</v>
      </c>
      <c r="K40" s="86">
        <v>100</v>
      </c>
      <c r="L40" s="86">
        <v>100</v>
      </c>
      <c r="M40" s="86">
        <v>100</v>
      </c>
      <c r="N40" s="86">
        <v>100</v>
      </c>
      <c r="O40" s="26" t="s">
        <v>225</v>
      </c>
      <c r="T40" s="32"/>
    </row>
    <row r="41" spans="1:20" ht="20.100000000000001" customHeight="1" x14ac:dyDescent="0.25">
      <c r="A41" s="5" t="str">
        <f>HYPERLINK("#'8.2.1.1-2 Stationary fuel'!A1", "8.2.1.1-2 Stationary fuel")</f>
        <v>8.2.1.1-2 Stationary fuel</v>
      </c>
      <c r="D41" s="1" t="s">
        <v>222</v>
      </c>
      <c r="E41" s="86">
        <v>100</v>
      </c>
      <c r="F41" s="86">
        <v>100</v>
      </c>
      <c r="G41" s="86">
        <v>100</v>
      </c>
      <c r="H41" s="86">
        <v>100</v>
      </c>
      <c r="I41" s="86">
        <v>100</v>
      </c>
      <c r="J41" s="86">
        <v>100</v>
      </c>
      <c r="K41" s="86">
        <v>100</v>
      </c>
      <c r="L41" s="86">
        <v>100</v>
      </c>
      <c r="M41" s="86">
        <v>100</v>
      </c>
      <c r="N41" s="86">
        <v>100</v>
      </c>
      <c r="O41" s="26" t="s">
        <v>225</v>
      </c>
      <c r="T41" s="32"/>
    </row>
    <row r="42" spans="1:20" ht="20.100000000000001" customHeight="1" x14ac:dyDescent="0.25">
      <c r="A42" s="5" t="str">
        <f>HYPERLINK("#'14.1.1-2 Purchased electricity'!A1", "14.1.1-2 Purchased electricity")</f>
        <v>14.1.1-2 Purchased electricity</v>
      </c>
      <c r="D42" s="1" t="s">
        <v>223</v>
      </c>
      <c r="E42" s="86">
        <v>100</v>
      </c>
      <c r="F42" s="86">
        <v>100</v>
      </c>
      <c r="G42" s="86">
        <v>100</v>
      </c>
      <c r="H42" s="86">
        <v>100</v>
      </c>
      <c r="I42" s="86">
        <v>100</v>
      </c>
      <c r="J42" s="86">
        <v>100</v>
      </c>
      <c r="K42" s="86">
        <v>100</v>
      </c>
      <c r="L42" s="86">
        <v>100</v>
      </c>
      <c r="M42" s="86">
        <v>100</v>
      </c>
      <c r="N42" s="86">
        <v>100</v>
      </c>
      <c r="O42" s="26" t="s">
        <v>225</v>
      </c>
      <c r="T42" s="32"/>
    </row>
    <row r="43" spans="1:20" ht="20.100000000000001" customHeight="1" x14ac:dyDescent="0.25">
      <c r="A43" s="5" t="str">
        <f>HYPERLINK("#'15 Scope 3'!A1", "15 Scope 3")</f>
        <v>15 Scope 3</v>
      </c>
      <c r="O43" s="26"/>
      <c r="T43" s="32"/>
    </row>
    <row r="44" spans="1:20" ht="20.100000000000001" customHeight="1" x14ac:dyDescent="0.25">
      <c r="A44" s="5" t="str">
        <f>HYPERLINK("#'Calcs - Manure sent off-site'!A1", "Calcs - Manure sent off-site")</f>
        <v>Calcs - Manure sent off-site</v>
      </c>
      <c r="D44" s="96" t="s">
        <v>227</v>
      </c>
      <c r="E44" s="96" t="s">
        <v>211</v>
      </c>
      <c r="F44" s="96" t="s">
        <v>201</v>
      </c>
      <c r="G44" s="96" t="s">
        <v>212</v>
      </c>
      <c r="H44" s="96" t="s">
        <v>213</v>
      </c>
      <c r="I44" s="96" t="s">
        <v>214</v>
      </c>
      <c r="J44" s="96" t="s">
        <v>215</v>
      </c>
      <c r="K44" s="96" t="s">
        <v>216</v>
      </c>
      <c r="L44" s="96" t="s">
        <v>217</v>
      </c>
      <c r="M44" s="96" t="s">
        <v>218</v>
      </c>
      <c r="N44" s="96" t="s">
        <v>219</v>
      </c>
      <c r="O44" s="26"/>
      <c r="T44" s="32"/>
    </row>
    <row r="45" spans="1:20" ht="20.100000000000001" customHeight="1" x14ac:dyDescent="0.25">
      <c r="A45" s="5" t="str">
        <f>HYPERLINK("#'10.1.1-2 Solid waste treatment'!A1", "10.1.1-2 Solid waste treatment")</f>
        <v>10.1.1-2 Solid waste treatment</v>
      </c>
      <c r="D45" s="1" t="str">
        <f>TEXT(X_Cell_Site_StartDate, "mmmm yyyy")</f>
        <v>January 2024</v>
      </c>
      <c r="E45" s="86">
        <v>100</v>
      </c>
      <c r="F45" s="86">
        <v>100</v>
      </c>
      <c r="G45" s="86">
        <v>100</v>
      </c>
      <c r="H45" s="86">
        <v>100</v>
      </c>
      <c r="I45" s="86">
        <v>100</v>
      </c>
      <c r="J45" s="86">
        <v>100</v>
      </c>
      <c r="K45" s="86">
        <v>100</v>
      </c>
      <c r="L45" s="86">
        <v>100</v>
      </c>
      <c r="M45" s="86">
        <v>100</v>
      </c>
      <c r="N45" s="86">
        <v>100</v>
      </c>
      <c r="O45" s="26" t="s">
        <v>225</v>
      </c>
      <c r="T45" s="32"/>
    </row>
    <row r="46" spans="1:20" ht="20.100000000000001" customHeight="1" x14ac:dyDescent="0.25">
      <c r="D46" s="1" t="str">
        <f>TEXT(EDATE(X_Cell_Site_StartDate,1), "mmmm yyyy")</f>
        <v>February 2024</v>
      </c>
      <c r="E46" s="86">
        <v>100</v>
      </c>
      <c r="F46" s="86">
        <v>100</v>
      </c>
      <c r="G46" s="86">
        <v>100</v>
      </c>
      <c r="H46" s="86">
        <v>100</v>
      </c>
      <c r="I46" s="86">
        <v>100</v>
      </c>
      <c r="J46" s="86">
        <v>100</v>
      </c>
      <c r="K46" s="86">
        <v>100</v>
      </c>
      <c r="L46" s="86">
        <v>100</v>
      </c>
      <c r="M46" s="86">
        <v>100</v>
      </c>
      <c r="N46" s="86">
        <v>100</v>
      </c>
      <c r="O46" s="26" t="s">
        <v>225</v>
      </c>
      <c r="T46" s="32"/>
    </row>
    <row r="47" spans="1:20" ht="20.100000000000001" customHeight="1" x14ac:dyDescent="0.25">
      <c r="D47" s="1" t="str">
        <f>TEXT(EDATE(X_Cell_Site_StartDate,2), "mmmm yyyy")</f>
        <v>March 2024</v>
      </c>
      <c r="E47" s="86">
        <v>100</v>
      </c>
      <c r="F47" s="86">
        <v>100</v>
      </c>
      <c r="G47" s="86">
        <v>100</v>
      </c>
      <c r="H47" s="86">
        <v>100</v>
      </c>
      <c r="I47" s="86">
        <v>100</v>
      </c>
      <c r="J47" s="86">
        <v>100</v>
      </c>
      <c r="K47" s="86">
        <v>100</v>
      </c>
      <c r="L47" s="86">
        <v>100</v>
      </c>
      <c r="M47" s="86">
        <v>100</v>
      </c>
      <c r="N47" s="86">
        <v>100</v>
      </c>
      <c r="O47" s="26" t="s">
        <v>225</v>
      </c>
      <c r="T47" s="32"/>
    </row>
    <row r="48" spans="1:20" ht="20.100000000000001" customHeight="1" x14ac:dyDescent="0.25">
      <c r="A48" s="97" t="s">
        <v>1</v>
      </c>
      <c r="D48" s="1" t="str">
        <f>TEXT(EDATE(X_Cell_Site_StartDate,3), "mmmm yyyy")</f>
        <v>April 2024</v>
      </c>
      <c r="E48" s="86">
        <v>100</v>
      </c>
      <c r="F48" s="86">
        <v>100</v>
      </c>
      <c r="G48" s="86">
        <v>100</v>
      </c>
      <c r="H48" s="86">
        <v>100</v>
      </c>
      <c r="I48" s="86">
        <v>100</v>
      </c>
      <c r="J48" s="86">
        <v>100</v>
      </c>
      <c r="K48" s="86">
        <v>100</v>
      </c>
      <c r="L48" s="86">
        <v>100</v>
      </c>
      <c r="M48" s="86">
        <v>100</v>
      </c>
      <c r="N48" s="86">
        <v>100</v>
      </c>
      <c r="O48" s="26" t="s">
        <v>225</v>
      </c>
      <c r="T48" s="32"/>
    </row>
    <row r="49" spans="1:20" ht="20.100000000000001" customHeight="1" x14ac:dyDescent="0.25">
      <c r="A49" s="5" t="str">
        <f>HYPERLINK("#'Constants - Pasture Beef'!A1", "Constants - Pasture Beef")</f>
        <v>Constants - Pasture Beef</v>
      </c>
      <c r="D49" s="1" t="str">
        <f>TEXT(EDATE(X_Cell_Site_StartDate,4), "mmmm yyyy")</f>
        <v>May 2024</v>
      </c>
      <c r="E49" s="86">
        <v>100</v>
      </c>
      <c r="F49" s="86">
        <v>100</v>
      </c>
      <c r="G49" s="86">
        <v>100</v>
      </c>
      <c r="H49" s="86">
        <v>100</v>
      </c>
      <c r="I49" s="86">
        <v>100</v>
      </c>
      <c r="J49" s="86">
        <v>100</v>
      </c>
      <c r="K49" s="86">
        <v>100</v>
      </c>
      <c r="L49" s="86">
        <v>100</v>
      </c>
      <c r="M49" s="86">
        <v>100</v>
      </c>
      <c r="N49" s="86">
        <v>100</v>
      </c>
      <c r="O49" s="26" t="s">
        <v>225</v>
      </c>
      <c r="T49" s="32"/>
    </row>
    <row r="50" spans="1:20" ht="20.100000000000001" customHeight="1" x14ac:dyDescent="0.25">
      <c r="A50" s="5" t="str">
        <f>HYPERLINK("#'Constants - Ag Residue'!A1", "Constants - Ag residue")</f>
        <v>Constants - Ag residue</v>
      </c>
      <c r="D50" s="1" t="str">
        <f>TEXT(EDATE(X_Cell_Site_StartDate,5), "mmmm yyyy")</f>
        <v>June 2024</v>
      </c>
      <c r="E50" s="86">
        <v>100</v>
      </c>
      <c r="F50" s="86">
        <v>100</v>
      </c>
      <c r="G50" s="86">
        <v>100</v>
      </c>
      <c r="H50" s="86">
        <v>100</v>
      </c>
      <c r="I50" s="86">
        <v>100</v>
      </c>
      <c r="J50" s="86">
        <v>100</v>
      </c>
      <c r="K50" s="86">
        <v>100</v>
      </c>
      <c r="L50" s="86">
        <v>100</v>
      </c>
      <c r="M50" s="86">
        <v>100</v>
      </c>
      <c r="N50" s="86">
        <v>100</v>
      </c>
      <c r="O50" s="26" t="s">
        <v>225</v>
      </c>
      <c r="P50" s="35"/>
      <c r="T50" s="32"/>
    </row>
    <row r="51" spans="1:20" ht="20.100000000000001" customHeight="1" x14ac:dyDescent="0.25">
      <c r="A51" s="5" t="str">
        <f>HYPERLINK("#'Constants - Common Livestock'!A1", "Constants - Common Livestock")</f>
        <v>Constants - Common Livestock</v>
      </c>
      <c r="D51" s="1" t="str">
        <f>TEXT(EDATE(X_Cell_Site_StartDate,6), "mmmm yyyy")</f>
        <v>July 2024</v>
      </c>
      <c r="E51" s="86">
        <v>100</v>
      </c>
      <c r="F51" s="86">
        <v>100</v>
      </c>
      <c r="G51" s="86">
        <v>100</v>
      </c>
      <c r="H51" s="86">
        <v>100</v>
      </c>
      <c r="I51" s="86">
        <v>100</v>
      </c>
      <c r="J51" s="86">
        <v>100</v>
      </c>
      <c r="K51" s="86">
        <v>100</v>
      </c>
      <c r="L51" s="86">
        <v>100</v>
      </c>
      <c r="M51" s="86">
        <v>100</v>
      </c>
      <c r="N51" s="86">
        <v>100</v>
      </c>
      <c r="O51" s="26" t="s">
        <v>225</v>
      </c>
      <c r="P51" s="35"/>
      <c r="T51" s="32"/>
    </row>
    <row r="52" spans="1:20" ht="20.100000000000001" customHeight="1" x14ac:dyDescent="0.25">
      <c r="A52" s="5" t="str">
        <f>HYPERLINK("#'Constants - Electricity'!A1", "Constants - Electricity")</f>
        <v>Constants - Electricity</v>
      </c>
      <c r="D52" s="1" t="str">
        <f>TEXT(EDATE(X_Cell_Site_StartDate,7), "mmmm yyyy")</f>
        <v>August 2024</v>
      </c>
      <c r="E52" s="86">
        <v>100</v>
      </c>
      <c r="F52" s="86">
        <v>100</v>
      </c>
      <c r="G52" s="86">
        <v>100</v>
      </c>
      <c r="H52" s="86">
        <v>100</v>
      </c>
      <c r="I52" s="86">
        <v>100</v>
      </c>
      <c r="J52" s="86">
        <v>100</v>
      </c>
      <c r="K52" s="86">
        <v>100</v>
      </c>
      <c r="L52" s="86">
        <v>100</v>
      </c>
      <c r="M52" s="86">
        <v>100</v>
      </c>
      <c r="N52" s="86">
        <v>100</v>
      </c>
      <c r="O52" s="26" t="s">
        <v>225</v>
      </c>
      <c r="P52" s="35"/>
      <c r="T52" s="32"/>
    </row>
    <row r="53" spans="1:20" ht="20.100000000000001" customHeight="1" x14ac:dyDescent="0.25">
      <c r="A53" s="5" t="str">
        <f>HYPERLINK("#'Constants - Fertiliser'!A1", "Constants - Fertiliser")</f>
        <v>Constants - Fertiliser</v>
      </c>
      <c r="D53" s="1" t="str">
        <f>TEXT(EDATE(X_Cell_Site_StartDate,8), "mmmm yyyy")</f>
        <v>September 2024</v>
      </c>
      <c r="E53" s="86">
        <v>100</v>
      </c>
      <c r="F53" s="86">
        <v>100</v>
      </c>
      <c r="G53" s="86">
        <v>100</v>
      </c>
      <c r="H53" s="86">
        <v>100</v>
      </c>
      <c r="I53" s="86">
        <v>100</v>
      </c>
      <c r="J53" s="86">
        <v>100</v>
      </c>
      <c r="K53" s="86">
        <v>100</v>
      </c>
      <c r="L53" s="86">
        <v>100</v>
      </c>
      <c r="M53" s="86">
        <v>100</v>
      </c>
      <c r="N53" s="86">
        <v>100</v>
      </c>
      <c r="O53" s="26" t="s">
        <v>225</v>
      </c>
      <c r="P53" s="35"/>
      <c r="T53" s="32"/>
    </row>
    <row r="54" spans="1:20" ht="20.100000000000001" customHeight="1" x14ac:dyDescent="0.25">
      <c r="A54" s="5" t="str">
        <f>HYPERLINK("#'Constants - Fuel'!A1", "Constants - Fuel")</f>
        <v>Constants - Fuel</v>
      </c>
      <c r="D54" s="1" t="str">
        <f>TEXT(EDATE(X_Cell_Site_StartDate,9), "mmmm yyyy")</f>
        <v>October 2024</v>
      </c>
      <c r="E54" s="86">
        <v>100</v>
      </c>
      <c r="F54" s="86">
        <v>100</v>
      </c>
      <c r="G54" s="86">
        <v>100</v>
      </c>
      <c r="H54" s="86">
        <v>100</v>
      </c>
      <c r="I54" s="86">
        <v>100</v>
      </c>
      <c r="J54" s="86">
        <v>100</v>
      </c>
      <c r="K54" s="86">
        <v>100</v>
      </c>
      <c r="L54" s="86">
        <v>100</v>
      </c>
      <c r="M54" s="86">
        <v>100</v>
      </c>
      <c r="N54" s="86">
        <v>100</v>
      </c>
      <c r="O54" s="26" t="s">
        <v>225</v>
      </c>
      <c r="P54" s="35"/>
      <c r="T54" s="32"/>
    </row>
    <row r="55" spans="1:20" ht="20.100000000000001" customHeight="1" x14ac:dyDescent="0.25">
      <c r="A55" s="5" t="str">
        <f>HYPERLINK("#'Constants - Scope 3'!A1", "Constants - Scope 3")</f>
        <v>Constants - Scope 3</v>
      </c>
      <c r="D55" s="1" t="str">
        <f>TEXT(EDATE(X_Cell_Site_StartDate,10), "mmmm yyyy")</f>
        <v>November 2024</v>
      </c>
      <c r="E55" s="86">
        <v>100</v>
      </c>
      <c r="F55" s="86">
        <v>100</v>
      </c>
      <c r="G55" s="86">
        <v>100</v>
      </c>
      <c r="H55" s="86">
        <v>100</v>
      </c>
      <c r="I55" s="86">
        <v>100</v>
      </c>
      <c r="J55" s="86">
        <v>100</v>
      </c>
      <c r="K55" s="86">
        <v>100</v>
      </c>
      <c r="L55" s="86">
        <v>100</v>
      </c>
      <c r="M55" s="86">
        <v>100</v>
      </c>
      <c r="N55" s="86">
        <v>100</v>
      </c>
      <c r="O55" s="26" t="s">
        <v>225</v>
      </c>
      <c r="P55" s="35"/>
      <c r="T55" s="32"/>
    </row>
    <row r="56" spans="1:20" ht="20.100000000000001" customHeight="1" x14ac:dyDescent="0.25">
      <c r="A56" s="5" t="str">
        <f>HYPERLINK("#'Constants - Common'!A1", "Constants - Common")</f>
        <v>Constants - Common</v>
      </c>
      <c r="D56" s="1" t="str">
        <f>TEXT(EDATE(X_Cell_Site_StartDate,11), "mmmm yyyy")</f>
        <v>December 2024</v>
      </c>
      <c r="E56" s="86">
        <v>100</v>
      </c>
      <c r="F56" s="86">
        <v>100</v>
      </c>
      <c r="G56" s="86">
        <v>100</v>
      </c>
      <c r="H56" s="86">
        <v>100</v>
      </c>
      <c r="I56" s="86">
        <v>100</v>
      </c>
      <c r="J56" s="86">
        <v>100</v>
      </c>
      <c r="K56" s="86">
        <v>100</v>
      </c>
      <c r="L56" s="86">
        <v>100</v>
      </c>
      <c r="M56" s="86">
        <v>100</v>
      </c>
      <c r="N56" s="86">
        <v>100</v>
      </c>
      <c r="O56" s="26" t="s">
        <v>225</v>
      </c>
      <c r="P56" s="35"/>
      <c r="T56" s="32"/>
    </row>
    <row r="57" spans="1:20" ht="20.100000000000001" customHeight="1" x14ac:dyDescent="0.25">
      <c r="A57" s="5" t="str">
        <f>HYPERLINK("#'Acknowledgements'!A1", "Acknowledgements")</f>
        <v>Acknowledgements</v>
      </c>
      <c r="P57" s="35"/>
      <c r="T57" s="32"/>
    </row>
    <row r="58" spans="1:20" ht="20.100000000000001" customHeight="1" x14ac:dyDescent="0.25">
      <c r="A58" s="5" t="str">
        <f>HYPERLINK("#'Constants - Solid Waste'!A1", "Constants - Solid Waste")</f>
        <v>Constants - Solid Waste</v>
      </c>
      <c r="P58" s="35"/>
      <c r="T58" s="32"/>
    </row>
    <row r="59" spans="1:20" ht="20.100000000000001" customHeight="1" x14ac:dyDescent="0.25">
      <c r="D59" s="91" t="s">
        <v>228</v>
      </c>
      <c r="P59" s="35"/>
      <c r="T59" s="32"/>
    </row>
    <row r="60" spans="1:20" ht="20.100000000000001" customHeight="1" x14ac:dyDescent="0.25">
      <c r="D60" s="96" t="s">
        <v>210</v>
      </c>
      <c r="E60" s="96" t="s">
        <v>211</v>
      </c>
      <c r="F60" s="96" t="s">
        <v>201</v>
      </c>
      <c r="G60" s="96" t="s">
        <v>212</v>
      </c>
      <c r="H60" s="96" t="s">
        <v>213</v>
      </c>
      <c r="I60" s="96" t="s">
        <v>214</v>
      </c>
      <c r="J60" s="96" t="s">
        <v>215</v>
      </c>
      <c r="K60" s="96" t="s">
        <v>216</v>
      </c>
      <c r="L60" s="96" t="s">
        <v>217</v>
      </c>
      <c r="M60" s="96" t="s">
        <v>218</v>
      </c>
      <c r="N60" s="96" t="s">
        <v>219</v>
      </c>
      <c r="P60" s="35"/>
      <c r="T60" s="32"/>
    </row>
    <row r="61" spans="1:20" ht="20.100000000000001" customHeight="1" x14ac:dyDescent="0.25">
      <c r="D61" s="1" t="s">
        <v>220</v>
      </c>
      <c r="E61" s="25">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229</v>
      </c>
      <c r="P61" s="35"/>
      <c r="T61" s="32"/>
    </row>
    <row r="62" spans="1:20" ht="20.100000000000001" customHeight="1" x14ac:dyDescent="0.25">
      <c r="D62" s="1" t="s">
        <v>221</v>
      </c>
      <c r="E62" s="25">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229</v>
      </c>
      <c r="P62" s="35"/>
      <c r="T62" s="32"/>
    </row>
    <row r="63" spans="1:20" ht="20.100000000000001" customHeight="1" x14ac:dyDescent="0.25">
      <c r="D63" s="1" t="s">
        <v>222</v>
      </c>
      <c r="E63" s="25">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229</v>
      </c>
      <c r="P63" s="35"/>
      <c r="T63" s="32"/>
    </row>
    <row r="64" spans="1:20" ht="20.100000000000001" customHeight="1" x14ac:dyDescent="0.25">
      <c r="D64" s="1" t="s">
        <v>223</v>
      </c>
      <c r="E64" s="25">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229</v>
      </c>
      <c r="P64" s="35"/>
      <c r="T64" s="32"/>
    </row>
    <row r="65" spans="4:20" ht="20.100000000000001" customHeight="1" x14ac:dyDescent="0.25">
      <c r="O65" s="26"/>
      <c r="P65" s="35"/>
      <c r="T65" s="32"/>
    </row>
    <row r="66" spans="4:20" ht="20.100000000000001" customHeight="1" x14ac:dyDescent="0.25">
      <c r="D66" s="96" t="s">
        <v>224</v>
      </c>
      <c r="E66" s="96" t="s">
        <v>211</v>
      </c>
      <c r="F66" s="96" t="s">
        <v>201</v>
      </c>
      <c r="G66" s="96" t="s">
        <v>212</v>
      </c>
      <c r="H66" s="96" t="s">
        <v>213</v>
      </c>
      <c r="I66" s="96" t="s">
        <v>214</v>
      </c>
      <c r="J66" s="96" t="s">
        <v>215</v>
      </c>
      <c r="K66" s="96" t="s">
        <v>216</v>
      </c>
      <c r="L66" s="96" t="s">
        <v>217</v>
      </c>
      <c r="M66" s="96" t="s">
        <v>218</v>
      </c>
      <c r="N66" s="96" t="s">
        <v>219</v>
      </c>
      <c r="O66" s="26"/>
      <c r="P66" s="35"/>
      <c r="T66" s="32"/>
    </row>
    <row r="67" spans="4:20" ht="20.100000000000001" customHeight="1" x14ac:dyDescent="0.25">
      <c r="D67" s="1" t="str">
        <f>TEXT(X_Cell_Site_StartDate, "mmmm yyyy")</f>
        <v>January 2024</v>
      </c>
      <c r="E67" s="86">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229</v>
      </c>
      <c r="P67" s="35"/>
      <c r="T67" s="32"/>
    </row>
    <row r="68" spans="4:20" ht="20.100000000000001" customHeight="1" x14ac:dyDescent="0.25">
      <c r="D68" s="1" t="str">
        <f>TEXT(EDATE(X_Cell_Site_StartDate,1), "mmmm yyyy")</f>
        <v>February 2024</v>
      </c>
      <c r="E68" s="86">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229</v>
      </c>
      <c r="P68" s="35"/>
      <c r="T68" s="32"/>
    </row>
    <row r="69" spans="4:20" ht="20.100000000000001" customHeight="1" x14ac:dyDescent="0.25">
      <c r="D69" s="1" t="str">
        <f>TEXT(EDATE(X_Cell_Site_StartDate,2), "mmmm yyyy")</f>
        <v>March 2024</v>
      </c>
      <c r="E69" s="86">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229</v>
      </c>
      <c r="P69" s="35"/>
      <c r="T69" s="32"/>
    </row>
    <row r="70" spans="4:20" ht="20.100000000000001" customHeight="1" x14ac:dyDescent="0.25">
      <c r="D70" s="1" t="str">
        <f>TEXT(EDATE(X_Cell_Site_StartDate,3), "mmmm yyyy")</f>
        <v>April 2024</v>
      </c>
      <c r="E70" s="86">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229</v>
      </c>
      <c r="P70" s="35"/>
      <c r="T70" s="32"/>
    </row>
    <row r="71" spans="4:20" ht="20.100000000000001" customHeight="1" x14ac:dyDescent="0.25">
      <c r="D71" s="1" t="str">
        <f>TEXT(EDATE(X_Cell_Site_StartDate,4), "mmmm yyyy")</f>
        <v>May 2024</v>
      </c>
      <c r="E71" s="86">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229</v>
      </c>
      <c r="P71" s="35"/>
      <c r="T71" s="32"/>
    </row>
    <row r="72" spans="4:20" ht="20.100000000000001" customHeight="1" x14ac:dyDescent="0.25">
      <c r="D72" s="1" t="str">
        <f>TEXT(EDATE(X_Cell_Site_StartDate,5), "mmmm yyyy")</f>
        <v>June 2024</v>
      </c>
      <c r="E72" s="86">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229</v>
      </c>
      <c r="T72" s="32"/>
    </row>
    <row r="73" spans="4:20" ht="20.100000000000001" customHeight="1" x14ac:dyDescent="0.25">
      <c r="D73" s="1" t="str">
        <f>TEXT(EDATE(X_Cell_Site_StartDate,6), "mmmm yyyy")</f>
        <v>July 2024</v>
      </c>
      <c r="E73" s="86">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229</v>
      </c>
      <c r="T73" s="32"/>
    </row>
    <row r="74" spans="4:20" ht="20.100000000000001" customHeight="1" x14ac:dyDescent="0.25">
      <c r="D74" s="1" t="str">
        <f>TEXT(EDATE(X_Cell_Site_StartDate,7), "mmmm yyyy")</f>
        <v>August 2024</v>
      </c>
      <c r="E74" s="86">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229</v>
      </c>
      <c r="T74" s="32"/>
    </row>
    <row r="75" spans="4:20" ht="20.100000000000001" customHeight="1" x14ac:dyDescent="0.25">
      <c r="D75" s="1" t="str">
        <f>TEXT(EDATE(X_Cell_Site_StartDate,8), "mmmm yyyy")</f>
        <v>September 2024</v>
      </c>
      <c r="E75" s="86">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229</v>
      </c>
      <c r="T75" s="32"/>
    </row>
    <row r="76" spans="4:20" ht="20.100000000000001" customHeight="1" x14ac:dyDescent="0.25">
      <c r="D76" s="1" t="str">
        <f>TEXT(EDATE(X_Cell_Site_StartDate,9), "mmmm yyyy")</f>
        <v>October 2024</v>
      </c>
      <c r="E76" s="86">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229</v>
      </c>
      <c r="T76" s="32"/>
    </row>
    <row r="77" spans="4:20" ht="20.100000000000001" customHeight="1" x14ac:dyDescent="0.25">
      <c r="D77" s="1" t="str">
        <f>TEXT(EDATE(X_Cell_Site_StartDate,10), "mmmm yyyy")</f>
        <v>November 2024</v>
      </c>
      <c r="E77" s="86">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229</v>
      </c>
      <c r="T77" s="32"/>
    </row>
    <row r="78" spans="4:20" ht="20.100000000000001" customHeight="1" x14ac:dyDescent="0.25">
      <c r="D78" s="1" t="str">
        <f>TEXT(EDATE(X_Cell_Site_StartDate,11), "mmmm yyyy")</f>
        <v>December 2024</v>
      </c>
      <c r="E78" s="86">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229</v>
      </c>
      <c r="T78" s="32"/>
    </row>
    <row r="79" spans="4:20" ht="20.100000000000001" customHeight="1" x14ac:dyDescent="0.25">
      <c r="T79" s="32"/>
    </row>
    <row r="80" spans="4:20" ht="20.100000000000001" customHeight="1" x14ac:dyDescent="0.25">
      <c r="T80" s="32"/>
    </row>
    <row r="81" spans="4:20" ht="20.100000000000001" customHeight="1" x14ac:dyDescent="0.25">
      <c r="D81" s="91" t="s">
        <v>230</v>
      </c>
      <c r="T81" s="32"/>
    </row>
    <row r="82" spans="4:20" ht="20.100000000000001" customHeight="1" x14ac:dyDescent="0.25">
      <c r="D82" s="96" t="s">
        <v>210</v>
      </c>
      <c r="E82" s="96" t="s">
        <v>211</v>
      </c>
      <c r="F82" s="96" t="s">
        <v>201</v>
      </c>
      <c r="G82" s="96" t="s">
        <v>212</v>
      </c>
      <c r="H82" s="96" t="s">
        <v>213</v>
      </c>
      <c r="I82" s="96" t="s">
        <v>214</v>
      </c>
      <c r="J82" s="96" t="s">
        <v>215</v>
      </c>
      <c r="K82" s="96" t="s">
        <v>216</v>
      </c>
      <c r="L82" s="96" t="s">
        <v>217</v>
      </c>
      <c r="M82" s="96" t="s">
        <v>218</v>
      </c>
      <c r="N82" s="96" t="s">
        <v>219</v>
      </c>
      <c r="T82" s="32"/>
    </row>
    <row r="83" spans="4:20" ht="20.100000000000001" customHeight="1" x14ac:dyDescent="0.25">
      <c r="D83" s="1" t="s">
        <v>220</v>
      </c>
      <c r="E83" s="25">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231</v>
      </c>
      <c r="T83" s="32"/>
    </row>
    <row r="84" spans="4:20" ht="20.100000000000001" customHeight="1" x14ac:dyDescent="0.25">
      <c r="D84" s="1" t="s">
        <v>221</v>
      </c>
      <c r="E84" s="25">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231</v>
      </c>
      <c r="T84" s="32"/>
    </row>
    <row r="85" spans="4:20" ht="20.100000000000001" customHeight="1" x14ac:dyDescent="0.25">
      <c r="D85" s="1" t="s">
        <v>222</v>
      </c>
      <c r="E85" s="25">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231</v>
      </c>
      <c r="T85" s="32"/>
    </row>
    <row r="86" spans="4:20" ht="20.100000000000001" customHeight="1" x14ac:dyDescent="0.25">
      <c r="D86" s="1" t="s">
        <v>223</v>
      </c>
      <c r="E86" s="25">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231</v>
      </c>
      <c r="T86" s="32"/>
    </row>
    <row r="87" spans="4:20" ht="20.100000000000001" customHeight="1" x14ac:dyDescent="0.25">
      <c r="O87" s="26"/>
      <c r="T87" s="32"/>
    </row>
    <row r="88" spans="4:20" ht="20.100000000000001" customHeight="1" x14ac:dyDescent="0.25">
      <c r="D88" s="96" t="s">
        <v>224</v>
      </c>
      <c r="E88" s="96" t="s">
        <v>211</v>
      </c>
      <c r="F88" s="96" t="s">
        <v>201</v>
      </c>
      <c r="G88" s="96" t="s">
        <v>212</v>
      </c>
      <c r="H88" s="96" t="s">
        <v>213</v>
      </c>
      <c r="I88" s="96" t="s">
        <v>214</v>
      </c>
      <c r="J88" s="96" t="s">
        <v>215</v>
      </c>
      <c r="K88" s="96" t="s">
        <v>216</v>
      </c>
      <c r="L88" s="96" t="s">
        <v>217</v>
      </c>
      <c r="M88" s="96" t="s">
        <v>218</v>
      </c>
      <c r="N88" s="96" t="s">
        <v>219</v>
      </c>
      <c r="O88" s="26"/>
      <c r="T88" s="32"/>
    </row>
    <row r="89" spans="4:20" ht="20.100000000000001" customHeight="1" x14ac:dyDescent="0.25">
      <c r="D89" s="1" t="str">
        <f>TEXT(X_Cell_Site_StartDate, "mmmm yyyy")</f>
        <v>January 2024</v>
      </c>
      <c r="E89" s="86">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231</v>
      </c>
      <c r="T89" s="32"/>
    </row>
    <row r="90" spans="4:20" ht="20.100000000000001" customHeight="1" x14ac:dyDescent="0.25">
      <c r="D90" s="1" t="str">
        <f>TEXT(EDATE(X_Cell_Site_StartDate,1), "mmmm yyyy")</f>
        <v>February 2024</v>
      </c>
      <c r="E90" s="86">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231</v>
      </c>
      <c r="T90" s="32"/>
    </row>
    <row r="91" spans="4:20" ht="20.100000000000001" customHeight="1" x14ac:dyDescent="0.25">
      <c r="D91" s="1" t="str">
        <f>TEXT(EDATE(X_Cell_Site_StartDate,2), "mmmm yyyy")</f>
        <v>March 2024</v>
      </c>
      <c r="E91" s="86">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231</v>
      </c>
      <c r="T91" s="32"/>
    </row>
    <row r="92" spans="4:20" ht="20.100000000000001" customHeight="1" x14ac:dyDescent="0.25">
      <c r="D92" s="1" t="str">
        <f>TEXT(EDATE(X_Cell_Site_StartDate,3), "mmmm yyyy")</f>
        <v>April 2024</v>
      </c>
      <c r="E92" s="86">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231</v>
      </c>
      <c r="T92" s="32"/>
    </row>
    <row r="93" spans="4:20" ht="20.100000000000001" customHeight="1" x14ac:dyDescent="0.25">
      <c r="D93" s="1" t="str">
        <f>TEXT(EDATE(X_Cell_Site_StartDate,4), "mmmm yyyy")</f>
        <v>May 2024</v>
      </c>
      <c r="E93" s="86">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231</v>
      </c>
      <c r="T93" s="32"/>
    </row>
    <row r="94" spans="4:20" ht="20.100000000000001" customHeight="1" x14ac:dyDescent="0.25">
      <c r="D94" s="1" t="str">
        <f>TEXT(EDATE(X_Cell_Site_StartDate,5), "mmmm yyyy")</f>
        <v>June 2024</v>
      </c>
      <c r="E94" s="86">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231</v>
      </c>
      <c r="T94" s="32"/>
    </row>
    <row r="95" spans="4:20" ht="20.100000000000001" customHeight="1" x14ac:dyDescent="0.25">
      <c r="D95" s="1" t="str">
        <f>TEXT(EDATE(X_Cell_Site_StartDate,6), "mmmm yyyy")</f>
        <v>July 2024</v>
      </c>
      <c r="E95" s="86">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231</v>
      </c>
      <c r="T95" s="32"/>
    </row>
    <row r="96" spans="4:20" ht="20.100000000000001" customHeight="1" x14ac:dyDescent="0.25">
      <c r="D96" s="1" t="str">
        <f>TEXT(EDATE(X_Cell_Site_StartDate,7), "mmmm yyyy")</f>
        <v>August 2024</v>
      </c>
      <c r="E96" s="86">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231</v>
      </c>
      <c r="T96" s="32"/>
    </row>
    <row r="97" spans="4:20" ht="20.100000000000001" customHeight="1" x14ac:dyDescent="0.25">
      <c r="D97" s="1" t="str">
        <f>TEXT(EDATE(X_Cell_Site_StartDate,8), "mmmm yyyy")</f>
        <v>September 2024</v>
      </c>
      <c r="E97" s="86">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231</v>
      </c>
      <c r="T97" s="32"/>
    </row>
    <row r="98" spans="4:20" ht="20.100000000000001" customHeight="1" x14ac:dyDescent="0.25">
      <c r="D98" s="1" t="str">
        <f>TEXT(EDATE(X_Cell_Site_StartDate,9), "mmmm yyyy")</f>
        <v>October 2024</v>
      </c>
      <c r="E98" s="86">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231</v>
      </c>
      <c r="T98" s="32"/>
    </row>
    <row r="99" spans="4:20" ht="20.100000000000001" customHeight="1" x14ac:dyDescent="0.25">
      <c r="D99" s="1" t="str">
        <f>TEXT(EDATE(X_Cell_Site_StartDate,10), "mmmm yyyy")</f>
        <v>November 2024</v>
      </c>
      <c r="E99" s="86">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231</v>
      </c>
      <c r="T99" s="32"/>
    </row>
    <row r="100" spans="4:20" ht="20.100000000000001" customHeight="1" x14ac:dyDescent="0.25">
      <c r="D100" s="1" t="str">
        <f>TEXT(EDATE(X_Cell_Site_StartDate,11), "mmmm yyyy")</f>
        <v>December 2024</v>
      </c>
      <c r="E100" s="86">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231</v>
      </c>
      <c r="T100" s="32"/>
    </row>
    <row r="101" spans="4:20" ht="20.100000000000001" customHeight="1" x14ac:dyDescent="0.25">
      <c r="T101" s="32"/>
    </row>
    <row r="102" spans="4:20" ht="20.100000000000001" customHeight="1" x14ac:dyDescent="0.25">
      <c r="T102" s="32"/>
    </row>
    <row r="103" spans="4:20" ht="20.100000000000001" customHeight="1" x14ac:dyDescent="0.25">
      <c r="D103" s="91" t="s">
        <v>232</v>
      </c>
      <c r="K103" s="26"/>
      <c r="L103" s="26"/>
      <c r="M103" s="26"/>
      <c r="N103" s="26"/>
      <c r="O103" s="26"/>
      <c r="T103" s="32"/>
    </row>
    <row r="104" spans="4:20" ht="20.100000000000001" customHeight="1" x14ac:dyDescent="0.25">
      <c r="D104" s="96" t="s">
        <v>210</v>
      </c>
      <c r="E104" s="96" t="s">
        <v>211</v>
      </c>
      <c r="F104" s="96" t="s">
        <v>201</v>
      </c>
      <c r="G104" s="96" t="s">
        <v>212</v>
      </c>
      <c r="H104" s="96" t="s">
        <v>213</v>
      </c>
      <c r="I104" s="96" t="s">
        <v>214</v>
      </c>
      <c r="J104" s="96" t="s">
        <v>215</v>
      </c>
      <c r="K104" s="96" t="s">
        <v>216</v>
      </c>
      <c r="L104" s="96" t="s">
        <v>217</v>
      </c>
      <c r="M104" s="96" t="s">
        <v>218</v>
      </c>
      <c r="N104" s="96" t="s">
        <v>219</v>
      </c>
      <c r="T104" s="32"/>
    </row>
    <row r="105" spans="4:20" ht="20.100000000000001" customHeight="1" x14ac:dyDescent="0.25">
      <c r="D105" s="1" t="s">
        <v>220</v>
      </c>
      <c r="E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05" s="26" t="s">
        <v>233</v>
      </c>
      <c r="T105" s="32"/>
    </row>
    <row r="106" spans="4:20" ht="20.100000000000001" customHeight="1" x14ac:dyDescent="0.25">
      <c r="D106" s="1" t="s">
        <v>221</v>
      </c>
      <c r="E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06" s="26" t="s">
        <v>233</v>
      </c>
      <c r="T106" s="32"/>
    </row>
    <row r="107" spans="4:20" ht="20.100000000000001" customHeight="1" x14ac:dyDescent="0.25">
      <c r="D107" s="1" t="s">
        <v>222</v>
      </c>
      <c r="E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07" s="26" t="s">
        <v>233</v>
      </c>
    </row>
    <row r="108" spans="4:20" ht="20.100000000000001" customHeight="1" x14ac:dyDescent="0.25">
      <c r="D108" s="1" t="s">
        <v>223</v>
      </c>
      <c r="E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08" s="26" t="s">
        <v>233</v>
      </c>
    </row>
    <row r="109" spans="4:20" ht="20.100000000000001" customHeight="1" x14ac:dyDescent="0.25"/>
    <row r="110" spans="4:20" ht="20.100000000000001" customHeight="1" x14ac:dyDescent="0.25">
      <c r="D110" s="96" t="s">
        <v>224</v>
      </c>
      <c r="E110" s="96" t="s">
        <v>211</v>
      </c>
      <c r="F110" s="96" t="s">
        <v>201</v>
      </c>
      <c r="G110" s="96" t="s">
        <v>212</v>
      </c>
      <c r="H110" s="96" t="s">
        <v>213</v>
      </c>
      <c r="I110" s="96" t="s">
        <v>214</v>
      </c>
      <c r="J110" s="96" t="s">
        <v>215</v>
      </c>
      <c r="K110" s="96" t="s">
        <v>216</v>
      </c>
      <c r="L110" s="96" t="s">
        <v>217</v>
      </c>
      <c r="M110" s="96" t="s">
        <v>218</v>
      </c>
      <c r="N110" s="96" t="s">
        <v>219</v>
      </c>
    </row>
    <row r="111" spans="4:20" ht="20.100000000000001" customHeight="1" x14ac:dyDescent="0.25">
      <c r="D111" s="1" t="str">
        <f>TEXT(X_Cell_Site_StartDate, "mmmm yyyy")</f>
        <v>January 2024</v>
      </c>
      <c r="E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1" s="26" t="s">
        <v>233</v>
      </c>
    </row>
    <row r="112" spans="4:20" ht="20.100000000000001" customHeight="1" x14ac:dyDescent="0.25">
      <c r="D112" s="1" t="str">
        <f>TEXT(EDATE(X_Cell_Site_StartDate,1), "mmmm yyyy")</f>
        <v>February 2024</v>
      </c>
      <c r="E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2" s="26" t="s">
        <v>233</v>
      </c>
    </row>
    <row r="113" spans="4:15" ht="20.100000000000001" customHeight="1" x14ac:dyDescent="0.25">
      <c r="D113" s="1" t="str">
        <f>TEXT(EDATE(X_Cell_Site_StartDate,2), "mmmm yyyy")</f>
        <v>March 2024</v>
      </c>
      <c r="E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3" s="26" t="s">
        <v>233</v>
      </c>
    </row>
    <row r="114" spans="4:15" ht="20.100000000000001" customHeight="1" x14ac:dyDescent="0.25">
      <c r="D114" s="1" t="str">
        <f>TEXT(EDATE(X_Cell_Site_StartDate,3), "mmmm yyyy")</f>
        <v>April 2024</v>
      </c>
      <c r="E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4" s="26" t="s">
        <v>233</v>
      </c>
    </row>
    <row r="115" spans="4:15" ht="20.100000000000001" customHeight="1" x14ac:dyDescent="0.25">
      <c r="D115" s="1" t="str">
        <f>TEXT(EDATE(X_Cell_Site_StartDate,4), "mmmm yyyy")</f>
        <v>May 2024</v>
      </c>
      <c r="E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5" s="26" t="s">
        <v>233</v>
      </c>
    </row>
    <row r="116" spans="4:15" ht="20.100000000000001" customHeight="1" x14ac:dyDescent="0.25">
      <c r="D116" s="1" t="str">
        <f>TEXT(EDATE(X_Cell_Site_StartDate,5), "mmmm yyyy")</f>
        <v>June 2024</v>
      </c>
      <c r="E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6" s="26" t="s">
        <v>233</v>
      </c>
    </row>
    <row r="117" spans="4:15" ht="20.100000000000001" customHeight="1" x14ac:dyDescent="0.25">
      <c r="D117" s="1" t="str">
        <f>TEXT(EDATE(X_Cell_Site_StartDate,6), "mmmm yyyy")</f>
        <v>July 2024</v>
      </c>
      <c r="E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7" s="26" t="s">
        <v>233</v>
      </c>
    </row>
    <row r="118" spans="4:15" ht="20.100000000000001" customHeight="1" x14ac:dyDescent="0.25">
      <c r="D118" s="1" t="str">
        <f>TEXT(EDATE(X_Cell_Site_StartDate,7), "mmmm yyyy")</f>
        <v>August 2024</v>
      </c>
      <c r="E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8" s="26" t="s">
        <v>233</v>
      </c>
    </row>
    <row r="119" spans="4:15" ht="20.100000000000001" customHeight="1" x14ac:dyDescent="0.25">
      <c r="D119" s="1" t="str">
        <f>TEXT(EDATE(X_Cell_Site_StartDate,8), "mmmm yyyy")</f>
        <v>September 2024</v>
      </c>
      <c r="E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19" s="26" t="s">
        <v>233</v>
      </c>
    </row>
    <row r="120" spans="4:15" ht="20.100000000000001" customHeight="1" x14ac:dyDescent="0.25">
      <c r="D120" s="1" t="str">
        <f>TEXT(EDATE(X_Cell_Site_StartDate,9), "mmmm yyyy")</f>
        <v>October 2024</v>
      </c>
      <c r="E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0" s="26" t="s">
        <v>233</v>
      </c>
    </row>
    <row r="121" spans="4:15" ht="20.100000000000001" customHeight="1" x14ac:dyDescent="0.25">
      <c r="D121" s="1" t="str">
        <f>TEXT(EDATE(X_Cell_Site_StartDate,10), "mmmm yyyy")</f>
        <v>November 2024</v>
      </c>
      <c r="E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1" s="26" t="s">
        <v>233</v>
      </c>
    </row>
    <row r="122" spans="4:15" ht="20.100000000000001" customHeight="1" x14ac:dyDescent="0.25">
      <c r="D122" s="1" t="str">
        <f>TEXT(EDATE(X_Cell_Site_StartDate,11), "mmmm yyyy")</f>
        <v>December 2024</v>
      </c>
      <c r="E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22" s="26" t="s">
        <v>233</v>
      </c>
    </row>
    <row r="123" spans="4:15" ht="20.100000000000001" customHeight="1" x14ac:dyDescent="0.25"/>
    <row r="124" spans="4:15" ht="20.100000000000001" customHeight="1" x14ac:dyDescent="0.25"/>
    <row r="125" spans="4:15" ht="20.100000000000001" customHeight="1" x14ac:dyDescent="0.25">
      <c r="D125" s="91" t="s">
        <v>234</v>
      </c>
      <c r="K125" s="26"/>
      <c r="L125" s="26"/>
      <c r="M125" s="26"/>
      <c r="N125" s="26"/>
      <c r="O125" s="26"/>
    </row>
    <row r="126" spans="4:15" ht="20.100000000000001" customHeight="1" x14ac:dyDescent="0.25">
      <c r="D126" s="96" t="s">
        <v>210</v>
      </c>
      <c r="E126" s="96" t="s">
        <v>211</v>
      </c>
      <c r="F126" s="96" t="s">
        <v>201</v>
      </c>
      <c r="G126" s="96" t="s">
        <v>212</v>
      </c>
      <c r="H126" s="96" t="s">
        <v>213</v>
      </c>
      <c r="I126" s="96" t="s">
        <v>214</v>
      </c>
      <c r="J126" s="96" t="s">
        <v>215</v>
      </c>
      <c r="K126" s="96" t="s">
        <v>216</v>
      </c>
      <c r="L126" s="96" t="s">
        <v>217</v>
      </c>
      <c r="M126" s="96" t="s">
        <v>218</v>
      </c>
      <c r="N126" s="96" t="s">
        <v>219</v>
      </c>
    </row>
    <row r="127" spans="4:15" ht="20.100000000000001" customHeight="1" x14ac:dyDescent="0.25">
      <c r="D127" s="1" t="s">
        <v>220</v>
      </c>
      <c r="E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F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G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H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I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J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K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L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M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N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O127" s="26" t="s">
        <v>233</v>
      </c>
    </row>
    <row r="128" spans="4:15" ht="20.100000000000001" customHeight="1" x14ac:dyDescent="0.25">
      <c r="D128" s="1" t="s">
        <v>221</v>
      </c>
      <c r="E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F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G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H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I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J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K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L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M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N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O128" s="26" t="s">
        <v>233</v>
      </c>
    </row>
    <row r="129" spans="4:15" ht="20.100000000000001" customHeight="1" x14ac:dyDescent="0.25">
      <c r="D129" s="1" t="s">
        <v>222</v>
      </c>
      <c r="E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F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G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H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I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J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K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L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M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N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O129" s="26" t="s">
        <v>233</v>
      </c>
    </row>
    <row r="130" spans="4:15" ht="20.100000000000001" customHeight="1" x14ac:dyDescent="0.25">
      <c r="D130" s="1" t="s">
        <v>223</v>
      </c>
      <c r="E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F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G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H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I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J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K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L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M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N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O130" s="26" t="s">
        <v>233</v>
      </c>
    </row>
    <row r="131" spans="4:15" ht="20.100000000000001" customHeight="1" x14ac:dyDescent="0.25"/>
    <row r="132" spans="4:15" ht="20.100000000000001" customHeight="1" x14ac:dyDescent="0.25">
      <c r="D132" s="96" t="s">
        <v>224</v>
      </c>
      <c r="E132" s="96" t="s">
        <v>211</v>
      </c>
      <c r="F132" s="96" t="s">
        <v>201</v>
      </c>
      <c r="G132" s="96" t="s">
        <v>212</v>
      </c>
      <c r="H132" s="96" t="s">
        <v>213</v>
      </c>
      <c r="I132" s="96" t="s">
        <v>214</v>
      </c>
      <c r="J132" s="96" t="s">
        <v>215</v>
      </c>
      <c r="K132" s="96" t="s">
        <v>216</v>
      </c>
      <c r="L132" s="96" t="s">
        <v>217</v>
      </c>
      <c r="M132" s="96" t="s">
        <v>218</v>
      </c>
      <c r="N132" s="96" t="s">
        <v>219</v>
      </c>
    </row>
    <row r="133" spans="4:15" ht="20.100000000000001" customHeight="1" x14ac:dyDescent="0.25">
      <c r="D133" s="1" t="str">
        <f>TEXT(X_Cell_Site_StartDate, "mmmm yyyy")</f>
        <v>January 2024</v>
      </c>
      <c r="E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3" s="26" t="s">
        <v>233</v>
      </c>
    </row>
    <row r="134" spans="4:15" ht="20.100000000000001" customHeight="1" x14ac:dyDescent="0.25">
      <c r="D134" s="1" t="str">
        <f>TEXT(EDATE(X_Cell_Site_StartDate,1), "mmmm yyyy")</f>
        <v>February 2024</v>
      </c>
      <c r="E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4" s="26" t="s">
        <v>233</v>
      </c>
    </row>
    <row r="135" spans="4:15" ht="20.100000000000001" customHeight="1" x14ac:dyDescent="0.25">
      <c r="D135" s="1" t="str">
        <f>TEXT(EDATE(X_Cell_Site_StartDate,2), "mmmm yyyy")</f>
        <v>March 2024</v>
      </c>
      <c r="E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5" s="26" t="s">
        <v>233</v>
      </c>
    </row>
    <row r="136" spans="4:15" ht="20.100000000000001" customHeight="1" x14ac:dyDescent="0.25">
      <c r="D136" s="1" t="str">
        <f>TEXT(EDATE(X_Cell_Site_StartDate,3), "mmmm yyyy")</f>
        <v>April 2024</v>
      </c>
      <c r="E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6" s="26" t="s">
        <v>233</v>
      </c>
    </row>
    <row r="137" spans="4:15" ht="20.100000000000001" customHeight="1" x14ac:dyDescent="0.25">
      <c r="D137" s="1" t="str">
        <f>TEXT(EDATE(X_Cell_Site_StartDate,4), "mmmm yyyy")</f>
        <v>May 2024</v>
      </c>
      <c r="E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7" s="26" t="s">
        <v>233</v>
      </c>
    </row>
    <row r="138" spans="4:15" ht="20.100000000000001" customHeight="1" x14ac:dyDescent="0.25">
      <c r="D138" s="1" t="str">
        <f>TEXT(EDATE(X_Cell_Site_StartDate,5), "mmmm yyyy")</f>
        <v>June 2024</v>
      </c>
      <c r="E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8" s="26" t="s">
        <v>233</v>
      </c>
    </row>
    <row r="139" spans="4:15" ht="20.100000000000001" customHeight="1" x14ac:dyDescent="0.25">
      <c r="D139" s="1" t="str">
        <f>TEXT(EDATE(X_Cell_Site_StartDate,6), "mmmm yyyy")</f>
        <v>July 2024</v>
      </c>
      <c r="E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9" s="26" t="s">
        <v>233</v>
      </c>
    </row>
    <row r="140" spans="4:15" ht="20.100000000000001" customHeight="1" x14ac:dyDescent="0.25">
      <c r="D140" s="1" t="str">
        <f>TEXT(EDATE(X_Cell_Site_StartDate,7), "mmmm yyyy")</f>
        <v>August 2024</v>
      </c>
      <c r="E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0" s="26" t="s">
        <v>233</v>
      </c>
    </row>
    <row r="141" spans="4:15" ht="20.100000000000001" customHeight="1" x14ac:dyDescent="0.25">
      <c r="D141" s="1" t="str">
        <f>TEXT(EDATE(X_Cell_Site_StartDate,8), "mmmm yyyy")</f>
        <v>September 2024</v>
      </c>
      <c r="E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1" s="26" t="s">
        <v>233</v>
      </c>
    </row>
    <row r="142" spans="4:15" ht="20.100000000000001" customHeight="1" x14ac:dyDescent="0.25">
      <c r="D142" s="1" t="str">
        <f>TEXT(EDATE(X_Cell_Site_StartDate,9), "mmmm yyyy")</f>
        <v>October 2024</v>
      </c>
      <c r="E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2" s="26" t="s">
        <v>233</v>
      </c>
    </row>
    <row r="143" spans="4:15" ht="20.100000000000001" customHeight="1" x14ac:dyDescent="0.25">
      <c r="D143" s="1" t="str">
        <f>TEXT(EDATE(X_Cell_Site_StartDate,10), "mmmm yyyy")</f>
        <v>November 2024</v>
      </c>
      <c r="E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3" s="26" t="s">
        <v>233</v>
      </c>
    </row>
    <row r="144" spans="4:15" ht="20.100000000000001" customHeight="1" x14ac:dyDescent="0.25">
      <c r="D144" s="1" t="str">
        <f>TEXT(EDATE(X_Cell_Site_StartDate,11), "mmmm yyyy")</f>
        <v>December 2024</v>
      </c>
      <c r="E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44" s="26" t="s">
        <v>233</v>
      </c>
    </row>
    <row r="145" spans="4:15" ht="20.100000000000001" customHeight="1" x14ac:dyDescent="0.25">
      <c r="L145" s="26"/>
      <c r="M145" s="26"/>
      <c r="N145" s="26"/>
      <c r="O145" s="26"/>
    </row>
    <row r="146" spans="4:15" ht="20.100000000000001" customHeight="1" x14ac:dyDescent="0.25">
      <c r="L146" s="26"/>
      <c r="M146" s="26"/>
      <c r="N146" s="26"/>
      <c r="O146" s="26"/>
    </row>
    <row r="147" spans="4:15" ht="20.100000000000001" customHeight="1" x14ac:dyDescent="0.25">
      <c r="D147" s="91" t="s">
        <v>235</v>
      </c>
      <c r="L147" s="26"/>
      <c r="M147" s="26"/>
      <c r="N147" s="26"/>
      <c r="O147" s="26"/>
    </row>
    <row r="148" spans="4:15" ht="20.100000000000001" customHeight="1" x14ac:dyDescent="0.25"/>
    <row r="149" spans="4:15" ht="20.100000000000001" customHeight="1" x14ac:dyDescent="0.25">
      <c r="D149" s="1" t="s">
        <v>236</v>
      </c>
      <c r="E149" s="23" t="s">
        <v>237</v>
      </c>
      <c r="F149" s="26" t="s">
        <v>110</v>
      </c>
      <c r="L149" s="26"/>
      <c r="M149" s="26"/>
      <c r="N149" s="26"/>
      <c r="O149" s="26"/>
    </row>
    <row r="150" spans="4:15" ht="20.100000000000001" customHeight="1" x14ac:dyDescent="0.25"/>
    <row r="151" spans="4:15" ht="20.100000000000001" customHeight="1" x14ac:dyDescent="0.25">
      <c r="D151" s="96" t="s">
        <v>238</v>
      </c>
      <c r="E151" s="96" t="s">
        <v>239</v>
      </c>
      <c r="L151" s="26"/>
      <c r="M151" s="26"/>
      <c r="N151" s="26"/>
      <c r="O151" s="26"/>
    </row>
    <row r="152" spans="4:15" ht="20.100000000000001" customHeight="1" x14ac:dyDescent="0.25">
      <c r="D152" s="1" t="s">
        <v>92</v>
      </c>
      <c r="E152" s="98">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6" t="s">
        <v>240</v>
      </c>
      <c r="L152" s="26"/>
      <c r="M152" s="26"/>
      <c r="N152" s="26"/>
      <c r="O152" s="26"/>
    </row>
    <row r="153" spans="4:15" ht="20.100000000000001" customHeight="1" x14ac:dyDescent="0.25">
      <c r="D153" s="1" t="s">
        <v>80</v>
      </c>
      <c r="E153" s="98">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6" t="s">
        <v>240</v>
      </c>
      <c r="L153" s="26"/>
      <c r="M153" s="26"/>
      <c r="N153" s="26"/>
      <c r="O153" s="26"/>
    </row>
    <row r="154" spans="4:15" ht="20.100000000000001" customHeight="1" x14ac:dyDescent="0.25">
      <c r="L154" s="26"/>
      <c r="M154" s="26"/>
      <c r="N154" s="26"/>
      <c r="O154" s="26"/>
    </row>
    <row r="155" spans="4:15" ht="20.100000000000001" customHeight="1" x14ac:dyDescent="0.25"/>
    <row r="156" spans="4:15" ht="20.100000000000001" customHeight="1" x14ac:dyDescent="0.25">
      <c r="D156" s="1" t="s">
        <v>241</v>
      </c>
      <c r="E156" s="23" t="s">
        <v>191</v>
      </c>
      <c r="F156" s="26" t="s">
        <v>110</v>
      </c>
      <c r="L156" s="26"/>
      <c r="M156" s="26"/>
      <c r="N156" s="26"/>
      <c r="O156" s="26"/>
    </row>
    <row r="157" spans="4:15" ht="20.100000000000001" customHeight="1" x14ac:dyDescent="0.25">
      <c r="E157" s="23" t="s">
        <v>242</v>
      </c>
      <c r="F157" s="26" t="s">
        <v>110</v>
      </c>
    </row>
    <row r="158" spans="4:15" ht="20.100000000000001" customHeight="1" x14ac:dyDescent="0.25"/>
    <row r="159" spans="4:15" ht="20.100000000000001" customHeight="1" x14ac:dyDescent="0.25"/>
    <row r="160" spans="4:15" ht="20.100000000000001" customHeight="1" x14ac:dyDescent="0.25">
      <c r="D160" s="91" t="s">
        <v>243</v>
      </c>
      <c r="K160" s="26"/>
      <c r="L160" s="26"/>
      <c r="M160" s="26"/>
      <c r="N160" s="26"/>
      <c r="O160" s="26"/>
    </row>
    <row r="161" spans="4:15" ht="20.100000000000001" customHeight="1" x14ac:dyDescent="0.25">
      <c r="D161" s="96" t="s">
        <v>226</v>
      </c>
      <c r="E161" s="96"/>
      <c r="F161" s="96"/>
      <c r="G161" s="96"/>
    </row>
    <row r="162" spans="4:15" ht="20.100000000000001" customHeight="1" x14ac:dyDescent="0.25">
      <c r="D162" s="1" t="s">
        <v>244</v>
      </c>
      <c r="E162" s="23" t="s">
        <v>223</v>
      </c>
      <c r="F162" s="26" t="s">
        <v>110</v>
      </c>
    </row>
    <row r="163" spans="4:15" ht="20.100000000000001" customHeight="1" x14ac:dyDescent="0.25"/>
    <row r="164" spans="4:15" ht="20.100000000000001" customHeight="1" x14ac:dyDescent="0.25"/>
    <row r="165" spans="4:15" ht="20.100000000000001" customHeight="1" x14ac:dyDescent="0.25">
      <c r="K165" s="1" t="s">
        <v>245</v>
      </c>
    </row>
    <row r="166" spans="4:15" ht="20.100000000000001" customHeight="1" x14ac:dyDescent="0.25"/>
    <row r="167" spans="4:15" ht="20.100000000000001" customHeight="1" x14ac:dyDescent="0.25">
      <c r="E167" s="96" t="s">
        <v>246</v>
      </c>
      <c r="F167" s="96" t="s">
        <v>213</v>
      </c>
      <c r="G167" s="96" t="s">
        <v>214</v>
      </c>
      <c r="H167" s="96" t="s">
        <v>215</v>
      </c>
      <c r="L167" s="1" t="s">
        <v>212</v>
      </c>
      <c r="M167" s="1" t="s">
        <v>216</v>
      </c>
      <c r="N167" s="26"/>
      <c r="O167" s="26"/>
    </row>
    <row r="168" spans="4:15" ht="20.100000000000001" customHeight="1" x14ac:dyDescent="0.25">
      <c r="D168" s="1" t="str">
        <f>"Proportion of cows &gt; 1 years in calf in " &amp; E162</f>
        <v>Proportion of cows &gt; 1 years in calf in Winter</v>
      </c>
      <c r="E168" s="23" t="s">
        <v>247</v>
      </c>
      <c r="F168" s="28">
        <v>0.7</v>
      </c>
      <c r="G168" s="28">
        <v>0.5</v>
      </c>
      <c r="H168" s="28">
        <v>0.5</v>
      </c>
      <c r="I168" s="26" t="s">
        <v>240</v>
      </c>
      <c r="L168" s="25">
        <f>MAX(0, G42-G41)</f>
        <v>0</v>
      </c>
      <c r="M168" s="25">
        <f>MAX(0,K42-K41)</f>
        <v>0</v>
      </c>
      <c r="N168" s="26"/>
      <c r="O168" s="26"/>
    </row>
    <row r="169" spans="4:15" ht="20.100000000000001" customHeight="1" x14ac:dyDescent="0.25">
      <c r="D169" s="1" t="s">
        <v>220</v>
      </c>
      <c r="E169" s="23" t="s">
        <v>247</v>
      </c>
      <c r="F169" s="28">
        <v>0.1</v>
      </c>
      <c r="G169" s="28">
        <v>0.4</v>
      </c>
      <c r="H169" s="28">
        <v>0.4</v>
      </c>
      <c r="I169" s="26" t="s">
        <v>240</v>
      </c>
      <c r="L169" s="25">
        <f>MAX(0, G39-G42)</f>
        <v>0</v>
      </c>
      <c r="M169" s="25">
        <f>MAX(0,K39-K42)</f>
        <v>0</v>
      </c>
    </row>
    <row r="170" spans="4:15" ht="20.100000000000001" customHeight="1" x14ac:dyDescent="0.25">
      <c r="D170" s="1" t="s">
        <v>221</v>
      </c>
      <c r="E170" s="23" t="s">
        <v>247</v>
      </c>
      <c r="F170" s="28">
        <v>0.1</v>
      </c>
      <c r="G170" s="28">
        <v>0</v>
      </c>
      <c r="H170" s="28">
        <v>0</v>
      </c>
      <c r="I170" s="26" t="s">
        <v>240</v>
      </c>
      <c r="L170" s="25">
        <f>MAX(0, G40-G39)</f>
        <v>0</v>
      </c>
      <c r="M170" s="25">
        <f>MAX(0,K40-K39)</f>
        <v>0</v>
      </c>
    </row>
    <row r="171" spans="4:15" ht="20.100000000000001" customHeight="1" x14ac:dyDescent="0.25">
      <c r="D171" s="1" t="s">
        <v>222</v>
      </c>
      <c r="E171" s="23" t="s">
        <v>237</v>
      </c>
      <c r="F171" s="28">
        <v>0</v>
      </c>
      <c r="G171" s="28">
        <v>0</v>
      </c>
      <c r="H171" s="28">
        <v>0</v>
      </c>
      <c r="I171" s="26" t="s">
        <v>240</v>
      </c>
      <c r="L171" s="25">
        <f>MAX(0,G41-G40)</f>
        <v>0</v>
      </c>
      <c r="M171" s="25">
        <f>MAX(0,K41-K40)</f>
        <v>0</v>
      </c>
    </row>
    <row r="172" spans="4:15" ht="20.100000000000001" customHeight="1" x14ac:dyDescent="0.25">
      <c r="J172" s="1" t="s">
        <v>248</v>
      </c>
    </row>
    <row r="173" spans="4:15" ht="20.100000000000001" customHeight="1" x14ac:dyDescent="0.25"/>
    <row r="174" spans="4:15" ht="20.100000000000001" customHeight="1" x14ac:dyDescent="0.25"/>
    <row r="175" spans="4:15" ht="20.100000000000001" customHeight="1" x14ac:dyDescent="0.25">
      <c r="D175" s="96" t="s">
        <v>227</v>
      </c>
      <c r="E175" s="96"/>
      <c r="F175" s="96"/>
      <c r="G175" s="96"/>
      <c r="L175" s="99" t="s">
        <v>249</v>
      </c>
    </row>
    <row r="176" spans="4:15" ht="20.100000000000001" customHeight="1" x14ac:dyDescent="0.25">
      <c r="D176" s="1" t="s">
        <v>250</v>
      </c>
      <c r="E176" s="23" t="s">
        <v>251</v>
      </c>
      <c r="F176" s="26" t="s">
        <v>110</v>
      </c>
      <c r="J176" s="88" t="s">
        <v>211</v>
      </c>
    </row>
    <row r="177" spans="4:15" ht="20.100000000000001" customHeight="1" x14ac:dyDescent="0.25">
      <c r="D177" s="1" t="s">
        <v>252</v>
      </c>
      <c r="E177" s="25" t="str">
        <f>TEXT(EDATE(E176,1), "mmmm yyyy")</f>
        <v>September 2024</v>
      </c>
      <c r="J177" s="1" t="s">
        <v>225</v>
      </c>
      <c r="K177" s="1" t="s">
        <v>253</v>
      </c>
      <c r="L177" s="1" t="s">
        <v>248</v>
      </c>
      <c r="M177" s="1" t="s">
        <v>254</v>
      </c>
      <c r="N177" s="1" t="s">
        <v>255</v>
      </c>
      <c r="O177" s="1" t="s">
        <v>256</v>
      </c>
    </row>
    <row r="178" spans="4:15" ht="20.100000000000001" customHeight="1" x14ac:dyDescent="0.25">
      <c r="D178" s="1" t="s">
        <v>257</v>
      </c>
      <c r="E178" s="25" t="str">
        <f>TEXT(EDATE(E176,2), "mmmm yyyy")</f>
        <v>October 2024</v>
      </c>
      <c r="J178" s="25">
        <f>E39</f>
        <v>100</v>
      </c>
      <c r="K178" s="25">
        <f>MAX(0, E39-E42)</f>
        <v>0</v>
      </c>
      <c r="L178" s="1">
        <f>K178/J178</f>
        <v>0</v>
      </c>
      <c r="M178" s="1">
        <f>K181/J178</f>
        <v>0</v>
      </c>
      <c r="N178" s="26">
        <f>1-(L178+M178)</f>
        <v>1</v>
      </c>
      <c r="O178" s="88">
        <f>(L178*6)+(M178*4)+(N178*0)</f>
        <v>0</v>
      </c>
    </row>
    <row r="179" spans="4:15" ht="20.100000000000001" customHeight="1" x14ac:dyDescent="0.25">
      <c r="J179" s="25">
        <f>E40</f>
        <v>100</v>
      </c>
      <c r="K179" s="25">
        <f>MAX(0, E40-E39)</f>
        <v>0</v>
      </c>
      <c r="L179" s="1">
        <f>K179/J179</f>
        <v>0</v>
      </c>
      <c r="M179" s="1">
        <f>K178/J179</f>
        <v>0</v>
      </c>
      <c r="N179" s="26">
        <f>1-(L179+M179)</f>
        <v>1</v>
      </c>
      <c r="O179" s="88">
        <f t="shared" ref="O179:O181" si="1">(L179*6)+(M179*4)+(N179*0)</f>
        <v>0</v>
      </c>
    </row>
    <row r="180" spans="4:15" ht="20.100000000000001" customHeight="1" x14ac:dyDescent="0.25">
      <c r="J180" s="25">
        <f>E41</f>
        <v>100</v>
      </c>
      <c r="K180" s="25">
        <f>MAX(0,E41-E40)</f>
        <v>0</v>
      </c>
      <c r="L180" s="1">
        <f>K180/J180</f>
        <v>0</v>
      </c>
      <c r="M180" s="1">
        <f>K179/J180</f>
        <v>0</v>
      </c>
      <c r="N180" s="26">
        <f>1-(L180+M180)</f>
        <v>1</v>
      </c>
      <c r="O180" s="88">
        <f t="shared" si="1"/>
        <v>0</v>
      </c>
    </row>
    <row r="181" spans="4:15" ht="20.100000000000001" customHeight="1" x14ac:dyDescent="0.25">
      <c r="E181" s="96" t="s">
        <v>213</v>
      </c>
      <c r="F181" s="96" t="s">
        <v>214</v>
      </c>
      <c r="G181" s="96" t="s">
        <v>215</v>
      </c>
      <c r="J181" s="25">
        <f>E42</f>
        <v>100</v>
      </c>
      <c r="K181" s="25">
        <f>MAX(0, E42-E41)</f>
        <v>0</v>
      </c>
      <c r="L181" s="1">
        <f>K181/J181</f>
        <v>0</v>
      </c>
      <c r="M181" s="26">
        <f>K180/J181</f>
        <v>0</v>
      </c>
      <c r="N181" s="26">
        <f>1-(L181+M181)</f>
        <v>1</v>
      </c>
      <c r="O181" s="88">
        <f t="shared" si="1"/>
        <v>0</v>
      </c>
    </row>
    <row r="182" spans="4:15" ht="20.100000000000001" customHeight="1" x14ac:dyDescent="0.25">
      <c r="D182" s="1" t="str">
        <f>E176</f>
        <v>August 2024</v>
      </c>
      <c r="E182" s="28">
        <v>0.25</v>
      </c>
      <c r="F182" s="28">
        <v>0.25</v>
      </c>
      <c r="G182" s="28">
        <v>0.25</v>
      </c>
      <c r="H182" s="26" t="s">
        <v>240</v>
      </c>
      <c r="L182" s="26"/>
      <c r="M182" s="26"/>
      <c r="N182" s="26"/>
      <c r="O182" s="26"/>
    </row>
    <row r="183" spans="4:15" ht="20.100000000000001" customHeight="1" x14ac:dyDescent="0.25">
      <c r="D183" s="1" t="str">
        <f>E177</f>
        <v>September 2024</v>
      </c>
      <c r="E183" s="28">
        <v>0.25</v>
      </c>
      <c r="F183" s="28">
        <v>0.25</v>
      </c>
      <c r="G183" s="28">
        <v>0.25</v>
      </c>
      <c r="H183" s="26" t="s">
        <v>240</v>
      </c>
    </row>
    <row r="184" spans="4:15" ht="20.100000000000001" customHeight="1" x14ac:dyDescent="0.25">
      <c r="D184" s="1" t="str">
        <f>E178</f>
        <v>October 2024</v>
      </c>
      <c r="E184" s="28">
        <v>0.25</v>
      </c>
      <c r="F184" s="28">
        <v>0.25</v>
      </c>
      <c r="G184" s="28">
        <v>0.25</v>
      </c>
      <c r="H184" s="26" t="s">
        <v>240</v>
      </c>
    </row>
    <row r="185" spans="4:15" ht="20.100000000000001" customHeight="1" x14ac:dyDescent="0.25">
      <c r="D185" s="1" t="str">
        <f>"Proportion of cows &gt; 1 years in calf in " &amp; D182 &amp; " to " &amp; D184</f>
        <v>Proportion of cows &gt; 1 years in calf in August 2024 to October 2024</v>
      </c>
      <c r="E185" s="29">
        <f>SUM(E182:E184)</f>
        <v>0.75</v>
      </c>
      <c r="F185" s="29">
        <f>SUM(F182:F184)</f>
        <v>0.75</v>
      </c>
      <c r="G185" s="29">
        <f>SUM(G182:G184)</f>
        <v>0.75</v>
      </c>
      <c r="H185" s="26" t="s">
        <v>240</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26"/>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94"/>
    </row>
    <row r="206" spans="11:27" ht="20.100000000000001" customHeight="1" x14ac:dyDescent="0.25">
      <c r="Z206" s="94"/>
      <c r="AA206" s="94"/>
    </row>
    <row r="207" spans="11:27" ht="20.100000000000001" customHeight="1" x14ac:dyDescent="0.25">
      <c r="Z207" s="94"/>
      <c r="AA207" s="94"/>
    </row>
    <row r="208" spans="11:27" ht="20.100000000000001" customHeight="1" x14ac:dyDescent="0.25">
      <c r="Z208" s="94"/>
      <c r="AA208" s="94"/>
    </row>
    <row r="209" spans="26:27" ht="20.100000000000001" customHeight="1" x14ac:dyDescent="0.25">
      <c r="Z209" s="94"/>
      <c r="AA209" s="94"/>
    </row>
    <row r="210" spans="26:27" ht="20.100000000000001" customHeight="1" x14ac:dyDescent="0.25">
      <c r="Z210" s="94"/>
      <c r="AA210" s="94"/>
    </row>
    <row r="211" spans="26:27" ht="20.100000000000001" customHeight="1" x14ac:dyDescent="0.25">
      <c r="Z211" s="94"/>
      <c r="AA211" s="94"/>
    </row>
    <row r="212" spans="26:27" ht="20.100000000000001" customHeight="1" x14ac:dyDescent="0.25">
      <c r="Z212" s="94"/>
      <c r="AA212" s="94"/>
    </row>
    <row r="213" spans="26:27" ht="20.100000000000001" customHeight="1" x14ac:dyDescent="0.25">
      <c r="Z213" s="94"/>
      <c r="AA213" s="94"/>
    </row>
    <row r="214" spans="26:27" ht="20.100000000000001" customHeight="1" x14ac:dyDescent="0.25">
      <c r="Z214" s="94"/>
      <c r="AA214" s="94"/>
    </row>
    <row r="215" spans="26:27" ht="20.100000000000001" customHeight="1" x14ac:dyDescent="0.25">
      <c r="Z215" s="94"/>
      <c r="AA215" s="94"/>
    </row>
    <row r="216" spans="26:27" ht="20.100000000000001" customHeight="1" x14ac:dyDescent="0.25">
      <c r="Z216" s="94"/>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26"/>
      <c r="M227" s="26"/>
      <c r="N227" s="26"/>
      <c r="O227" s="26"/>
    </row>
    <row r="228" spans="11:15" x14ac:dyDescent="0.25">
      <c r="K228" s="26"/>
      <c r="L228" s="26"/>
      <c r="M228" s="26"/>
      <c r="N228" s="26"/>
      <c r="O228" s="26"/>
    </row>
    <row r="229" spans="11:15" x14ac:dyDescent="0.25">
      <c r="L229" s="26"/>
      <c r="M229" s="26"/>
      <c r="N229" s="26"/>
      <c r="O229" s="26"/>
    </row>
    <row r="232" spans="11:15" x14ac:dyDescent="0.25">
      <c r="L232" s="26"/>
      <c r="M232" s="26"/>
      <c r="N232" s="26"/>
      <c r="O232" s="26"/>
    </row>
    <row r="233" spans="11:15" x14ac:dyDescent="0.25">
      <c r="K233" s="26"/>
      <c r="L233" s="26"/>
      <c r="M233" s="26"/>
      <c r="N233" s="26"/>
      <c r="O233" s="26"/>
    </row>
    <row r="234" spans="11:15" x14ac:dyDescent="0.25">
      <c r="L234" s="26"/>
      <c r="M234" s="26"/>
      <c r="N234" s="26"/>
      <c r="O234" s="26"/>
    </row>
    <row r="237" spans="11:15" x14ac:dyDescent="0.25">
      <c r="L237" s="26"/>
      <c r="M237" s="26"/>
      <c r="N237" s="26"/>
      <c r="O237" s="26"/>
    </row>
    <row r="238" spans="11:15" x14ac:dyDescent="0.25">
      <c r="K238" s="26"/>
      <c r="L238" s="26"/>
      <c r="M238" s="26"/>
      <c r="N238" s="26"/>
      <c r="O238" s="26"/>
    </row>
    <row r="239" spans="11:15" x14ac:dyDescent="0.25">
      <c r="K239" s="26"/>
      <c r="L239" s="26"/>
      <c r="M239" s="26"/>
      <c r="N239" s="26"/>
      <c r="O239" s="26"/>
    </row>
    <row r="240" spans="11:15" x14ac:dyDescent="0.25">
      <c r="K240" s="26"/>
    </row>
    <row r="241" spans="11:15" x14ac:dyDescent="0.25">
      <c r="K241" s="26"/>
    </row>
    <row r="242" spans="11:15" x14ac:dyDescent="0.25">
      <c r="K242" s="26"/>
      <c r="L242" s="26"/>
      <c r="M242" s="26"/>
      <c r="N242" s="26"/>
      <c r="O242" s="26"/>
    </row>
    <row r="243" spans="11:15" x14ac:dyDescent="0.25">
      <c r="L243" s="26"/>
      <c r="M243" s="26"/>
      <c r="N243" s="26"/>
      <c r="O243" s="26"/>
    </row>
    <row r="244" spans="11:15" x14ac:dyDescent="0.25">
      <c r="K244" s="26"/>
      <c r="L244" s="26"/>
      <c r="M244" s="26"/>
      <c r="N244" s="26"/>
      <c r="O244" s="26"/>
    </row>
    <row r="246" spans="11:15" x14ac:dyDescent="0.25">
      <c r="K246" s="26"/>
    </row>
    <row r="247" spans="11:15" x14ac:dyDescent="0.25">
      <c r="K247" s="26"/>
    </row>
    <row r="248" spans="11:15" x14ac:dyDescent="0.25">
      <c r="K248" s="26"/>
    </row>
    <row r="249" spans="11:15" x14ac:dyDescent="0.25">
      <c r="K249" s="26"/>
    </row>
    <row r="251" spans="11:15" x14ac:dyDescent="0.25">
      <c r="K251" s="26"/>
      <c r="L251" s="26"/>
      <c r="M251" s="26"/>
      <c r="N251" s="26"/>
      <c r="O251" s="26"/>
    </row>
    <row r="252" spans="11:15" x14ac:dyDescent="0.25">
      <c r="L252" s="26"/>
      <c r="M252" s="26"/>
      <c r="N252" s="26"/>
      <c r="O252" s="26"/>
    </row>
    <row r="253" spans="11:15" x14ac:dyDescent="0.25">
      <c r="L253" s="26"/>
      <c r="M253" s="26"/>
      <c r="N253" s="26"/>
      <c r="O253" s="26"/>
    </row>
    <row r="256" spans="11:15" x14ac:dyDescent="0.25">
      <c r="L256" s="26"/>
      <c r="M256" s="26"/>
      <c r="N256" s="26"/>
      <c r="O256" s="26"/>
    </row>
    <row r="257" spans="11:15" x14ac:dyDescent="0.25">
      <c r="K257" s="26"/>
      <c r="L257" s="26"/>
      <c r="M257" s="26"/>
      <c r="N257" s="26"/>
      <c r="O257" s="26"/>
    </row>
    <row r="258" spans="11:15" x14ac:dyDescent="0.25">
      <c r="L258" s="26"/>
      <c r="M258" s="26"/>
      <c r="N258" s="26"/>
      <c r="O258"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K267" s="26"/>
      <c r="L267" s="26"/>
      <c r="M267" s="26"/>
      <c r="N267" s="26"/>
      <c r="O267" s="26"/>
    </row>
    <row r="268" spans="11:15" x14ac:dyDescent="0.25">
      <c r="L268" s="26"/>
      <c r="M268" s="26"/>
      <c r="N268" s="26"/>
      <c r="O268" s="26"/>
    </row>
    <row r="272" spans="11:15" x14ac:dyDescent="0.25">
      <c r="K272" s="26"/>
    </row>
    <row r="273" spans="11:11" x14ac:dyDescent="0.25">
      <c r="K273" s="26"/>
    </row>
    <row r="274" spans="11:11" x14ac:dyDescent="0.25">
      <c r="K274" s="26"/>
    </row>
    <row r="275" spans="11:11" x14ac:dyDescent="0.25">
      <c r="K275" s="26"/>
    </row>
    <row r="276" spans="11:11" x14ac:dyDescent="0.25">
      <c r="K276" s="26"/>
    </row>
    <row r="278" spans="11:11" x14ac:dyDescent="0.25">
      <c r="K278" s="26"/>
    </row>
    <row r="280" spans="11:11" x14ac:dyDescent="0.25">
      <c r="K280" s="26"/>
    </row>
    <row r="281" spans="11:11" x14ac:dyDescent="0.25">
      <c r="K281" s="26"/>
    </row>
    <row r="282" spans="11:11" x14ac:dyDescent="0.25">
      <c r="K282" s="26"/>
    </row>
    <row r="283" spans="11:11" x14ac:dyDescent="0.25">
      <c r="K283" s="26"/>
    </row>
    <row r="285" spans="11:11" x14ac:dyDescent="0.25">
      <c r="K285" s="26"/>
    </row>
    <row r="293" spans="11:11" x14ac:dyDescent="0.25">
      <c r="K293" s="26"/>
    </row>
    <row r="294" spans="11:11" x14ac:dyDescent="0.25">
      <c r="K294" s="26"/>
    </row>
    <row r="295" spans="11:11" x14ac:dyDescent="0.25">
      <c r="K295" s="26"/>
    </row>
    <row r="298" spans="11:11" x14ac:dyDescent="0.25">
      <c r="K298" s="26"/>
    </row>
    <row r="299" spans="11:11" x14ac:dyDescent="0.25">
      <c r="K299" s="26"/>
    </row>
    <row r="300" spans="11:11" x14ac:dyDescent="0.25">
      <c r="K300" s="26"/>
    </row>
    <row r="303" spans="11:11" x14ac:dyDescent="0.25">
      <c r="K303" s="26"/>
    </row>
    <row r="304" spans="11:11" x14ac:dyDescent="0.25">
      <c r="K304" s="26"/>
    </row>
    <row r="305" spans="11:11" x14ac:dyDescent="0.25">
      <c r="K305" s="26"/>
    </row>
    <row r="308" spans="11:11" x14ac:dyDescent="0.25">
      <c r="K308" s="26"/>
    </row>
    <row r="309" spans="11:11" x14ac:dyDescent="0.25">
      <c r="K309" s="26"/>
    </row>
    <row r="310" spans="11:11" x14ac:dyDescent="0.25">
      <c r="K310" s="26"/>
    </row>
    <row r="317" spans="11:11" x14ac:dyDescent="0.25">
      <c r="K317" s="26"/>
    </row>
    <row r="318" spans="11:11" x14ac:dyDescent="0.25">
      <c r="K318" s="26"/>
    </row>
    <row r="319" spans="11:11" x14ac:dyDescent="0.25">
      <c r="K319" s="26"/>
    </row>
    <row r="322" spans="4:11" x14ac:dyDescent="0.25">
      <c r="K322" s="26"/>
    </row>
    <row r="323" spans="4:11" x14ac:dyDescent="0.25">
      <c r="K323" s="26"/>
    </row>
    <row r="324" spans="4:11" x14ac:dyDescent="0.25">
      <c r="K324" s="26"/>
    </row>
    <row r="327" spans="4:11" x14ac:dyDescent="0.25">
      <c r="K327" s="26"/>
    </row>
    <row r="328" spans="4:11" x14ac:dyDescent="0.25">
      <c r="D328" s="92"/>
      <c r="K328" s="26"/>
    </row>
    <row r="329" spans="4:11" x14ac:dyDescent="0.25">
      <c r="K329" s="26"/>
    </row>
    <row r="332" spans="4:11" x14ac:dyDescent="0.25">
      <c r="K332" s="26"/>
    </row>
    <row r="333" spans="4:11" x14ac:dyDescent="0.25">
      <c r="K333" s="26"/>
    </row>
    <row r="334" spans="4:11" x14ac:dyDescent="0.25">
      <c r="K334" s="26"/>
    </row>
  </sheetData>
  <conditionalFormatting sqref="F189:F190">
    <cfRule type="cellIs" dxfId="102" priority="10" operator="lessThan">
      <formula>0</formula>
    </cfRule>
  </conditionalFormatting>
  <conditionalFormatting sqref="F194:F195">
    <cfRule type="cellIs" dxfId="101" priority="9" operator="lessThan">
      <formula>0</formula>
    </cfRule>
  </conditionalFormatting>
  <conditionalFormatting sqref="F227:F228">
    <cfRule type="cellIs" dxfId="100" priority="8" operator="lessThan">
      <formula>0</formula>
    </cfRule>
  </conditionalFormatting>
  <conditionalFormatting sqref="F251:F252">
    <cfRule type="cellIs" dxfId="99" priority="7" operator="lessThan">
      <formula>0</formula>
    </cfRule>
  </conditionalFormatting>
  <conditionalFormatting sqref="F256:F257">
    <cfRule type="cellIs" dxfId="98" priority="6" operator="lessThan">
      <formula>0</formula>
    </cfRule>
  </conditionalFormatting>
  <conditionalFormatting sqref="F261:F262">
    <cfRule type="cellIs" dxfId="97" priority="5" operator="lessThan">
      <formula>0</formula>
    </cfRule>
  </conditionalFormatting>
  <conditionalFormatting sqref="H181:K181">
    <cfRule type="cellIs" dxfId="96"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95" priority="11" operator="lessThan">
      <formula>0</formula>
    </cfRule>
  </conditionalFormatting>
  <conditionalFormatting sqref="I125:O125">
    <cfRule type="cellIs" dxfId="94" priority="3" operator="lessThan">
      <formula>0</formula>
    </cfRule>
  </conditionalFormatting>
  <conditionalFormatting sqref="K180:K181">
    <cfRule type="cellIs" dxfId="93" priority="2" operator="lessThan">
      <formula>0</formula>
    </cfRule>
  </conditionalFormatting>
  <conditionalFormatting sqref="N178:N180">
    <cfRule type="cellIs" dxfId="92" priority="1" operator="lessThan">
      <formula>0</formula>
    </cfRule>
  </conditionalFormatting>
  <conditionalFormatting sqref="P43:R43">
    <cfRule type="cellIs" dxfId="91" priority="12" operator="lessThan">
      <formula>0</formula>
    </cfRule>
  </conditionalFormatting>
  <dataValidations count="9">
    <dataValidation type="list" allowBlank="1" showInputMessage="1" showErrorMessage="1" sqref="E176" xr:uid="{EB1A26C7-D115-4DA6-AC44-8F83EEC7BBA3}">
      <formula1>$D$23:$D$34</formula1>
    </dataValidation>
    <dataValidation type="list" allowBlank="1" showInputMessage="1" showErrorMessage="1" sqref="E162" xr:uid="{5ADDFFA8-4546-44F4-B55A-0399128ECE9D}">
      <formula1>"Spring, Summer, Autumn, Winter"</formula1>
    </dataValidation>
    <dataValidation type="list" allowBlank="1" showInputMessage="1" showErrorMessage="1" sqref="E156" xr:uid="{BBF343DE-76A4-46D4-9BD5-7B01FF431F7C}">
      <formula1>INDIRECT("Table_SourceData_PastureBeef_CropProdSystems[Production system]")</formula1>
    </dataValidation>
    <dataValidation type="list" allowBlank="1" showInputMessage="1" showErrorMessage="1" sqref="E157" xr:uid="{D7D4DA1E-F9A6-4EC4-AE49-ABCD733A2D18}">
      <formula1>INDIRECT("Table_SourceData_PastureBeef_IrrigationMethods[Irrigation method]")</formula1>
    </dataValidation>
    <dataValidation type="list" allowBlank="1" showInputMessage="1" showErrorMessage="1" sqref="E9" xr:uid="{049334AB-A81C-44CD-BEFE-E97A27733659}">
      <formula1>INDIRECT("Table_SourceData_PastureBeef_FeedIntakeAdjustment[Breed]")</formula1>
    </dataValidation>
    <dataValidation type="list" allowBlank="1" showInputMessage="1" showErrorMessage="1" sqref="E8" xr:uid="{0309AD24-BA26-4C6A-9A97-298C1DAA823D}">
      <formula1>INDIRECT("Table_SourceData_PastureBeef_Region_" &amp; SUBSTITUTE($E$7, " ", "") &amp; "[Region]")</formula1>
    </dataValidation>
    <dataValidation type="list" allowBlank="1" showInputMessage="1" showErrorMessage="1" sqref="E15 E37 E59 E81" xr:uid="{E57C9C02-535B-40CA-AFB6-09053264D138}">
      <formula1>INDIRECT("Table_SourceData_Dairy_WjCowsHeifers[Breed]")</formula1>
    </dataValidation>
    <dataValidation type="list" allowBlank="1" showInputMessage="1" showErrorMessage="1" sqref="E188 E193 E226 E260 E255 E250 E149" xr:uid="{021BCB40-1E48-4D12-B650-17A128243BCA}">
      <formula1>"Yes, No"</formula1>
    </dataValidation>
    <dataValidation type="list" allowBlank="1" showInputMessage="1" showErrorMessage="1" sqref="D244" xr:uid="{C2BE61E9-1E59-45FA-8658-5356606A7C83}">
      <formula1>INDIRECT("Table_SourceData_PoultryMMSStage1[MMS]")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758A-39FA-40D4-945F-30531886856A}">
  <dimension ref="A1:AA334"/>
  <sheetViews>
    <sheetView showGridLines="0" topLeftCell="A133"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4" customWidth="1"/>
    <col min="19" max="24" width="30.7109375" style="94" customWidth="1"/>
    <col min="25" max="25" width="4.7109375" style="94" customWidth="1"/>
  </cols>
  <sheetData>
    <row r="1" spans="1:25" s="16" customFormat="1" ht="30" customHeight="1" x14ac:dyDescent="0.35">
      <c r="A1" s="16" t="e" vm="1">
        <v>#VALUE!</v>
      </c>
      <c r="C1" s="16" t="s">
        <v>202</v>
      </c>
      <c r="Q1" s="94"/>
      <c r="R1" s="94"/>
      <c r="S1" s="94"/>
      <c r="T1" s="94"/>
      <c r="U1" s="94"/>
      <c r="V1" s="94"/>
      <c r="W1" s="94"/>
      <c r="X1" s="94"/>
      <c r="Y1" s="94"/>
    </row>
    <row r="2" spans="1:25" s="3" customFormat="1" ht="20.100000000000001" customHeight="1" x14ac:dyDescent="0.25">
      <c r="A2"/>
      <c r="Q2" s="94"/>
      <c r="R2" s="94"/>
      <c r="S2" s="94"/>
      <c r="T2" s="94"/>
      <c r="U2" s="94"/>
      <c r="V2" s="94"/>
      <c r="W2" s="94"/>
      <c r="X2" s="94"/>
      <c r="Y2" s="94"/>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HYPERLINK("#'Overview'!A1", "Overview")</f>
        <v>Overview</v>
      </c>
    </row>
    <row r="5" spans="1:25" ht="20.100000000000001" customHeight="1" x14ac:dyDescent="0.25">
      <c r="A5" s="5" t="str">
        <f>HYPERLINK("#'Results'!A1", "Results")</f>
        <v>Results</v>
      </c>
      <c r="D5" s="2" t="s">
        <v>203</v>
      </c>
      <c r="P5" s="35"/>
      <c r="T5" s="32"/>
    </row>
    <row r="6" spans="1:25" ht="20.100000000000001" customHeight="1" x14ac:dyDescent="0.25">
      <c r="P6" s="35"/>
      <c r="T6" s="32"/>
    </row>
    <row r="7" spans="1:25" ht="20.100000000000001" customHeight="1" x14ac:dyDescent="0.25">
      <c r="D7" s="1" t="s">
        <v>108</v>
      </c>
      <c r="E7" s="25" t="str">
        <f>X_Cell_Site_State</f>
        <v>Western Australia</v>
      </c>
      <c r="P7" s="35"/>
      <c r="T7" s="32"/>
    </row>
    <row r="8" spans="1:25" ht="20.100000000000001" customHeight="1" x14ac:dyDescent="0.25">
      <c r="A8" s="7" t="s">
        <v>0</v>
      </c>
      <c r="D8" s="1" t="s">
        <v>204</v>
      </c>
      <c r="E8" s="23" t="s">
        <v>205</v>
      </c>
      <c r="F8" s="26" t="s">
        <v>110</v>
      </c>
      <c r="P8" s="35"/>
      <c r="T8" s="32"/>
    </row>
    <row r="9" spans="1:25" ht="20.100000000000001" customHeight="1" x14ac:dyDescent="0.25">
      <c r="A9" s="5" t="str">
        <f>HYPERLINK("#'Input - Enterprise'!A1", "Enterprise")</f>
        <v>Enterprise</v>
      </c>
      <c r="D9" s="1" t="s">
        <v>206</v>
      </c>
      <c r="E9" s="23" t="s">
        <v>207</v>
      </c>
      <c r="F9" s="26" t="s">
        <v>110</v>
      </c>
      <c r="T9" s="32"/>
    </row>
    <row r="10" spans="1:25" ht="20.100000000000001" customHeight="1" x14ac:dyDescent="0.25">
      <c r="A10" s="5" t="str">
        <f>HYPERLINK("#'Input - Site'!A1", "Site")</f>
        <v>Site</v>
      </c>
      <c r="T10" s="32"/>
    </row>
    <row r="11" spans="1:25" ht="20.100000000000001" customHeight="1" x14ac:dyDescent="0.25">
      <c r="A11" s="5" t="str">
        <f>HYPERLINK("#'Input - Pasture Beef'!A1", "Pasture Beef")</f>
        <v>Pasture Beef</v>
      </c>
      <c r="T11" s="32"/>
    </row>
    <row r="12" spans="1:25" ht="20.100000000000001" customHeight="1" x14ac:dyDescent="0.25">
      <c r="A12" s="95" t="str">
        <f>HYPERLINK("#'Input - Pasture Beef (Enteric)'!A1", "Pasture Beef (Enteric)")</f>
        <v>Pasture Beef (Enteric)</v>
      </c>
      <c r="T12" s="32"/>
    </row>
    <row r="13" spans="1:25" ht="20.100000000000001" customHeight="1" x14ac:dyDescent="0.25">
      <c r="A13" s="5" t="str">
        <f>HYPERLINK("#'Input - Livestock sales'!A1", "Livestock sales")</f>
        <v>Livestock sales</v>
      </c>
      <c r="D13" s="46" t="s">
        <v>208</v>
      </c>
      <c r="E13" s="48"/>
      <c r="F13" s="48"/>
      <c r="G13" s="49"/>
      <c r="T13" s="52"/>
    </row>
    <row r="14" spans="1:25" ht="20.100000000000001" customHeight="1" x14ac:dyDescent="0.25">
      <c r="A14" s="5" t="str">
        <f>HYPERLINK("#'Input - Beef cattle purchases'!A1", "Beef cattle purchases")</f>
        <v>Beef cattle purchases</v>
      </c>
      <c r="T14" s="52"/>
    </row>
    <row r="15" spans="1:25" ht="20.100000000000001" customHeight="1" x14ac:dyDescent="0.25">
      <c r="A15" s="5" t="str">
        <f>HYPERLINK("#'Input - Pasture'!A1", "Pasture")</f>
        <v>Pasture</v>
      </c>
      <c r="D15" s="91" t="s">
        <v>209</v>
      </c>
      <c r="T15" s="52"/>
    </row>
    <row r="16" spans="1:25" ht="20.100000000000001" customHeight="1" x14ac:dyDescent="0.25">
      <c r="A16" s="5" t="str">
        <f>HYPERLINK("#'Input - Fert Prod System'!A1", "Fert Prod System")</f>
        <v>Fert Prod System</v>
      </c>
      <c r="D16" s="96" t="s">
        <v>210</v>
      </c>
      <c r="E16" s="96" t="s">
        <v>211</v>
      </c>
      <c r="F16" s="96" t="s">
        <v>201</v>
      </c>
      <c r="G16" s="96" t="s">
        <v>212</v>
      </c>
      <c r="H16" s="96" t="s">
        <v>213</v>
      </c>
      <c r="I16" s="96" t="s">
        <v>214</v>
      </c>
      <c r="J16" s="96" t="s">
        <v>215</v>
      </c>
      <c r="K16" s="96" t="s">
        <v>216</v>
      </c>
      <c r="L16" s="96" t="s">
        <v>217</v>
      </c>
      <c r="M16" s="96" t="s">
        <v>218</v>
      </c>
      <c r="N16" s="96" t="s">
        <v>219</v>
      </c>
      <c r="T16" s="52"/>
    </row>
    <row r="17" spans="1:20" ht="20.100000000000001" customHeight="1" x14ac:dyDescent="0.25">
      <c r="A17" s="5" t="str">
        <f>HYPERLINK("#'Input - Fertiliser'!A1", "Fertiliser")</f>
        <v>Fertiliser</v>
      </c>
      <c r="D17" s="1" t="s">
        <v>220</v>
      </c>
      <c r="E17" s="25">
        <v>91.25</v>
      </c>
      <c r="F17" s="25">
        <v>91.25</v>
      </c>
      <c r="G17" s="25">
        <v>91.25</v>
      </c>
      <c r="H17" s="25">
        <v>91.25</v>
      </c>
      <c r="I17" s="25">
        <v>91.25</v>
      </c>
      <c r="J17" s="25">
        <v>91.25</v>
      </c>
      <c r="K17" s="25">
        <v>91.25</v>
      </c>
      <c r="L17" s="25">
        <v>91.25</v>
      </c>
      <c r="M17" s="25">
        <v>91.25</v>
      </c>
      <c r="N17" s="25">
        <v>91.25</v>
      </c>
      <c r="O17" s="26" t="s">
        <v>122</v>
      </c>
      <c r="T17" s="32"/>
    </row>
    <row r="18" spans="1:20" ht="20.100000000000001" customHeight="1" x14ac:dyDescent="0.25">
      <c r="A18" s="5" t="str">
        <f>HYPERLINK("#'Input - Fuel'!A1", "Fuel")</f>
        <v>Fuel</v>
      </c>
      <c r="D18" s="1" t="s">
        <v>221</v>
      </c>
      <c r="E18" s="25">
        <v>91.25</v>
      </c>
      <c r="F18" s="25">
        <v>91.25</v>
      </c>
      <c r="G18" s="25">
        <v>91.25</v>
      </c>
      <c r="H18" s="25">
        <v>91.25</v>
      </c>
      <c r="I18" s="25">
        <v>91.25</v>
      </c>
      <c r="J18" s="25">
        <v>91.25</v>
      </c>
      <c r="K18" s="25">
        <v>91.25</v>
      </c>
      <c r="L18" s="25">
        <v>91.25</v>
      </c>
      <c r="M18" s="25">
        <v>91.25</v>
      </c>
      <c r="N18" s="25">
        <v>91.25</v>
      </c>
      <c r="O18" s="26" t="s">
        <v>122</v>
      </c>
      <c r="T18" s="32"/>
    </row>
    <row r="19" spans="1:20" ht="20.100000000000001" customHeight="1" x14ac:dyDescent="0.25">
      <c r="A19" s="5" t="str">
        <f>HYPERLINK("#'Input - Electricity'!A1", "Electricity")</f>
        <v>Electricity</v>
      </c>
      <c r="D19" s="1" t="s">
        <v>222</v>
      </c>
      <c r="E19" s="25">
        <v>91.25</v>
      </c>
      <c r="F19" s="25">
        <v>91.25</v>
      </c>
      <c r="G19" s="25">
        <v>91.25</v>
      </c>
      <c r="H19" s="25">
        <v>91.25</v>
      </c>
      <c r="I19" s="25">
        <v>91.25</v>
      </c>
      <c r="J19" s="25">
        <v>91.25</v>
      </c>
      <c r="K19" s="25">
        <v>91.25</v>
      </c>
      <c r="L19" s="25">
        <v>91.25</v>
      </c>
      <c r="M19" s="25">
        <v>91.25</v>
      </c>
      <c r="N19" s="25">
        <v>91.25</v>
      </c>
      <c r="O19" s="26" t="s">
        <v>122</v>
      </c>
      <c r="T19" s="32"/>
    </row>
    <row r="20" spans="1:20" ht="20.100000000000001" customHeight="1" x14ac:dyDescent="0.25">
      <c r="A20" s="5" t="str">
        <f>HYPERLINK("#'Input - Farm Inputs'!A1", "Farm Inputs")</f>
        <v>Farm Inputs</v>
      </c>
      <c r="D20" s="1" t="s">
        <v>223</v>
      </c>
      <c r="E20" s="25">
        <v>91.25</v>
      </c>
      <c r="F20" s="25">
        <v>91.25</v>
      </c>
      <c r="G20" s="25">
        <v>91.25</v>
      </c>
      <c r="H20" s="25">
        <v>91.25</v>
      </c>
      <c r="I20" s="25">
        <v>91.25</v>
      </c>
      <c r="J20" s="25">
        <v>91.25</v>
      </c>
      <c r="K20" s="25">
        <v>91.25</v>
      </c>
      <c r="L20" s="25">
        <v>91.25</v>
      </c>
      <c r="M20" s="25">
        <v>91.25</v>
      </c>
      <c r="N20" s="25">
        <v>91.25</v>
      </c>
      <c r="O20" s="26" t="s">
        <v>122</v>
      </c>
      <c r="T20" s="32"/>
    </row>
    <row r="21" spans="1:20" ht="20.100000000000001" customHeight="1" x14ac:dyDescent="0.25">
      <c r="A21" s="5" t="str">
        <f>HYPERLINK("#'Input - Freight'!A1", "Freight")</f>
        <v>Freight</v>
      </c>
      <c r="T21" s="32"/>
    </row>
    <row r="22" spans="1:20" ht="20.100000000000001" customHeight="1" x14ac:dyDescent="0.25">
      <c r="A22" s="5" t="str">
        <f>HYPERLINK("#'Input - Manure sent off-site'!A1", "Manure sent off-site")</f>
        <v>Manure sent off-site</v>
      </c>
      <c r="D22" s="96" t="s">
        <v>224</v>
      </c>
      <c r="E22" s="96" t="s">
        <v>211</v>
      </c>
      <c r="F22" s="96" t="s">
        <v>201</v>
      </c>
      <c r="G22" s="96" t="s">
        <v>212</v>
      </c>
      <c r="H22" s="96" t="s">
        <v>213</v>
      </c>
      <c r="I22" s="96" t="s">
        <v>214</v>
      </c>
      <c r="J22" s="96" t="s">
        <v>215</v>
      </c>
      <c r="K22" s="96" t="s">
        <v>216</v>
      </c>
      <c r="L22" s="96" t="s">
        <v>217</v>
      </c>
      <c r="M22" s="96" t="s">
        <v>218</v>
      </c>
      <c r="N22" s="96" t="s">
        <v>219</v>
      </c>
      <c r="T22" s="32"/>
    </row>
    <row r="23" spans="1:20" ht="20.100000000000001" customHeight="1" x14ac:dyDescent="0.25">
      <c r="A23" s="5" t="str">
        <f>HYPERLINK("#'Input - Solid waste'!A1", "Solid waste")</f>
        <v>Solid waste</v>
      </c>
      <c r="D23" s="1" t="str">
        <f>TEXT(X_Cell_Site_StartDate, "mmmm yyyy")</f>
        <v>January 2024</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122</v>
      </c>
      <c r="T23" s="32"/>
    </row>
    <row r="24" spans="1:20" ht="20.100000000000001" customHeight="1" x14ac:dyDescent="0.25">
      <c r="D24" s="1" t="str">
        <f>TEXT(EDATE(X_Cell_Site_StartDate,1), "mmmm yyyy")</f>
        <v>February 2024</v>
      </c>
      <c r="E24" s="86">
        <f t="shared" si="0"/>
        <v>29</v>
      </c>
      <c r="F24" s="86">
        <f t="shared" si="0"/>
        <v>29</v>
      </c>
      <c r="G24" s="86">
        <f t="shared" si="0"/>
        <v>29</v>
      </c>
      <c r="H24" s="86">
        <f t="shared" si="0"/>
        <v>29</v>
      </c>
      <c r="I24" s="86">
        <f t="shared" si="0"/>
        <v>29</v>
      </c>
      <c r="J24" s="86">
        <f t="shared" si="0"/>
        <v>29</v>
      </c>
      <c r="K24" s="86">
        <f t="shared" si="0"/>
        <v>29</v>
      </c>
      <c r="L24" s="86">
        <f t="shared" si="0"/>
        <v>29</v>
      </c>
      <c r="M24" s="86">
        <f t="shared" si="0"/>
        <v>29</v>
      </c>
      <c r="N24" s="86">
        <f t="shared" si="0"/>
        <v>29</v>
      </c>
      <c r="O24" s="26" t="s">
        <v>122</v>
      </c>
      <c r="T24" s="32"/>
    </row>
    <row r="25" spans="1:20" ht="20.100000000000001" customHeight="1" x14ac:dyDescent="0.25">
      <c r="D25" s="1" t="str">
        <f>TEXT(EDATE(X_Cell_Site_StartDate,2), "mmmm yyyy")</f>
        <v>March 2024</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122</v>
      </c>
      <c r="T25" s="32"/>
    </row>
    <row r="26" spans="1:20" ht="20.100000000000001" customHeight="1" x14ac:dyDescent="0.25">
      <c r="A26" s="6" t="s">
        <v>2</v>
      </c>
      <c r="D26" s="1" t="str">
        <f>TEXT(EDATE(X_Cell_Site_StartDate,3), "mmmm yyyy")</f>
        <v>April 2024</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122</v>
      </c>
      <c r="T26" s="32"/>
    </row>
    <row r="27" spans="1:20" ht="20.100000000000001" customHeight="1" x14ac:dyDescent="0.25">
      <c r="A27" s="5" t="str">
        <f>HYPERLINK("#'3.2.1.1-2 Enteric Methane'!A1", "3.2.1.1-2 Enteric methane")</f>
        <v>3.2.1.1-2 Enteric methane</v>
      </c>
      <c r="D27" s="1" t="str">
        <f>TEXT(EDATE(X_Cell_Site_StartDate,4), "mmmm yyyy")</f>
        <v>May 2024</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122</v>
      </c>
      <c r="T27" s="32"/>
    </row>
    <row r="28" spans="1:20" ht="20.100000000000001" customHeight="1" x14ac:dyDescent="0.25">
      <c r="A28" s="5" t="str">
        <f>HYPERLINK("#'4.2.1.1-2 Methane'!A1", "4.2.1.1-2 Manure methane")</f>
        <v>4.2.1.1-2 Manure methane</v>
      </c>
      <c r="D28" s="1" t="str">
        <f>TEXT(EDATE(X_Cell_Site_StartDate,5), "mmmm yyyy")</f>
        <v>June 2024</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122</v>
      </c>
      <c r="T28" s="32"/>
    </row>
    <row r="29" spans="1:20" ht="20.100000000000001" customHeight="1" x14ac:dyDescent="0.25">
      <c r="A29" s="5" t="str">
        <f>HYPERLINK("#'4.2.1.3-4 Soil direct N20'!A1", "4.2.1.3-4 Soil direct N2O")</f>
        <v>4.2.1.3-4 Soil direct N2O</v>
      </c>
      <c r="D29" s="1" t="str">
        <f>TEXT(EDATE(X_Cell_Site_StartDate,6), "mmmm yyyy")</f>
        <v>July 2024</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122</v>
      </c>
      <c r="T29" s="32"/>
    </row>
    <row r="30" spans="1:20" ht="20.100000000000001" customHeight="1" x14ac:dyDescent="0.25">
      <c r="A30" s="5" t="str">
        <f>HYPERLINK("#'4.2.1.5-6 Soil Atmos Dep'!A1", "4.2.1.5-6 Soil atm. deposition")</f>
        <v>4.2.1.5-6 Soil atm. deposition</v>
      </c>
      <c r="D30" s="1" t="str">
        <f>TEXT(EDATE(X_Cell_Site_StartDate,7), "mmmm yyyy")</f>
        <v>August 2024</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122</v>
      </c>
      <c r="T30" s="32"/>
    </row>
    <row r="31" spans="1:20" ht="20.100000000000001" customHeight="1" x14ac:dyDescent="0.25">
      <c r="A31" s="5" t="str">
        <f>HYPERLINK("#'4.2.1.7-8 Soil leach runoff'!A1", "4.2.1.7-8 Soil leach &amp; runoff")</f>
        <v>4.2.1.7-8 Soil leach &amp; runoff</v>
      </c>
      <c r="D31" s="1" t="str">
        <f>TEXT(EDATE(X_Cell_Site_StartDate,8), "mmmm yyyy")</f>
        <v>September 2024</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122</v>
      </c>
      <c r="T31" s="32"/>
    </row>
    <row r="32" spans="1:20" ht="20.100000000000001" customHeight="1" x14ac:dyDescent="0.25">
      <c r="A32" s="5" t="str">
        <f>HYPERLINK("#'5.1.1.1-2 Inorganic fert N2O'!A1", "5.1.1.1-2 Inorganic fert N2O")</f>
        <v>5.1.1.1-2 Inorganic fert N2O</v>
      </c>
      <c r="D32" s="1" t="str">
        <f>TEXT(EDATE(X_Cell_Site_StartDate,9), "mmmm yyyy")</f>
        <v>October 2024</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122</v>
      </c>
      <c r="T32" s="32"/>
    </row>
    <row r="33" spans="1:20" ht="20.100000000000001" customHeight="1" x14ac:dyDescent="0.25">
      <c r="A33" s="5" t="str">
        <f>HYPERLINK("#'5.1.1.3-4 Inorganic fert CO2'!A1", "5.1.1.3-4 Inorganic fert CO2")</f>
        <v>5.1.1.3-4 Inorganic fert CO2</v>
      </c>
      <c r="D33" s="1" t="str">
        <f>TEXT(EDATE(X_Cell_Site_StartDate,10), "mmmm yyyy")</f>
        <v>November 2024</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122</v>
      </c>
      <c r="T33" s="32"/>
    </row>
    <row r="34" spans="1:20" ht="20.100000000000001" customHeight="1" x14ac:dyDescent="0.25">
      <c r="A34" s="5" t="str">
        <f>HYPERLINK("#'5.2.1.1-2 Organic Fert N2O'!A1", "5.2.1.1-2 Organic fert N2O")</f>
        <v>5.2.1.1-2 Organic fert N2O</v>
      </c>
      <c r="D34" s="1" t="str">
        <f>TEXT(EDATE(X_Cell_Site_StartDate,11), "mmmm yyyy")</f>
        <v>December 2024</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122</v>
      </c>
      <c r="T34" s="32"/>
    </row>
    <row r="35" spans="1:20" ht="20.100000000000001" customHeight="1" x14ac:dyDescent="0.25">
      <c r="A35" s="5" t="str">
        <f>HYPERLINK("#'5.3.1.1-2 Lime CO2'!A1", "5.3.1.1-2 Lime CO2")</f>
        <v>5.3.1.1-2 Lime CO2</v>
      </c>
      <c r="T35" s="32"/>
    </row>
    <row r="36" spans="1:20" ht="20.100000000000001" customHeight="1" x14ac:dyDescent="0.25">
      <c r="A36" s="5" t="str">
        <f>HYPERLINK("#'5.4.1.1-4 Atmos deposition'!A1", "5.4.1.1-4 Atmos. deposition")</f>
        <v>5.4.1.1-4 Atmos. deposition</v>
      </c>
      <c r="T36" s="32"/>
    </row>
    <row r="37" spans="1:20" ht="20.100000000000001" customHeight="1" x14ac:dyDescent="0.25">
      <c r="A37" s="5" t="str">
        <f>HYPERLINK("#'5.5.1.1-2 Leaching and runoff'!A1", "5.5.1.1-2 Leaching &amp; runoff")</f>
        <v>5.5.1.1-2 Leaching &amp; runoff</v>
      </c>
      <c r="D37" s="91" t="s">
        <v>225</v>
      </c>
      <c r="T37" s="32"/>
    </row>
    <row r="38" spans="1:20" ht="20.100000000000001" customHeight="1" x14ac:dyDescent="0.25">
      <c r="A38" s="5" t="str">
        <f>HYPERLINK("#'6.2.1.1-2 Pasture residue N2O'!A1", "6.2.1.1-2 Pasture residue N2O")</f>
        <v>6.2.1.1-2 Pasture residue N2O</v>
      </c>
      <c r="D38" s="96" t="s">
        <v>226</v>
      </c>
      <c r="E38" s="96" t="s">
        <v>211</v>
      </c>
      <c r="F38" s="96" t="s">
        <v>201</v>
      </c>
      <c r="G38" s="96" t="s">
        <v>212</v>
      </c>
      <c r="H38" s="96" t="s">
        <v>213</v>
      </c>
      <c r="I38" s="96" t="s">
        <v>214</v>
      </c>
      <c r="J38" s="96" t="s">
        <v>215</v>
      </c>
      <c r="K38" s="96" t="s">
        <v>216</v>
      </c>
      <c r="L38" s="96" t="s">
        <v>217</v>
      </c>
      <c r="M38" s="96" t="s">
        <v>218</v>
      </c>
      <c r="N38" s="96" t="s">
        <v>219</v>
      </c>
      <c r="T38" s="32"/>
    </row>
    <row r="39" spans="1:20" ht="20.100000000000001" customHeight="1" x14ac:dyDescent="0.25">
      <c r="A39" s="5" t="str">
        <f>HYPERLINK("#'6.3.1.1-2 Leach runoff pasture'!A1", "6.3.1.1-2 Leach &amp; runoff (pasture)")</f>
        <v>6.3.1.1-2 Leach &amp; runoff (pasture)</v>
      </c>
      <c r="D39" s="1" t="s">
        <v>220</v>
      </c>
      <c r="E39" s="86">
        <v>100</v>
      </c>
      <c r="F39" s="86">
        <v>100</v>
      </c>
      <c r="G39" s="86">
        <v>100</v>
      </c>
      <c r="H39" s="86">
        <v>100</v>
      </c>
      <c r="I39" s="86">
        <v>100</v>
      </c>
      <c r="J39" s="86">
        <v>100</v>
      </c>
      <c r="K39" s="86">
        <v>100</v>
      </c>
      <c r="L39" s="86">
        <v>100</v>
      </c>
      <c r="M39" s="86">
        <v>100</v>
      </c>
      <c r="N39" s="86">
        <v>100</v>
      </c>
      <c r="O39" s="26" t="s">
        <v>225</v>
      </c>
      <c r="T39" s="32"/>
    </row>
    <row r="40" spans="1:20" ht="20.100000000000001" customHeight="1" x14ac:dyDescent="0.25">
      <c r="A40" s="5" t="str">
        <f>HYPERLINK("#'8.1.1.1-2 Transport fuel'!A1", "8.1.1.1-2 Transport fuel")</f>
        <v>8.1.1.1-2 Transport fuel</v>
      </c>
      <c r="D40" s="1" t="s">
        <v>221</v>
      </c>
      <c r="E40" s="86">
        <v>100</v>
      </c>
      <c r="F40" s="86">
        <v>100</v>
      </c>
      <c r="G40" s="86">
        <v>100</v>
      </c>
      <c r="H40" s="86">
        <v>100</v>
      </c>
      <c r="I40" s="86">
        <v>100</v>
      </c>
      <c r="J40" s="86">
        <v>100</v>
      </c>
      <c r="K40" s="86">
        <v>100</v>
      </c>
      <c r="L40" s="86">
        <v>100</v>
      </c>
      <c r="M40" s="86">
        <v>100</v>
      </c>
      <c r="N40" s="86">
        <v>100</v>
      </c>
      <c r="O40" s="26" t="s">
        <v>225</v>
      </c>
      <c r="T40" s="32"/>
    </row>
    <row r="41" spans="1:20" ht="20.100000000000001" customHeight="1" x14ac:dyDescent="0.25">
      <c r="A41" s="5" t="str">
        <f>HYPERLINK("#'8.2.1.1-2 Stationary fuel'!A1", "8.2.1.1-2 Stationary fuel")</f>
        <v>8.2.1.1-2 Stationary fuel</v>
      </c>
      <c r="D41" s="1" t="s">
        <v>222</v>
      </c>
      <c r="E41" s="86">
        <v>100</v>
      </c>
      <c r="F41" s="86">
        <v>100</v>
      </c>
      <c r="G41" s="86">
        <v>100</v>
      </c>
      <c r="H41" s="86">
        <v>100</v>
      </c>
      <c r="I41" s="86">
        <v>100</v>
      </c>
      <c r="J41" s="86">
        <v>100</v>
      </c>
      <c r="K41" s="86">
        <v>100</v>
      </c>
      <c r="L41" s="86">
        <v>100</v>
      </c>
      <c r="M41" s="86">
        <v>100</v>
      </c>
      <c r="N41" s="86">
        <v>100</v>
      </c>
      <c r="O41" s="26" t="s">
        <v>225</v>
      </c>
      <c r="T41" s="32"/>
    </row>
    <row r="42" spans="1:20" ht="20.100000000000001" customHeight="1" x14ac:dyDescent="0.25">
      <c r="A42" s="5" t="str">
        <f>HYPERLINK("#'14.1.1-2 Purchased electricity'!A1", "14.1.1-2 Purchased electricity")</f>
        <v>14.1.1-2 Purchased electricity</v>
      </c>
      <c r="D42" s="1" t="s">
        <v>223</v>
      </c>
      <c r="E42" s="86">
        <v>100</v>
      </c>
      <c r="F42" s="86">
        <v>100</v>
      </c>
      <c r="G42" s="86">
        <v>100</v>
      </c>
      <c r="H42" s="86">
        <v>100</v>
      </c>
      <c r="I42" s="86">
        <v>100</v>
      </c>
      <c r="J42" s="86">
        <v>100</v>
      </c>
      <c r="K42" s="86">
        <v>100</v>
      </c>
      <c r="L42" s="86">
        <v>100</v>
      </c>
      <c r="M42" s="86">
        <v>100</v>
      </c>
      <c r="N42" s="86">
        <v>100</v>
      </c>
      <c r="O42" s="26" t="s">
        <v>225</v>
      </c>
      <c r="T42" s="32"/>
    </row>
    <row r="43" spans="1:20" ht="20.100000000000001" customHeight="1" x14ac:dyDescent="0.25">
      <c r="A43" s="5" t="str">
        <f>HYPERLINK("#'15 Scope 3'!A1", "15 Scope 3")</f>
        <v>15 Scope 3</v>
      </c>
      <c r="O43" s="26"/>
      <c r="T43" s="32"/>
    </row>
    <row r="44" spans="1:20" ht="20.100000000000001" customHeight="1" x14ac:dyDescent="0.25">
      <c r="A44" s="5" t="str">
        <f>HYPERLINK("#'Calcs - Manure sent off-site'!A1", "Calcs - Manure sent off-site")</f>
        <v>Calcs - Manure sent off-site</v>
      </c>
      <c r="D44" s="96" t="s">
        <v>227</v>
      </c>
      <c r="E44" s="96" t="s">
        <v>211</v>
      </c>
      <c r="F44" s="96" t="s">
        <v>201</v>
      </c>
      <c r="G44" s="96" t="s">
        <v>212</v>
      </c>
      <c r="H44" s="96" t="s">
        <v>213</v>
      </c>
      <c r="I44" s="96" t="s">
        <v>214</v>
      </c>
      <c r="J44" s="96" t="s">
        <v>215</v>
      </c>
      <c r="K44" s="96" t="s">
        <v>216</v>
      </c>
      <c r="L44" s="96" t="s">
        <v>217</v>
      </c>
      <c r="M44" s="96" t="s">
        <v>218</v>
      </c>
      <c r="N44" s="96" t="s">
        <v>219</v>
      </c>
      <c r="O44" s="26"/>
      <c r="T44" s="32"/>
    </row>
    <row r="45" spans="1:20" ht="20.100000000000001" customHeight="1" x14ac:dyDescent="0.25">
      <c r="A45" s="5" t="str">
        <f>HYPERLINK("#'10.1.1-2 Solid waste treatment'!A1", "10.1.1-2 Solid waste treatment")</f>
        <v>10.1.1-2 Solid waste treatment</v>
      </c>
      <c r="D45" s="1" t="str">
        <f>TEXT(X_Cell_Site_StartDate, "mmmm yyyy")</f>
        <v>January 2024</v>
      </c>
      <c r="E45" s="86">
        <v>100</v>
      </c>
      <c r="F45" s="86">
        <v>100</v>
      </c>
      <c r="G45" s="86">
        <v>100</v>
      </c>
      <c r="H45" s="86">
        <v>100</v>
      </c>
      <c r="I45" s="86">
        <v>100</v>
      </c>
      <c r="J45" s="86">
        <v>100</v>
      </c>
      <c r="K45" s="86">
        <v>100</v>
      </c>
      <c r="L45" s="86">
        <v>100</v>
      </c>
      <c r="M45" s="86">
        <v>100</v>
      </c>
      <c r="N45" s="86">
        <v>100</v>
      </c>
      <c r="O45" s="26" t="s">
        <v>225</v>
      </c>
      <c r="T45" s="32"/>
    </row>
    <row r="46" spans="1:20" ht="20.100000000000001" customHeight="1" x14ac:dyDescent="0.25">
      <c r="D46" s="1" t="str">
        <f>TEXT(EDATE(X_Cell_Site_StartDate,1), "mmmm yyyy")</f>
        <v>February 2024</v>
      </c>
      <c r="E46" s="86">
        <v>100</v>
      </c>
      <c r="F46" s="86">
        <v>100</v>
      </c>
      <c r="G46" s="86">
        <v>100</v>
      </c>
      <c r="H46" s="86">
        <v>100</v>
      </c>
      <c r="I46" s="86">
        <v>100</v>
      </c>
      <c r="J46" s="86">
        <v>100</v>
      </c>
      <c r="K46" s="86">
        <v>100</v>
      </c>
      <c r="L46" s="86">
        <v>100</v>
      </c>
      <c r="M46" s="86">
        <v>100</v>
      </c>
      <c r="N46" s="86">
        <v>100</v>
      </c>
      <c r="O46" s="26" t="s">
        <v>225</v>
      </c>
      <c r="T46" s="32"/>
    </row>
    <row r="47" spans="1:20" ht="20.100000000000001" customHeight="1" x14ac:dyDescent="0.25">
      <c r="D47" s="1" t="str">
        <f>TEXT(EDATE(X_Cell_Site_StartDate,2), "mmmm yyyy")</f>
        <v>March 2024</v>
      </c>
      <c r="E47" s="86">
        <v>100</v>
      </c>
      <c r="F47" s="86">
        <v>100</v>
      </c>
      <c r="G47" s="86">
        <v>100</v>
      </c>
      <c r="H47" s="86">
        <v>100</v>
      </c>
      <c r="I47" s="86">
        <v>100</v>
      </c>
      <c r="J47" s="86">
        <v>100</v>
      </c>
      <c r="K47" s="86">
        <v>100</v>
      </c>
      <c r="L47" s="86">
        <v>100</v>
      </c>
      <c r="M47" s="86">
        <v>100</v>
      </c>
      <c r="N47" s="86">
        <v>100</v>
      </c>
      <c r="O47" s="26" t="s">
        <v>225</v>
      </c>
      <c r="T47" s="32"/>
    </row>
    <row r="48" spans="1:20" ht="20.100000000000001" customHeight="1" x14ac:dyDescent="0.25">
      <c r="A48" s="97" t="s">
        <v>1</v>
      </c>
      <c r="D48" s="1" t="str">
        <f>TEXT(EDATE(X_Cell_Site_StartDate,3), "mmmm yyyy")</f>
        <v>April 2024</v>
      </c>
      <c r="E48" s="86">
        <v>100</v>
      </c>
      <c r="F48" s="86">
        <v>100</v>
      </c>
      <c r="G48" s="86">
        <v>100</v>
      </c>
      <c r="H48" s="86">
        <v>100</v>
      </c>
      <c r="I48" s="86">
        <v>100</v>
      </c>
      <c r="J48" s="86">
        <v>100</v>
      </c>
      <c r="K48" s="86">
        <v>100</v>
      </c>
      <c r="L48" s="86">
        <v>100</v>
      </c>
      <c r="M48" s="86">
        <v>100</v>
      </c>
      <c r="N48" s="86">
        <v>100</v>
      </c>
      <c r="O48" s="26" t="s">
        <v>225</v>
      </c>
      <c r="T48" s="32"/>
    </row>
    <row r="49" spans="1:20" ht="20.100000000000001" customHeight="1" x14ac:dyDescent="0.25">
      <c r="A49" s="5" t="str">
        <f>HYPERLINK("#'Constants - Pasture Beef'!A1", "Constants - Pasture Beef")</f>
        <v>Constants - Pasture Beef</v>
      </c>
      <c r="D49" s="1" t="str">
        <f>TEXT(EDATE(X_Cell_Site_StartDate,4), "mmmm yyyy")</f>
        <v>May 2024</v>
      </c>
      <c r="E49" s="86">
        <v>100</v>
      </c>
      <c r="F49" s="86">
        <v>100</v>
      </c>
      <c r="G49" s="86">
        <v>100</v>
      </c>
      <c r="H49" s="86">
        <v>100</v>
      </c>
      <c r="I49" s="86">
        <v>100</v>
      </c>
      <c r="J49" s="86">
        <v>100</v>
      </c>
      <c r="K49" s="86">
        <v>100</v>
      </c>
      <c r="L49" s="86">
        <v>100</v>
      </c>
      <c r="M49" s="86">
        <v>100</v>
      </c>
      <c r="N49" s="86">
        <v>100</v>
      </c>
      <c r="O49" s="26" t="s">
        <v>225</v>
      </c>
      <c r="T49" s="32"/>
    </row>
    <row r="50" spans="1:20" ht="20.100000000000001" customHeight="1" x14ac:dyDescent="0.25">
      <c r="A50" s="5" t="str">
        <f>HYPERLINK("#'Constants - Ag Residue'!A1", "Constants - Ag residue")</f>
        <v>Constants - Ag residue</v>
      </c>
      <c r="D50" s="1" t="str">
        <f>TEXT(EDATE(X_Cell_Site_StartDate,5), "mmmm yyyy")</f>
        <v>June 2024</v>
      </c>
      <c r="E50" s="86">
        <v>100</v>
      </c>
      <c r="F50" s="86">
        <v>100</v>
      </c>
      <c r="G50" s="86">
        <v>100</v>
      </c>
      <c r="H50" s="86">
        <v>100</v>
      </c>
      <c r="I50" s="86">
        <v>100</v>
      </c>
      <c r="J50" s="86">
        <v>100</v>
      </c>
      <c r="K50" s="86">
        <v>100</v>
      </c>
      <c r="L50" s="86">
        <v>100</v>
      </c>
      <c r="M50" s="86">
        <v>100</v>
      </c>
      <c r="N50" s="86">
        <v>100</v>
      </c>
      <c r="O50" s="26" t="s">
        <v>225</v>
      </c>
      <c r="P50" s="35"/>
      <c r="T50" s="32"/>
    </row>
    <row r="51" spans="1:20" ht="20.100000000000001" customHeight="1" x14ac:dyDescent="0.25">
      <c r="A51" s="5" t="str">
        <f>HYPERLINK("#'Constants - Common Livestock'!A1", "Constants - Common Livestock")</f>
        <v>Constants - Common Livestock</v>
      </c>
      <c r="D51" s="1" t="str">
        <f>TEXT(EDATE(X_Cell_Site_StartDate,6), "mmmm yyyy")</f>
        <v>July 2024</v>
      </c>
      <c r="E51" s="86">
        <v>100</v>
      </c>
      <c r="F51" s="86">
        <v>100</v>
      </c>
      <c r="G51" s="86">
        <v>100</v>
      </c>
      <c r="H51" s="86">
        <v>100</v>
      </c>
      <c r="I51" s="86">
        <v>100</v>
      </c>
      <c r="J51" s="86">
        <v>100</v>
      </c>
      <c r="K51" s="86">
        <v>100</v>
      </c>
      <c r="L51" s="86">
        <v>100</v>
      </c>
      <c r="M51" s="86">
        <v>100</v>
      </c>
      <c r="N51" s="86">
        <v>100</v>
      </c>
      <c r="O51" s="26" t="s">
        <v>225</v>
      </c>
      <c r="P51" s="35"/>
      <c r="T51" s="32"/>
    </row>
    <row r="52" spans="1:20" ht="20.100000000000001" customHeight="1" x14ac:dyDescent="0.25">
      <c r="A52" s="5" t="str">
        <f>HYPERLINK("#'Constants - Electricity'!A1", "Constants - Electricity")</f>
        <v>Constants - Electricity</v>
      </c>
      <c r="D52" s="1" t="str">
        <f>TEXT(EDATE(X_Cell_Site_StartDate,7), "mmmm yyyy")</f>
        <v>August 2024</v>
      </c>
      <c r="E52" s="86">
        <v>100</v>
      </c>
      <c r="F52" s="86">
        <v>100</v>
      </c>
      <c r="G52" s="86">
        <v>100</v>
      </c>
      <c r="H52" s="86">
        <v>100</v>
      </c>
      <c r="I52" s="86">
        <v>100</v>
      </c>
      <c r="J52" s="86">
        <v>100</v>
      </c>
      <c r="K52" s="86">
        <v>100</v>
      </c>
      <c r="L52" s="86">
        <v>100</v>
      </c>
      <c r="M52" s="86">
        <v>100</v>
      </c>
      <c r="N52" s="86">
        <v>100</v>
      </c>
      <c r="O52" s="26" t="s">
        <v>225</v>
      </c>
      <c r="P52" s="35"/>
      <c r="T52" s="32"/>
    </row>
    <row r="53" spans="1:20" ht="20.100000000000001" customHeight="1" x14ac:dyDescent="0.25">
      <c r="A53" s="5" t="str">
        <f>HYPERLINK("#'Constants - Fertiliser'!A1", "Constants - Fertiliser")</f>
        <v>Constants - Fertiliser</v>
      </c>
      <c r="D53" s="1" t="str">
        <f>TEXT(EDATE(X_Cell_Site_StartDate,8), "mmmm yyyy")</f>
        <v>September 2024</v>
      </c>
      <c r="E53" s="86">
        <v>100</v>
      </c>
      <c r="F53" s="86">
        <v>100</v>
      </c>
      <c r="G53" s="86">
        <v>100</v>
      </c>
      <c r="H53" s="86">
        <v>100</v>
      </c>
      <c r="I53" s="86">
        <v>100</v>
      </c>
      <c r="J53" s="86">
        <v>100</v>
      </c>
      <c r="K53" s="86">
        <v>100</v>
      </c>
      <c r="L53" s="86">
        <v>100</v>
      </c>
      <c r="M53" s="86">
        <v>100</v>
      </c>
      <c r="N53" s="86">
        <v>100</v>
      </c>
      <c r="O53" s="26" t="s">
        <v>225</v>
      </c>
      <c r="P53" s="35"/>
      <c r="T53" s="32"/>
    </row>
    <row r="54" spans="1:20" ht="20.100000000000001" customHeight="1" x14ac:dyDescent="0.25">
      <c r="A54" s="5" t="str">
        <f>HYPERLINK("#'Constants - Fuel'!A1", "Constants - Fuel")</f>
        <v>Constants - Fuel</v>
      </c>
      <c r="D54" s="1" t="str">
        <f>TEXT(EDATE(X_Cell_Site_StartDate,9), "mmmm yyyy")</f>
        <v>October 2024</v>
      </c>
      <c r="E54" s="86">
        <v>100</v>
      </c>
      <c r="F54" s="86">
        <v>100</v>
      </c>
      <c r="G54" s="86">
        <v>100</v>
      </c>
      <c r="H54" s="86">
        <v>100</v>
      </c>
      <c r="I54" s="86">
        <v>100</v>
      </c>
      <c r="J54" s="86">
        <v>100</v>
      </c>
      <c r="K54" s="86">
        <v>100</v>
      </c>
      <c r="L54" s="86">
        <v>100</v>
      </c>
      <c r="M54" s="86">
        <v>100</v>
      </c>
      <c r="N54" s="86">
        <v>100</v>
      </c>
      <c r="O54" s="26" t="s">
        <v>225</v>
      </c>
      <c r="P54" s="35"/>
      <c r="T54" s="32"/>
    </row>
    <row r="55" spans="1:20" ht="20.100000000000001" customHeight="1" x14ac:dyDescent="0.25">
      <c r="A55" s="5" t="str">
        <f>HYPERLINK("#'Constants - Scope 3'!A1", "Constants - Scope 3")</f>
        <v>Constants - Scope 3</v>
      </c>
      <c r="D55" s="1" t="str">
        <f>TEXT(EDATE(X_Cell_Site_StartDate,10), "mmmm yyyy")</f>
        <v>November 2024</v>
      </c>
      <c r="E55" s="86">
        <v>100</v>
      </c>
      <c r="F55" s="86">
        <v>100</v>
      </c>
      <c r="G55" s="86">
        <v>100</v>
      </c>
      <c r="H55" s="86">
        <v>100</v>
      </c>
      <c r="I55" s="86">
        <v>100</v>
      </c>
      <c r="J55" s="86">
        <v>100</v>
      </c>
      <c r="K55" s="86">
        <v>100</v>
      </c>
      <c r="L55" s="86">
        <v>100</v>
      </c>
      <c r="M55" s="86">
        <v>100</v>
      </c>
      <c r="N55" s="86">
        <v>100</v>
      </c>
      <c r="O55" s="26" t="s">
        <v>225</v>
      </c>
      <c r="P55" s="35"/>
      <c r="T55" s="32"/>
    </row>
    <row r="56" spans="1:20" ht="20.100000000000001" customHeight="1" x14ac:dyDescent="0.25">
      <c r="A56" s="5" t="str">
        <f>HYPERLINK("#'Constants - Common'!A1", "Constants - Common")</f>
        <v>Constants - Common</v>
      </c>
      <c r="D56" s="1" t="str">
        <f>TEXT(EDATE(X_Cell_Site_StartDate,11), "mmmm yyyy")</f>
        <v>December 2024</v>
      </c>
      <c r="E56" s="86">
        <v>100</v>
      </c>
      <c r="F56" s="86">
        <v>100</v>
      </c>
      <c r="G56" s="86">
        <v>100</v>
      </c>
      <c r="H56" s="86">
        <v>100</v>
      </c>
      <c r="I56" s="86">
        <v>100</v>
      </c>
      <c r="J56" s="86">
        <v>100</v>
      </c>
      <c r="K56" s="86">
        <v>100</v>
      </c>
      <c r="L56" s="86">
        <v>100</v>
      </c>
      <c r="M56" s="86">
        <v>100</v>
      </c>
      <c r="N56" s="86">
        <v>100</v>
      </c>
      <c r="O56" s="26" t="s">
        <v>225</v>
      </c>
      <c r="P56" s="35"/>
      <c r="T56" s="32"/>
    </row>
    <row r="57" spans="1:20" ht="20.100000000000001" customHeight="1" x14ac:dyDescent="0.25">
      <c r="A57" s="5" t="str">
        <f>HYPERLINK("#'Acknowledgements'!A1", "Acknowledgements")</f>
        <v>Acknowledgements</v>
      </c>
      <c r="P57" s="35"/>
      <c r="T57" s="32"/>
    </row>
    <row r="58" spans="1:20" ht="20.100000000000001" customHeight="1" x14ac:dyDescent="0.25">
      <c r="A58" s="5" t="str">
        <f>HYPERLINK("#'Constants - Solid Waste'!A1", "Constants - Solid Waste")</f>
        <v>Constants - Solid Waste</v>
      </c>
      <c r="P58" s="35"/>
      <c r="T58" s="32"/>
    </row>
    <row r="59" spans="1:20" ht="20.100000000000001" customHeight="1" x14ac:dyDescent="0.25">
      <c r="D59" s="91" t="s">
        <v>228</v>
      </c>
      <c r="P59" s="35"/>
      <c r="T59" s="32"/>
    </row>
    <row r="60" spans="1:20" ht="20.100000000000001" customHeight="1" x14ac:dyDescent="0.25">
      <c r="D60" s="96" t="s">
        <v>210</v>
      </c>
      <c r="E60" s="96" t="s">
        <v>211</v>
      </c>
      <c r="F60" s="96" t="s">
        <v>201</v>
      </c>
      <c r="G60" s="96" t="s">
        <v>212</v>
      </c>
      <c r="H60" s="96" t="s">
        <v>213</v>
      </c>
      <c r="I60" s="96" t="s">
        <v>214</v>
      </c>
      <c r="J60" s="96" t="s">
        <v>215</v>
      </c>
      <c r="K60" s="96" t="s">
        <v>216</v>
      </c>
      <c r="L60" s="96" t="s">
        <v>217</v>
      </c>
      <c r="M60" s="96" t="s">
        <v>218</v>
      </c>
      <c r="N60" s="96" t="s">
        <v>219</v>
      </c>
      <c r="P60" s="35"/>
      <c r="T60" s="32"/>
    </row>
    <row r="61" spans="1:20" ht="20.100000000000001" customHeight="1" x14ac:dyDescent="0.25">
      <c r="D61" s="1" t="s">
        <v>220</v>
      </c>
      <c r="E61" s="25">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229</v>
      </c>
      <c r="P61" s="35"/>
      <c r="T61" s="32"/>
    </row>
    <row r="62" spans="1:20" ht="20.100000000000001" customHeight="1" x14ac:dyDescent="0.25">
      <c r="D62" s="1" t="s">
        <v>221</v>
      </c>
      <c r="E62" s="25">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229</v>
      </c>
      <c r="P62" s="35"/>
      <c r="T62" s="32"/>
    </row>
    <row r="63" spans="1:20" ht="20.100000000000001" customHeight="1" x14ac:dyDescent="0.25">
      <c r="D63" s="1" t="s">
        <v>222</v>
      </c>
      <c r="E63" s="25">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229</v>
      </c>
      <c r="P63" s="35"/>
      <c r="T63" s="32"/>
    </row>
    <row r="64" spans="1:20" ht="20.100000000000001" customHeight="1" x14ac:dyDescent="0.25">
      <c r="D64" s="1" t="s">
        <v>223</v>
      </c>
      <c r="E64" s="25">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229</v>
      </c>
      <c r="P64" s="35"/>
      <c r="T64" s="32"/>
    </row>
    <row r="65" spans="4:20" ht="20.100000000000001" customHeight="1" x14ac:dyDescent="0.25">
      <c r="O65" s="26"/>
      <c r="P65" s="35"/>
      <c r="T65" s="32"/>
    </row>
    <row r="66" spans="4:20" ht="20.100000000000001" customHeight="1" x14ac:dyDescent="0.25">
      <c r="D66" s="96" t="s">
        <v>224</v>
      </c>
      <c r="E66" s="96" t="s">
        <v>211</v>
      </c>
      <c r="F66" s="96" t="s">
        <v>201</v>
      </c>
      <c r="G66" s="96" t="s">
        <v>212</v>
      </c>
      <c r="H66" s="96" t="s">
        <v>213</v>
      </c>
      <c r="I66" s="96" t="s">
        <v>214</v>
      </c>
      <c r="J66" s="96" t="s">
        <v>215</v>
      </c>
      <c r="K66" s="96" t="s">
        <v>216</v>
      </c>
      <c r="L66" s="96" t="s">
        <v>217</v>
      </c>
      <c r="M66" s="96" t="s">
        <v>218</v>
      </c>
      <c r="N66" s="96" t="s">
        <v>219</v>
      </c>
      <c r="O66" s="26"/>
      <c r="P66" s="35"/>
      <c r="T66" s="32"/>
    </row>
    <row r="67" spans="4:20" ht="20.100000000000001" customHeight="1" x14ac:dyDescent="0.25">
      <c r="D67" s="1" t="str">
        <f>TEXT(X_Cell_Site_StartDate, "mmmm yyyy")</f>
        <v>January 2024</v>
      </c>
      <c r="E67" s="86">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229</v>
      </c>
      <c r="P67" s="35"/>
      <c r="T67" s="32"/>
    </row>
    <row r="68" spans="4:20" ht="20.100000000000001" customHeight="1" x14ac:dyDescent="0.25">
      <c r="D68" s="1" t="str">
        <f>TEXT(EDATE(X_Cell_Site_StartDate,1), "mmmm yyyy")</f>
        <v>February 2024</v>
      </c>
      <c r="E68" s="86">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229</v>
      </c>
      <c r="P68" s="35"/>
      <c r="T68" s="32"/>
    </row>
    <row r="69" spans="4:20" ht="20.100000000000001" customHeight="1" x14ac:dyDescent="0.25">
      <c r="D69" s="1" t="str">
        <f>TEXT(EDATE(X_Cell_Site_StartDate,2), "mmmm yyyy")</f>
        <v>March 2024</v>
      </c>
      <c r="E69" s="86">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229</v>
      </c>
      <c r="P69" s="35"/>
      <c r="T69" s="32"/>
    </row>
    <row r="70" spans="4:20" ht="20.100000000000001" customHeight="1" x14ac:dyDescent="0.25">
      <c r="D70" s="1" t="str">
        <f>TEXT(EDATE(X_Cell_Site_StartDate,3), "mmmm yyyy")</f>
        <v>April 2024</v>
      </c>
      <c r="E70" s="86">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229</v>
      </c>
      <c r="P70" s="35"/>
      <c r="T70" s="32"/>
    </row>
    <row r="71" spans="4:20" ht="20.100000000000001" customHeight="1" x14ac:dyDescent="0.25">
      <c r="D71" s="1" t="str">
        <f>TEXT(EDATE(X_Cell_Site_StartDate,4), "mmmm yyyy")</f>
        <v>May 2024</v>
      </c>
      <c r="E71" s="86">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229</v>
      </c>
      <c r="P71" s="35"/>
      <c r="T71" s="32"/>
    </row>
    <row r="72" spans="4:20" ht="20.100000000000001" customHeight="1" x14ac:dyDescent="0.25">
      <c r="D72" s="1" t="str">
        <f>TEXT(EDATE(X_Cell_Site_StartDate,5), "mmmm yyyy")</f>
        <v>June 2024</v>
      </c>
      <c r="E72" s="86">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229</v>
      </c>
      <c r="T72" s="32"/>
    </row>
    <row r="73" spans="4:20" ht="20.100000000000001" customHeight="1" x14ac:dyDescent="0.25">
      <c r="D73" s="1" t="str">
        <f>TEXT(EDATE(X_Cell_Site_StartDate,6), "mmmm yyyy")</f>
        <v>July 2024</v>
      </c>
      <c r="E73" s="86">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229</v>
      </c>
      <c r="T73" s="32"/>
    </row>
    <row r="74" spans="4:20" ht="20.100000000000001" customHeight="1" x14ac:dyDescent="0.25">
      <c r="D74" s="1" t="str">
        <f>TEXT(EDATE(X_Cell_Site_StartDate,7), "mmmm yyyy")</f>
        <v>August 2024</v>
      </c>
      <c r="E74" s="86">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229</v>
      </c>
      <c r="T74" s="32"/>
    </row>
    <row r="75" spans="4:20" ht="20.100000000000001" customHeight="1" x14ac:dyDescent="0.25">
      <c r="D75" s="1" t="str">
        <f>TEXT(EDATE(X_Cell_Site_StartDate,8), "mmmm yyyy")</f>
        <v>September 2024</v>
      </c>
      <c r="E75" s="86">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229</v>
      </c>
      <c r="T75" s="32"/>
    </row>
    <row r="76" spans="4:20" ht="20.100000000000001" customHeight="1" x14ac:dyDescent="0.25">
      <c r="D76" s="1" t="str">
        <f>TEXT(EDATE(X_Cell_Site_StartDate,9), "mmmm yyyy")</f>
        <v>October 2024</v>
      </c>
      <c r="E76" s="86">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229</v>
      </c>
      <c r="T76" s="32"/>
    </row>
    <row r="77" spans="4:20" ht="20.100000000000001" customHeight="1" x14ac:dyDescent="0.25">
      <c r="D77" s="1" t="str">
        <f>TEXT(EDATE(X_Cell_Site_StartDate,10), "mmmm yyyy")</f>
        <v>November 2024</v>
      </c>
      <c r="E77" s="86">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229</v>
      </c>
      <c r="T77" s="32"/>
    </row>
    <row r="78" spans="4:20" ht="20.100000000000001" customHeight="1" x14ac:dyDescent="0.25">
      <c r="D78" s="1" t="str">
        <f>TEXT(EDATE(X_Cell_Site_StartDate,11), "mmmm yyyy")</f>
        <v>December 2024</v>
      </c>
      <c r="E78" s="86">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229</v>
      </c>
      <c r="T78" s="32"/>
    </row>
    <row r="79" spans="4:20" ht="20.100000000000001" customHeight="1" x14ac:dyDescent="0.25">
      <c r="T79" s="32"/>
    </row>
    <row r="80" spans="4:20" ht="20.100000000000001" customHeight="1" x14ac:dyDescent="0.25">
      <c r="T80" s="32"/>
    </row>
    <row r="81" spans="4:20" ht="20.100000000000001" customHeight="1" x14ac:dyDescent="0.25">
      <c r="D81" s="91" t="s">
        <v>230</v>
      </c>
      <c r="T81" s="32"/>
    </row>
    <row r="82" spans="4:20" ht="20.100000000000001" customHeight="1" x14ac:dyDescent="0.25">
      <c r="D82" s="96" t="s">
        <v>210</v>
      </c>
      <c r="E82" s="96" t="s">
        <v>211</v>
      </c>
      <c r="F82" s="96" t="s">
        <v>201</v>
      </c>
      <c r="G82" s="96" t="s">
        <v>212</v>
      </c>
      <c r="H82" s="96" t="s">
        <v>213</v>
      </c>
      <c r="I82" s="96" t="s">
        <v>214</v>
      </c>
      <c r="J82" s="96" t="s">
        <v>215</v>
      </c>
      <c r="K82" s="96" t="s">
        <v>216</v>
      </c>
      <c r="L82" s="96" t="s">
        <v>217</v>
      </c>
      <c r="M82" s="96" t="s">
        <v>218</v>
      </c>
      <c r="N82" s="96" t="s">
        <v>219</v>
      </c>
      <c r="T82" s="32"/>
    </row>
    <row r="83" spans="4:20" ht="20.100000000000001" customHeight="1" x14ac:dyDescent="0.25">
      <c r="D83" s="1" t="s">
        <v>220</v>
      </c>
      <c r="E83" s="25">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231</v>
      </c>
      <c r="T83" s="32"/>
    </row>
    <row r="84" spans="4:20" ht="20.100000000000001" customHeight="1" x14ac:dyDescent="0.25">
      <c r="D84" s="1" t="s">
        <v>221</v>
      </c>
      <c r="E84" s="25">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231</v>
      </c>
      <c r="T84" s="32"/>
    </row>
    <row r="85" spans="4:20" ht="20.100000000000001" customHeight="1" x14ac:dyDescent="0.25">
      <c r="D85" s="1" t="s">
        <v>222</v>
      </c>
      <c r="E85" s="25">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231</v>
      </c>
      <c r="T85" s="32"/>
    </row>
    <row r="86" spans="4:20" ht="20.100000000000001" customHeight="1" x14ac:dyDescent="0.25">
      <c r="D86" s="1" t="s">
        <v>223</v>
      </c>
      <c r="E86" s="25">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231</v>
      </c>
      <c r="T86" s="32"/>
    </row>
    <row r="87" spans="4:20" ht="20.100000000000001" customHeight="1" x14ac:dyDescent="0.25">
      <c r="O87" s="26"/>
      <c r="T87" s="32"/>
    </row>
    <row r="88" spans="4:20" ht="20.100000000000001" customHeight="1" x14ac:dyDescent="0.25">
      <c r="D88" s="96" t="s">
        <v>224</v>
      </c>
      <c r="E88" s="96" t="s">
        <v>211</v>
      </c>
      <c r="F88" s="96" t="s">
        <v>201</v>
      </c>
      <c r="G88" s="96" t="s">
        <v>212</v>
      </c>
      <c r="H88" s="96" t="s">
        <v>213</v>
      </c>
      <c r="I88" s="96" t="s">
        <v>214</v>
      </c>
      <c r="J88" s="96" t="s">
        <v>215</v>
      </c>
      <c r="K88" s="96" t="s">
        <v>216</v>
      </c>
      <c r="L88" s="96" t="s">
        <v>217</v>
      </c>
      <c r="M88" s="96" t="s">
        <v>218</v>
      </c>
      <c r="N88" s="96" t="s">
        <v>219</v>
      </c>
      <c r="O88" s="26"/>
      <c r="T88" s="32"/>
    </row>
    <row r="89" spans="4:20" ht="20.100000000000001" customHeight="1" x14ac:dyDescent="0.25">
      <c r="D89" s="1" t="str">
        <f>TEXT(X_Cell_Site_StartDate, "mmmm yyyy")</f>
        <v>January 2024</v>
      </c>
      <c r="E89" s="86">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231</v>
      </c>
      <c r="T89" s="32"/>
    </row>
    <row r="90" spans="4:20" ht="20.100000000000001" customHeight="1" x14ac:dyDescent="0.25">
      <c r="D90" s="1" t="str">
        <f>TEXT(EDATE(X_Cell_Site_StartDate,1), "mmmm yyyy")</f>
        <v>February 2024</v>
      </c>
      <c r="E90" s="86">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231</v>
      </c>
      <c r="T90" s="32"/>
    </row>
    <row r="91" spans="4:20" ht="20.100000000000001" customHeight="1" x14ac:dyDescent="0.25">
      <c r="D91" s="1" t="str">
        <f>TEXT(EDATE(X_Cell_Site_StartDate,2), "mmmm yyyy")</f>
        <v>March 2024</v>
      </c>
      <c r="E91" s="86">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231</v>
      </c>
      <c r="T91" s="32"/>
    </row>
    <row r="92" spans="4:20" ht="20.100000000000001" customHeight="1" x14ac:dyDescent="0.25">
      <c r="D92" s="1" t="str">
        <f>TEXT(EDATE(X_Cell_Site_StartDate,3), "mmmm yyyy")</f>
        <v>April 2024</v>
      </c>
      <c r="E92" s="86">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231</v>
      </c>
      <c r="T92" s="32"/>
    </row>
    <row r="93" spans="4:20" ht="20.100000000000001" customHeight="1" x14ac:dyDescent="0.25">
      <c r="D93" s="1" t="str">
        <f>TEXT(EDATE(X_Cell_Site_StartDate,4), "mmmm yyyy")</f>
        <v>May 2024</v>
      </c>
      <c r="E93" s="86">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231</v>
      </c>
      <c r="T93" s="32"/>
    </row>
    <row r="94" spans="4:20" ht="20.100000000000001" customHeight="1" x14ac:dyDescent="0.25">
      <c r="D94" s="1" t="str">
        <f>TEXT(EDATE(X_Cell_Site_StartDate,5), "mmmm yyyy")</f>
        <v>June 2024</v>
      </c>
      <c r="E94" s="86">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231</v>
      </c>
      <c r="T94" s="32"/>
    </row>
    <row r="95" spans="4:20" ht="20.100000000000001" customHeight="1" x14ac:dyDescent="0.25">
      <c r="D95" s="1" t="str">
        <f>TEXT(EDATE(X_Cell_Site_StartDate,6), "mmmm yyyy")</f>
        <v>July 2024</v>
      </c>
      <c r="E95" s="86">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231</v>
      </c>
      <c r="T95" s="32"/>
    </row>
    <row r="96" spans="4:20" ht="20.100000000000001" customHeight="1" x14ac:dyDescent="0.25">
      <c r="D96" s="1" t="str">
        <f>TEXT(EDATE(X_Cell_Site_StartDate,7), "mmmm yyyy")</f>
        <v>August 2024</v>
      </c>
      <c r="E96" s="86">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231</v>
      </c>
      <c r="T96" s="32"/>
    </row>
    <row r="97" spans="4:20" ht="20.100000000000001" customHeight="1" x14ac:dyDescent="0.25">
      <c r="D97" s="1" t="str">
        <f>TEXT(EDATE(X_Cell_Site_StartDate,8), "mmmm yyyy")</f>
        <v>September 2024</v>
      </c>
      <c r="E97" s="86">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231</v>
      </c>
      <c r="T97" s="32"/>
    </row>
    <row r="98" spans="4:20" ht="20.100000000000001" customHeight="1" x14ac:dyDescent="0.25">
      <c r="D98" s="1" t="str">
        <f>TEXT(EDATE(X_Cell_Site_StartDate,9), "mmmm yyyy")</f>
        <v>October 2024</v>
      </c>
      <c r="E98" s="86">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231</v>
      </c>
      <c r="T98" s="32"/>
    </row>
    <row r="99" spans="4:20" ht="20.100000000000001" customHeight="1" x14ac:dyDescent="0.25">
      <c r="D99" s="1" t="str">
        <f>TEXT(EDATE(X_Cell_Site_StartDate,10), "mmmm yyyy")</f>
        <v>November 2024</v>
      </c>
      <c r="E99" s="86">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231</v>
      </c>
      <c r="T99" s="32"/>
    </row>
    <row r="100" spans="4:20" ht="20.100000000000001" customHeight="1" x14ac:dyDescent="0.25">
      <c r="D100" s="1" t="str">
        <f>TEXT(EDATE(X_Cell_Site_StartDate,11), "mmmm yyyy")</f>
        <v>December 2024</v>
      </c>
      <c r="E100" s="86">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231</v>
      </c>
      <c r="T100" s="32"/>
    </row>
    <row r="101" spans="4:20" ht="20.100000000000001" customHeight="1" x14ac:dyDescent="0.25">
      <c r="T101" s="32"/>
    </row>
    <row r="102" spans="4:20" ht="20.100000000000001" customHeight="1" x14ac:dyDescent="0.25">
      <c r="T102" s="32"/>
    </row>
    <row r="103" spans="4:20" ht="20.100000000000001" customHeight="1" x14ac:dyDescent="0.25">
      <c r="D103" s="91" t="s">
        <v>232</v>
      </c>
      <c r="K103" s="26"/>
      <c r="L103" s="26"/>
      <c r="M103" s="26"/>
      <c r="N103" s="26"/>
      <c r="O103" s="26"/>
      <c r="T103" s="32"/>
    </row>
    <row r="104" spans="4:20" ht="20.100000000000001" customHeight="1" x14ac:dyDescent="0.25">
      <c r="D104" s="96" t="s">
        <v>210</v>
      </c>
      <c r="E104" s="96" t="s">
        <v>211</v>
      </c>
      <c r="F104" s="96" t="s">
        <v>201</v>
      </c>
      <c r="G104" s="96" t="s">
        <v>212</v>
      </c>
      <c r="H104" s="96" t="s">
        <v>213</v>
      </c>
      <c r="I104" s="96" t="s">
        <v>214</v>
      </c>
      <c r="J104" s="96" t="s">
        <v>215</v>
      </c>
      <c r="K104" s="96" t="s">
        <v>216</v>
      </c>
      <c r="L104" s="96" t="s">
        <v>217</v>
      </c>
      <c r="M104" s="96" t="s">
        <v>218</v>
      </c>
      <c r="N104" s="96" t="s">
        <v>219</v>
      </c>
      <c r="T104" s="32"/>
    </row>
    <row r="105" spans="4:20" ht="20.100000000000001" customHeight="1" x14ac:dyDescent="0.25">
      <c r="D105" s="1" t="s">
        <v>220</v>
      </c>
      <c r="E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05" s="2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05" s="26" t="s">
        <v>233</v>
      </c>
      <c r="T105" s="32"/>
    </row>
    <row r="106" spans="4:20" ht="20.100000000000001" customHeight="1" x14ac:dyDescent="0.25">
      <c r="D106" s="1" t="s">
        <v>221</v>
      </c>
      <c r="E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06" s="2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06" s="26" t="s">
        <v>233</v>
      </c>
      <c r="T106" s="32"/>
    </row>
    <row r="107" spans="4:20" ht="20.100000000000001" customHeight="1" x14ac:dyDescent="0.25">
      <c r="D107" s="1" t="s">
        <v>222</v>
      </c>
      <c r="E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07" s="2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07" s="26" t="s">
        <v>233</v>
      </c>
    </row>
    <row r="108" spans="4:20" ht="20.100000000000001" customHeight="1" x14ac:dyDescent="0.25">
      <c r="D108" s="1" t="s">
        <v>223</v>
      </c>
      <c r="E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08" s="2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08" s="26" t="s">
        <v>233</v>
      </c>
    </row>
    <row r="109" spans="4:20" ht="20.100000000000001" customHeight="1" x14ac:dyDescent="0.25"/>
    <row r="110" spans="4:20" ht="20.100000000000001" customHeight="1" x14ac:dyDescent="0.25">
      <c r="D110" s="96" t="s">
        <v>224</v>
      </c>
      <c r="E110" s="96" t="s">
        <v>211</v>
      </c>
      <c r="F110" s="96" t="s">
        <v>201</v>
      </c>
      <c r="G110" s="96" t="s">
        <v>212</v>
      </c>
      <c r="H110" s="96" t="s">
        <v>213</v>
      </c>
      <c r="I110" s="96" t="s">
        <v>214</v>
      </c>
      <c r="J110" s="96" t="s">
        <v>215</v>
      </c>
      <c r="K110" s="96" t="s">
        <v>216</v>
      </c>
      <c r="L110" s="96" t="s">
        <v>217</v>
      </c>
      <c r="M110" s="96" t="s">
        <v>218</v>
      </c>
      <c r="N110" s="96" t="s">
        <v>219</v>
      </c>
    </row>
    <row r="111" spans="4:20" ht="20.100000000000001" customHeight="1" x14ac:dyDescent="0.25">
      <c r="D111" s="1" t="str">
        <f>TEXT(X_Cell_Site_StartDate, "mmmm yyyy")</f>
        <v>January 2024</v>
      </c>
      <c r="E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1" s="8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1" s="26" t="s">
        <v>233</v>
      </c>
    </row>
    <row r="112" spans="4:20" ht="20.100000000000001" customHeight="1" x14ac:dyDescent="0.25">
      <c r="D112" s="1" t="str">
        <f>TEXT(EDATE(X_Cell_Site_StartDate,1), "mmmm yyyy")</f>
        <v>February 2024</v>
      </c>
      <c r="E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2" s="8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2" s="26" t="s">
        <v>233</v>
      </c>
    </row>
    <row r="113" spans="4:15" ht="20.100000000000001" customHeight="1" x14ac:dyDescent="0.25">
      <c r="D113" s="1" t="str">
        <f>TEXT(EDATE(X_Cell_Site_StartDate,2), "mmmm yyyy")</f>
        <v>March 2024</v>
      </c>
      <c r="E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3" s="8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3" s="26" t="s">
        <v>233</v>
      </c>
    </row>
    <row r="114" spans="4:15" ht="20.100000000000001" customHeight="1" x14ac:dyDescent="0.25">
      <c r="D114" s="1" t="str">
        <f>TEXT(EDATE(X_Cell_Site_StartDate,3), "mmmm yyyy")</f>
        <v>April 2024</v>
      </c>
      <c r="E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4" s="8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4" s="26" t="s">
        <v>233</v>
      </c>
    </row>
    <row r="115" spans="4:15" ht="20.100000000000001" customHeight="1" x14ac:dyDescent="0.25">
      <c r="D115" s="1" t="str">
        <f>TEXT(EDATE(X_Cell_Site_StartDate,4), "mmmm yyyy")</f>
        <v>May 2024</v>
      </c>
      <c r="E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5" s="8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5" s="26" t="s">
        <v>233</v>
      </c>
    </row>
    <row r="116" spans="4:15" ht="20.100000000000001" customHeight="1" x14ac:dyDescent="0.25">
      <c r="D116" s="1" t="str">
        <f>TEXT(EDATE(X_Cell_Site_StartDate,5), "mmmm yyyy")</f>
        <v>June 2024</v>
      </c>
      <c r="E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6" s="8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6" s="26" t="s">
        <v>233</v>
      </c>
    </row>
    <row r="117" spans="4:15" ht="20.100000000000001" customHeight="1" x14ac:dyDescent="0.25">
      <c r="D117" s="1" t="str">
        <f>TEXT(EDATE(X_Cell_Site_StartDate,6), "mmmm yyyy")</f>
        <v>July 2024</v>
      </c>
      <c r="E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7" s="8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7" s="26" t="s">
        <v>233</v>
      </c>
    </row>
    <row r="118" spans="4:15" ht="20.100000000000001" customHeight="1" x14ac:dyDescent="0.25">
      <c r="D118" s="1" t="str">
        <f>TEXT(EDATE(X_Cell_Site_StartDate,7), "mmmm yyyy")</f>
        <v>August 2024</v>
      </c>
      <c r="E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8" s="8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8" s="26" t="s">
        <v>233</v>
      </c>
    </row>
    <row r="119" spans="4:15" ht="20.100000000000001" customHeight="1" x14ac:dyDescent="0.25">
      <c r="D119" s="1" t="str">
        <f>TEXT(EDATE(X_Cell_Site_StartDate,8), "mmmm yyyy")</f>
        <v>September 2024</v>
      </c>
      <c r="E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19" s="8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19" s="26" t="s">
        <v>233</v>
      </c>
    </row>
    <row r="120" spans="4:15" ht="20.100000000000001" customHeight="1" x14ac:dyDescent="0.25">
      <c r="D120" s="1" t="str">
        <f>TEXT(EDATE(X_Cell_Site_StartDate,9), "mmmm yyyy")</f>
        <v>October 2024</v>
      </c>
      <c r="E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0" s="8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0" s="26" t="s">
        <v>233</v>
      </c>
    </row>
    <row r="121" spans="4:15" ht="20.100000000000001" customHeight="1" x14ac:dyDescent="0.25">
      <c r="D121" s="1" t="str">
        <f>TEXT(EDATE(X_Cell_Site_StartDate,10), "mmmm yyyy")</f>
        <v>November 2024</v>
      </c>
      <c r="E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1" s="8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1" s="26" t="s">
        <v>233</v>
      </c>
    </row>
    <row r="122" spans="4:15" ht="20.100000000000001" customHeight="1" x14ac:dyDescent="0.25">
      <c r="D122" s="1" t="str">
        <f>TEXT(EDATE(X_Cell_Site_StartDate,11), "mmmm yyyy")</f>
        <v>December 2024</v>
      </c>
      <c r="E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22" s="8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22" s="26" t="s">
        <v>233</v>
      </c>
    </row>
    <row r="123" spans="4:15" ht="20.100000000000001" customHeight="1" x14ac:dyDescent="0.25"/>
    <row r="124" spans="4:15" ht="20.100000000000001" customHeight="1" x14ac:dyDescent="0.25"/>
    <row r="125" spans="4:15" ht="20.100000000000001" customHeight="1" x14ac:dyDescent="0.25">
      <c r="D125" s="91" t="s">
        <v>234</v>
      </c>
      <c r="K125" s="26"/>
      <c r="L125" s="26"/>
      <c r="M125" s="26"/>
      <c r="N125" s="26"/>
      <c r="O125" s="26"/>
    </row>
    <row r="126" spans="4:15" ht="20.100000000000001" customHeight="1" x14ac:dyDescent="0.25">
      <c r="D126" s="96" t="s">
        <v>210</v>
      </c>
      <c r="E126" s="96" t="s">
        <v>211</v>
      </c>
      <c r="F126" s="96" t="s">
        <v>201</v>
      </c>
      <c r="G126" s="96" t="s">
        <v>212</v>
      </c>
      <c r="H126" s="96" t="s">
        <v>213</v>
      </c>
      <c r="I126" s="96" t="s">
        <v>214</v>
      </c>
      <c r="J126" s="96" t="s">
        <v>215</v>
      </c>
      <c r="K126" s="96" t="s">
        <v>216</v>
      </c>
      <c r="L126" s="96" t="s">
        <v>217</v>
      </c>
      <c r="M126" s="96" t="s">
        <v>218</v>
      </c>
      <c r="N126" s="96" t="s">
        <v>219</v>
      </c>
    </row>
    <row r="127" spans="4:15" ht="20.100000000000001" customHeight="1" x14ac:dyDescent="0.25">
      <c r="D127" s="1" t="s">
        <v>220</v>
      </c>
      <c r="E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F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G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H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I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J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K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L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M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N127" s="2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O127" s="26" t="s">
        <v>233</v>
      </c>
    </row>
    <row r="128" spans="4:15" ht="20.100000000000001" customHeight="1" x14ac:dyDescent="0.25">
      <c r="D128" s="1" t="s">
        <v>221</v>
      </c>
      <c r="E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F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G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H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I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J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K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L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M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N128" s="2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O128" s="26" t="s">
        <v>233</v>
      </c>
    </row>
    <row r="129" spans="4:15" ht="20.100000000000001" customHeight="1" x14ac:dyDescent="0.25">
      <c r="D129" s="1" t="s">
        <v>222</v>
      </c>
      <c r="E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F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G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H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I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J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K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L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M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N129" s="2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O129" s="26" t="s">
        <v>233</v>
      </c>
    </row>
    <row r="130" spans="4:15" ht="20.100000000000001" customHeight="1" x14ac:dyDescent="0.25">
      <c r="D130" s="1" t="s">
        <v>223</v>
      </c>
      <c r="E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F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G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H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I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J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K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L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M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N130" s="2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O130" s="26" t="s">
        <v>233</v>
      </c>
    </row>
    <row r="131" spans="4:15" ht="20.100000000000001" customHeight="1" x14ac:dyDescent="0.25"/>
    <row r="132" spans="4:15" ht="20.100000000000001" customHeight="1" x14ac:dyDescent="0.25">
      <c r="D132" s="96" t="s">
        <v>224</v>
      </c>
      <c r="E132" s="96" t="s">
        <v>211</v>
      </c>
      <c r="F132" s="96" t="s">
        <v>201</v>
      </c>
      <c r="G132" s="96" t="s">
        <v>212</v>
      </c>
      <c r="H132" s="96" t="s">
        <v>213</v>
      </c>
      <c r="I132" s="96" t="s">
        <v>214</v>
      </c>
      <c r="J132" s="96" t="s">
        <v>215</v>
      </c>
      <c r="K132" s="96" t="s">
        <v>216</v>
      </c>
      <c r="L132" s="96" t="s">
        <v>217</v>
      </c>
      <c r="M132" s="96" t="s">
        <v>218</v>
      </c>
      <c r="N132" s="96" t="s">
        <v>219</v>
      </c>
    </row>
    <row r="133" spans="4:15" ht="20.100000000000001" customHeight="1" x14ac:dyDescent="0.25">
      <c r="D133" s="1" t="str">
        <f>TEXT(X_Cell_Site_StartDate, "mmmm yyyy")</f>
        <v>January 2024</v>
      </c>
      <c r="E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3" s="8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3" s="26" t="s">
        <v>233</v>
      </c>
    </row>
    <row r="134" spans="4:15" ht="20.100000000000001" customHeight="1" x14ac:dyDescent="0.25">
      <c r="D134" s="1" t="str">
        <f>TEXT(EDATE(X_Cell_Site_StartDate,1), "mmmm yyyy")</f>
        <v>February 2024</v>
      </c>
      <c r="E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4" s="8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4" s="26" t="s">
        <v>233</v>
      </c>
    </row>
    <row r="135" spans="4:15" ht="20.100000000000001" customHeight="1" x14ac:dyDescent="0.25">
      <c r="D135" s="1" t="str">
        <f>TEXT(EDATE(X_Cell_Site_StartDate,2), "mmmm yyyy")</f>
        <v>March 2024</v>
      </c>
      <c r="E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5" s="8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5" s="26" t="s">
        <v>233</v>
      </c>
    </row>
    <row r="136" spans="4:15" ht="20.100000000000001" customHeight="1" x14ac:dyDescent="0.25">
      <c r="D136" s="1" t="str">
        <f>TEXT(EDATE(X_Cell_Site_StartDate,3), "mmmm yyyy")</f>
        <v>April 2024</v>
      </c>
      <c r="E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6" s="8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6" s="26" t="s">
        <v>233</v>
      </c>
    </row>
    <row r="137" spans="4:15" ht="20.100000000000001" customHeight="1" x14ac:dyDescent="0.25">
      <c r="D137" s="1" t="str">
        <f>TEXT(EDATE(X_Cell_Site_StartDate,4), "mmmm yyyy")</f>
        <v>May 2024</v>
      </c>
      <c r="E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7" s="8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7" s="26" t="s">
        <v>233</v>
      </c>
    </row>
    <row r="138" spans="4:15" ht="20.100000000000001" customHeight="1" x14ac:dyDescent="0.25">
      <c r="D138" s="1" t="str">
        <f>TEXT(EDATE(X_Cell_Site_StartDate,5), "mmmm yyyy")</f>
        <v>June 2024</v>
      </c>
      <c r="E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8" s="8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8" s="26" t="s">
        <v>233</v>
      </c>
    </row>
    <row r="139" spans="4:15" ht="20.100000000000001" customHeight="1" x14ac:dyDescent="0.25">
      <c r="D139" s="1" t="str">
        <f>TEXT(EDATE(X_Cell_Site_StartDate,6), "mmmm yyyy")</f>
        <v>July 2024</v>
      </c>
      <c r="E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9" s="8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9" s="26" t="s">
        <v>233</v>
      </c>
    </row>
    <row r="140" spans="4:15" ht="20.100000000000001" customHeight="1" x14ac:dyDescent="0.25">
      <c r="D140" s="1" t="str">
        <f>TEXT(EDATE(X_Cell_Site_StartDate,7), "mmmm yyyy")</f>
        <v>August 2024</v>
      </c>
      <c r="E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0" s="8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0" s="26" t="s">
        <v>233</v>
      </c>
    </row>
    <row r="141" spans="4:15" ht="20.100000000000001" customHeight="1" x14ac:dyDescent="0.25">
      <c r="D141" s="1" t="str">
        <f>TEXT(EDATE(X_Cell_Site_StartDate,8), "mmmm yyyy")</f>
        <v>September 2024</v>
      </c>
      <c r="E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1" s="8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1" s="26" t="s">
        <v>233</v>
      </c>
    </row>
    <row r="142" spans="4:15" ht="20.100000000000001" customHeight="1" x14ac:dyDescent="0.25">
      <c r="D142" s="1" t="str">
        <f>TEXT(EDATE(X_Cell_Site_StartDate,9), "mmmm yyyy")</f>
        <v>October 2024</v>
      </c>
      <c r="E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2" s="8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2" s="26" t="s">
        <v>233</v>
      </c>
    </row>
    <row r="143" spans="4:15" ht="20.100000000000001" customHeight="1" x14ac:dyDescent="0.25">
      <c r="D143" s="1" t="str">
        <f>TEXT(EDATE(X_Cell_Site_StartDate,10), "mmmm yyyy")</f>
        <v>November 2024</v>
      </c>
      <c r="E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3" s="8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3" s="26" t="s">
        <v>233</v>
      </c>
    </row>
    <row r="144" spans="4:15" ht="20.100000000000001" customHeight="1" x14ac:dyDescent="0.25">
      <c r="D144" s="1" t="str">
        <f>TEXT(EDATE(X_Cell_Site_StartDate,11), "mmmm yyyy")</f>
        <v>December 2024</v>
      </c>
      <c r="E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44" s="8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44" s="26" t="s">
        <v>233</v>
      </c>
    </row>
    <row r="145" spans="4:15" ht="20.100000000000001" customHeight="1" x14ac:dyDescent="0.25">
      <c r="L145" s="26"/>
      <c r="M145" s="26"/>
      <c r="N145" s="26"/>
      <c r="O145" s="26"/>
    </row>
    <row r="146" spans="4:15" ht="20.100000000000001" customHeight="1" x14ac:dyDescent="0.25">
      <c r="L146" s="26"/>
      <c r="M146" s="26"/>
      <c r="N146" s="26"/>
      <c r="O146" s="26"/>
    </row>
    <row r="147" spans="4:15" ht="20.100000000000001" customHeight="1" x14ac:dyDescent="0.25">
      <c r="D147" s="91" t="s">
        <v>235</v>
      </c>
      <c r="L147" s="26"/>
      <c r="M147" s="26"/>
      <c r="N147" s="26"/>
      <c r="O147" s="26"/>
    </row>
    <row r="148" spans="4:15" ht="20.100000000000001" customHeight="1" x14ac:dyDescent="0.25"/>
    <row r="149" spans="4:15" ht="20.100000000000001" customHeight="1" x14ac:dyDescent="0.25">
      <c r="D149" s="1" t="s">
        <v>236</v>
      </c>
      <c r="E149" s="23" t="s">
        <v>237</v>
      </c>
      <c r="F149" s="26" t="s">
        <v>110</v>
      </c>
      <c r="L149" s="26"/>
      <c r="M149" s="26"/>
      <c r="N149" s="26"/>
      <c r="O149" s="26"/>
    </row>
    <row r="150" spans="4:15" ht="20.100000000000001" customHeight="1" x14ac:dyDescent="0.25"/>
    <row r="151" spans="4:15" ht="20.100000000000001" customHeight="1" x14ac:dyDescent="0.25">
      <c r="D151" s="96" t="s">
        <v>238</v>
      </c>
      <c r="E151" s="96" t="s">
        <v>239</v>
      </c>
      <c r="L151" s="26"/>
      <c r="M151" s="26"/>
      <c r="N151" s="26"/>
      <c r="O151" s="26"/>
    </row>
    <row r="152" spans="4:15" ht="20.100000000000001" customHeight="1" x14ac:dyDescent="0.25">
      <c r="D152" s="1" t="s">
        <v>92</v>
      </c>
      <c r="E152" s="98">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6" t="s">
        <v>240</v>
      </c>
      <c r="L152" s="26"/>
      <c r="M152" s="26"/>
      <c r="N152" s="26"/>
      <c r="O152" s="26"/>
    </row>
    <row r="153" spans="4:15" ht="20.100000000000001" customHeight="1" x14ac:dyDescent="0.25">
      <c r="D153" s="1" t="s">
        <v>80</v>
      </c>
      <c r="E153" s="98">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6" t="s">
        <v>240</v>
      </c>
      <c r="L153" s="26"/>
      <c r="M153" s="26"/>
      <c r="N153" s="26"/>
      <c r="O153" s="26"/>
    </row>
    <row r="154" spans="4:15" ht="20.100000000000001" customHeight="1" x14ac:dyDescent="0.25">
      <c r="L154" s="26"/>
      <c r="M154" s="26"/>
      <c r="N154" s="26"/>
      <c r="O154" s="26"/>
    </row>
    <row r="155" spans="4:15" ht="20.100000000000001" customHeight="1" x14ac:dyDescent="0.25"/>
    <row r="156" spans="4:15" ht="20.100000000000001" customHeight="1" x14ac:dyDescent="0.25">
      <c r="D156" s="1" t="s">
        <v>241</v>
      </c>
      <c r="E156" s="23" t="s">
        <v>191</v>
      </c>
      <c r="F156" s="26" t="s">
        <v>110</v>
      </c>
      <c r="L156" s="26"/>
      <c r="M156" s="26"/>
      <c r="N156" s="26"/>
      <c r="O156" s="26"/>
    </row>
    <row r="157" spans="4:15" ht="20.100000000000001" customHeight="1" x14ac:dyDescent="0.25">
      <c r="E157" s="23" t="s">
        <v>242</v>
      </c>
      <c r="F157" s="26" t="s">
        <v>110</v>
      </c>
    </row>
    <row r="158" spans="4:15" ht="20.100000000000001" customHeight="1" x14ac:dyDescent="0.25"/>
    <row r="159" spans="4:15" ht="20.100000000000001" customHeight="1" x14ac:dyDescent="0.25"/>
    <row r="160" spans="4:15" ht="20.100000000000001" customHeight="1" x14ac:dyDescent="0.25">
      <c r="D160" s="91" t="s">
        <v>243</v>
      </c>
      <c r="K160" s="26"/>
      <c r="L160" s="26"/>
      <c r="M160" s="26"/>
      <c r="N160" s="26"/>
      <c r="O160" s="26"/>
    </row>
    <row r="161" spans="4:15" ht="20.100000000000001" customHeight="1" x14ac:dyDescent="0.25">
      <c r="D161" s="96" t="s">
        <v>226</v>
      </c>
      <c r="E161" s="96"/>
      <c r="F161" s="96"/>
      <c r="G161" s="96"/>
    </row>
    <row r="162" spans="4:15" ht="20.100000000000001" customHeight="1" x14ac:dyDescent="0.25">
      <c r="D162" s="1" t="s">
        <v>244</v>
      </c>
      <c r="E162" s="23" t="s">
        <v>223</v>
      </c>
      <c r="F162" s="26" t="s">
        <v>110</v>
      </c>
    </row>
    <row r="163" spans="4:15" ht="20.100000000000001" customHeight="1" x14ac:dyDescent="0.25"/>
    <row r="164" spans="4:15" ht="20.100000000000001" customHeight="1" x14ac:dyDescent="0.25"/>
    <row r="165" spans="4:15" ht="20.100000000000001" customHeight="1" x14ac:dyDescent="0.25">
      <c r="K165" s="1" t="s">
        <v>245</v>
      </c>
    </row>
    <row r="166" spans="4:15" ht="20.100000000000001" customHeight="1" x14ac:dyDescent="0.25"/>
    <row r="167" spans="4:15" ht="20.100000000000001" customHeight="1" x14ac:dyDescent="0.25">
      <c r="E167" s="96" t="s">
        <v>246</v>
      </c>
      <c r="F167" s="96" t="s">
        <v>213</v>
      </c>
      <c r="G167" s="96" t="s">
        <v>214</v>
      </c>
      <c r="H167" s="96" t="s">
        <v>215</v>
      </c>
      <c r="L167" s="1" t="s">
        <v>212</v>
      </c>
      <c r="M167" s="1" t="s">
        <v>216</v>
      </c>
      <c r="N167" s="26"/>
      <c r="O167" s="26"/>
    </row>
    <row r="168" spans="4:15" ht="20.100000000000001" customHeight="1" x14ac:dyDescent="0.25">
      <c r="D168" s="1" t="str">
        <f>"Proportion of cows &gt; 1 years in calf in " &amp; E162</f>
        <v>Proportion of cows &gt; 1 years in calf in Winter</v>
      </c>
      <c r="E168" s="23" t="s">
        <v>247</v>
      </c>
      <c r="F168" s="28">
        <v>0.7</v>
      </c>
      <c r="G168" s="28">
        <v>0.5</v>
      </c>
      <c r="H168" s="28">
        <v>0.5</v>
      </c>
      <c r="I168" s="26" t="s">
        <v>240</v>
      </c>
      <c r="L168" s="25">
        <f>MAX(0, G42-G41)</f>
        <v>0</v>
      </c>
      <c r="M168" s="25">
        <f>MAX(0,K42-K41)</f>
        <v>0</v>
      </c>
      <c r="N168" s="26"/>
      <c r="O168" s="26"/>
    </row>
    <row r="169" spans="4:15" ht="20.100000000000001" customHeight="1" x14ac:dyDescent="0.25">
      <c r="D169" s="1" t="s">
        <v>220</v>
      </c>
      <c r="E169" s="23" t="s">
        <v>247</v>
      </c>
      <c r="F169" s="28">
        <v>0.1</v>
      </c>
      <c r="G169" s="28">
        <v>0.4</v>
      </c>
      <c r="H169" s="28">
        <v>0.4</v>
      </c>
      <c r="I169" s="26" t="s">
        <v>240</v>
      </c>
      <c r="L169" s="25">
        <f>MAX(0, G39-G42)</f>
        <v>0</v>
      </c>
      <c r="M169" s="25">
        <f>MAX(0,K39-K42)</f>
        <v>0</v>
      </c>
    </row>
    <row r="170" spans="4:15" ht="20.100000000000001" customHeight="1" x14ac:dyDescent="0.25">
      <c r="D170" s="1" t="s">
        <v>221</v>
      </c>
      <c r="E170" s="23" t="s">
        <v>247</v>
      </c>
      <c r="F170" s="28">
        <v>0.1</v>
      </c>
      <c r="G170" s="28">
        <v>0</v>
      </c>
      <c r="H170" s="28">
        <v>0</v>
      </c>
      <c r="I170" s="26" t="s">
        <v>240</v>
      </c>
      <c r="L170" s="25">
        <f>MAX(0, G40-G39)</f>
        <v>0</v>
      </c>
      <c r="M170" s="25">
        <f>MAX(0,K40-K39)</f>
        <v>0</v>
      </c>
    </row>
    <row r="171" spans="4:15" ht="20.100000000000001" customHeight="1" x14ac:dyDescent="0.25">
      <c r="D171" s="1" t="s">
        <v>222</v>
      </c>
      <c r="E171" s="23" t="s">
        <v>237</v>
      </c>
      <c r="F171" s="28">
        <v>0</v>
      </c>
      <c r="G171" s="28">
        <v>0</v>
      </c>
      <c r="H171" s="28">
        <v>0</v>
      </c>
      <c r="I171" s="26" t="s">
        <v>240</v>
      </c>
      <c r="L171" s="25">
        <f>MAX(0,G41-G40)</f>
        <v>0</v>
      </c>
      <c r="M171" s="25">
        <f>MAX(0,K41-K40)</f>
        <v>0</v>
      </c>
    </row>
    <row r="172" spans="4:15" ht="20.100000000000001" customHeight="1" x14ac:dyDescent="0.25">
      <c r="J172" s="1" t="s">
        <v>248</v>
      </c>
    </row>
    <row r="173" spans="4:15" ht="20.100000000000001" customHeight="1" x14ac:dyDescent="0.25"/>
    <row r="174" spans="4:15" ht="20.100000000000001" customHeight="1" x14ac:dyDescent="0.25"/>
    <row r="175" spans="4:15" ht="20.100000000000001" customHeight="1" x14ac:dyDescent="0.25">
      <c r="D175" s="96" t="s">
        <v>227</v>
      </c>
      <c r="E175" s="96"/>
      <c r="F175" s="96"/>
      <c r="G175" s="96"/>
      <c r="L175" s="99" t="s">
        <v>249</v>
      </c>
    </row>
    <row r="176" spans="4:15" ht="20.100000000000001" customHeight="1" x14ac:dyDescent="0.25">
      <c r="D176" s="1" t="s">
        <v>250</v>
      </c>
      <c r="E176" s="23" t="s">
        <v>251</v>
      </c>
      <c r="F176" s="26" t="s">
        <v>110</v>
      </c>
      <c r="J176" s="88" t="s">
        <v>211</v>
      </c>
    </row>
    <row r="177" spans="4:15" ht="20.100000000000001" customHeight="1" x14ac:dyDescent="0.25">
      <c r="D177" s="1" t="s">
        <v>252</v>
      </c>
      <c r="E177" s="25" t="str">
        <f>TEXT(EDATE(E176,1), "mmmm yyyy")</f>
        <v>September 2024</v>
      </c>
      <c r="J177" s="1" t="s">
        <v>225</v>
      </c>
      <c r="K177" s="1" t="s">
        <v>253</v>
      </c>
      <c r="L177" s="1" t="s">
        <v>248</v>
      </c>
      <c r="M177" s="1" t="s">
        <v>254</v>
      </c>
      <c r="N177" s="1" t="s">
        <v>255</v>
      </c>
      <c r="O177" s="1" t="s">
        <v>256</v>
      </c>
    </row>
    <row r="178" spans="4:15" ht="20.100000000000001" customHeight="1" x14ac:dyDescent="0.25">
      <c r="D178" s="1" t="s">
        <v>257</v>
      </c>
      <c r="E178" s="25" t="str">
        <f>TEXT(EDATE(E176,2), "mmmm yyyy")</f>
        <v>October 2024</v>
      </c>
      <c r="J178" s="25">
        <f>E39</f>
        <v>100</v>
      </c>
      <c r="K178" s="25">
        <f>MAX(0, E39-E42)</f>
        <v>0</v>
      </c>
      <c r="L178" s="1">
        <f>K178/J178</f>
        <v>0</v>
      </c>
      <c r="M178" s="1">
        <f>K181/J178</f>
        <v>0</v>
      </c>
      <c r="N178" s="26">
        <f>1-(L178+M178)</f>
        <v>1</v>
      </c>
      <c r="O178" s="88">
        <f>(L178*6)+(M178*4)+(N178*0)</f>
        <v>0</v>
      </c>
    </row>
    <row r="179" spans="4:15" ht="20.100000000000001" customHeight="1" x14ac:dyDescent="0.25">
      <c r="J179" s="25">
        <f>E40</f>
        <v>100</v>
      </c>
      <c r="K179" s="25">
        <f>MAX(0, E40-E39)</f>
        <v>0</v>
      </c>
      <c r="L179" s="1">
        <f>K179/J179</f>
        <v>0</v>
      </c>
      <c r="M179" s="1">
        <f>K178/J179</f>
        <v>0</v>
      </c>
      <c r="N179" s="26">
        <f>1-(L179+M179)</f>
        <v>1</v>
      </c>
      <c r="O179" s="88">
        <f t="shared" ref="O179:O181" si="1">(L179*6)+(M179*4)+(N179*0)</f>
        <v>0</v>
      </c>
    </row>
    <row r="180" spans="4:15" ht="20.100000000000001" customHeight="1" x14ac:dyDescent="0.25">
      <c r="J180" s="25">
        <f>E41</f>
        <v>100</v>
      </c>
      <c r="K180" s="25">
        <f>MAX(0,E41-E40)</f>
        <v>0</v>
      </c>
      <c r="L180" s="1">
        <f>K180/J180</f>
        <v>0</v>
      </c>
      <c r="M180" s="1">
        <f>K179/J180</f>
        <v>0</v>
      </c>
      <c r="N180" s="26">
        <f>1-(L180+M180)</f>
        <v>1</v>
      </c>
      <c r="O180" s="88">
        <f t="shared" si="1"/>
        <v>0</v>
      </c>
    </row>
    <row r="181" spans="4:15" ht="20.100000000000001" customHeight="1" x14ac:dyDescent="0.25">
      <c r="E181" s="96" t="s">
        <v>213</v>
      </c>
      <c r="F181" s="96" t="s">
        <v>214</v>
      </c>
      <c r="G181" s="96" t="s">
        <v>215</v>
      </c>
      <c r="J181" s="25">
        <f>E42</f>
        <v>100</v>
      </c>
      <c r="K181" s="25">
        <f>MAX(0, E42-E41)</f>
        <v>0</v>
      </c>
      <c r="L181" s="1">
        <f>K181/J181</f>
        <v>0</v>
      </c>
      <c r="M181" s="26">
        <f>K180/J181</f>
        <v>0</v>
      </c>
      <c r="N181" s="26">
        <f>1-(L181+M181)</f>
        <v>1</v>
      </c>
      <c r="O181" s="88">
        <f t="shared" si="1"/>
        <v>0</v>
      </c>
    </row>
    <row r="182" spans="4:15" ht="20.100000000000001" customHeight="1" x14ac:dyDescent="0.25">
      <c r="D182" s="1" t="str">
        <f>E176</f>
        <v>August 2024</v>
      </c>
      <c r="E182" s="28">
        <v>0.25</v>
      </c>
      <c r="F182" s="28">
        <v>0.25</v>
      </c>
      <c r="G182" s="28">
        <v>0.25</v>
      </c>
      <c r="H182" s="26" t="s">
        <v>240</v>
      </c>
      <c r="L182" s="26"/>
      <c r="M182" s="26"/>
      <c r="N182" s="26"/>
      <c r="O182" s="26"/>
    </row>
    <row r="183" spans="4:15" ht="20.100000000000001" customHeight="1" x14ac:dyDescent="0.25">
      <c r="D183" s="1" t="str">
        <f>E177</f>
        <v>September 2024</v>
      </c>
      <c r="E183" s="28">
        <v>0.25</v>
      </c>
      <c r="F183" s="28">
        <v>0.25</v>
      </c>
      <c r="G183" s="28">
        <v>0.25</v>
      </c>
      <c r="H183" s="26" t="s">
        <v>240</v>
      </c>
    </row>
    <row r="184" spans="4:15" ht="20.100000000000001" customHeight="1" x14ac:dyDescent="0.25">
      <c r="D184" s="1" t="str">
        <f>E178</f>
        <v>October 2024</v>
      </c>
      <c r="E184" s="28">
        <v>0.25</v>
      </c>
      <c r="F184" s="28">
        <v>0.25</v>
      </c>
      <c r="G184" s="28">
        <v>0.25</v>
      </c>
      <c r="H184" s="26" t="s">
        <v>240</v>
      </c>
    </row>
    <row r="185" spans="4:15" ht="20.100000000000001" customHeight="1" x14ac:dyDescent="0.25">
      <c r="D185" s="1" t="str">
        <f>"Proportion of cows &gt; 1 years in calf in " &amp; D182 &amp; " to " &amp; D184</f>
        <v>Proportion of cows &gt; 1 years in calf in August 2024 to October 2024</v>
      </c>
      <c r="E185" s="29">
        <f>SUM(E182:E184)</f>
        <v>0.75</v>
      </c>
      <c r="F185" s="29">
        <f>SUM(F182:F184)</f>
        <v>0.75</v>
      </c>
      <c r="G185" s="29">
        <f>SUM(G182:G184)</f>
        <v>0.75</v>
      </c>
      <c r="H185" s="26" t="s">
        <v>240</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7:27" ht="20.100000000000001" customHeight="1" x14ac:dyDescent="0.25"/>
    <row r="194" spans="17:27" ht="20.100000000000001" customHeight="1" x14ac:dyDescent="0.25"/>
    <row r="195" spans="17:27" ht="20.100000000000001" customHeight="1" x14ac:dyDescent="0.25"/>
    <row r="196" spans="17:27" ht="20.100000000000001" customHeight="1" x14ac:dyDescent="0.25"/>
    <row r="197" spans="17:27" ht="20.100000000000001" customHeight="1" x14ac:dyDescent="0.25"/>
    <row r="198" spans="17:27" ht="20.100000000000001" customHeight="1" x14ac:dyDescent="0.25"/>
    <row r="199" spans="17:27" ht="20.100000000000001" customHeight="1" x14ac:dyDescent="0.25"/>
    <row r="200" spans="17:27" ht="20.100000000000001" customHeight="1" x14ac:dyDescent="0.25"/>
    <row r="201" spans="17:27" ht="20.100000000000001" customHeight="1" x14ac:dyDescent="0.25"/>
    <row r="202" spans="17:27" ht="20.100000000000001" customHeight="1" x14ac:dyDescent="0.25"/>
    <row r="203" spans="17:27" ht="20.100000000000001" customHeight="1" x14ac:dyDescent="0.25"/>
    <row r="204" spans="17:27" ht="20.100000000000001" customHeight="1" x14ac:dyDescent="0.25"/>
    <row r="205" spans="17:27" ht="20.100000000000001" customHeight="1" x14ac:dyDescent="0.25">
      <c r="Q205" s="1"/>
      <c r="Z205" s="94"/>
    </row>
    <row r="206" spans="17:27" ht="20.100000000000001" customHeight="1" x14ac:dyDescent="0.25">
      <c r="Q206" s="1"/>
      <c r="R206" s="1"/>
      <c r="Z206" s="94"/>
      <c r="AA206" s="94"/>
    </row>
    <row r="207" spans="17:27" ht="20.100000000000001" customHeight="1" x14ac:dyDescent="0.25">
      <c r="Q207" s="1"/>
      <c r="R207" s="1"/>
      <c r="Z207" s="94"/>
      <c r="AA207" s="94"/>
    </row>
    <row r="208" spans="17:27" ht="20.100000000000001" customHeight="1" x14ac:dyDescent="0.25">
      <c r="Q208" s="1"/>
      <c r="R208" s="1"/>
      <c r="Z208" s="94"/>
      <c r="AA208" s="94"/>
    </row>
    <row r="209" spans="11:27" ht="20.100000000000001" customHeight="1" x14ac:dyDescent="0.25">
      <c r="Q209" s="1"/>
      <c r="R209" s="1"/>
      <c r="Z209" s="94"/>
      <c r="AA209" s="94"/>
    </row>
    <row r="210" spans="11:27" ht="20.100000000000001" customHeight="1" x14ac:dyDescent="0.25">
      <c r="Q210" s="1"/>
      <c r="R210" s="1"/>
      <c r="Z210" s="94"/>
      <c r="AA210" s="94"/>
    </row>
    <row r="211" spans="11:27" ht="20.100000000000001" customHeight="1" x14ac:dyDescent="0.25">
      <c r="Q211" s="1"/>
      <c r="R211" s="1"/>
      <c r="Z211" s="94"/>
      <c r="AA211" s="94"/>
    </row>
    <row r="212" spans="11:27" ht="20.100000000000001" customHeight="1" x14ac:dyDescent="0.25">
      <c r="Q212" s="1"/>
      <c r="R212" s="1"/>
      <c r="Z212" s="94"/>
      <c r="AA212" s="94"/>
    </row>
    <row r="213" spans="11:27" ht="20.100000000000001" customHeight="1" x14ac:dyDescent="0.25">
      <c r="Q213" s="1"/>
      <c r="R213" s="1"/>
      <c r="Z213" s="94"/>
      <c r="AA213" s="94"/>
    </row>
    <row r="214" spans="11:27" ht="20.100000000000001" customHeight="1" x14ac:dyDescent="0.25">
      <c r="Q214" s="1"/>
      <c r="R214" s="1"/>
      <c r="Z214" s="94"/>
      <c r="AA214" s="94"/>
    </row>
    <row r="215" spans="11:27" ht="20.100000000000001" customHeight="1" x14ac:dyDescent="0.25">
      <c r="Q215" s="1"/>
      <c r="R215" s="1"/>
      <c r="Z215" s="94"/>
      <c r="AA215" s="94"/>
    </row>
    <row r="216" spans="11:27" ht="20.100000000000001" customHeight="1" x14ac:dyDescent="0.25">
      <c r="Q216" s="1"/>
      <c r="Z216" s="94"/>
    </row>
    <row r="217" spans="11:27" ht="20.100000000000001" customHeight="1" x14ac:dyDescent="0.25"/>
    <row r="218" spans="11:27" ht="20.100000000000001" customHeight="1" x14ac:dyDescent="0.25"/>
    <row r="219" spans="11:27" ht="20.100000000000001" customHeight="1" x14ac:dyDescent="0.25"/>
    <row r="220" spans="11:27" ht="20.100000000000001" customHeight="1" x14ac:dyDescent="0.25"/>
    <row r="221" spans="11:27" ht="20.100000000000001" customHeight="1" x14ac:dyDescent="0.25"/>
    <row r="222" spans="11:27" ht="20.100000000000001" customHeight="1" x14ac:dyDescent="0.25"/>
    <row r="223" spans="11:27" ht="20.100000000000001" customHeight="1" x14ac:dyDescent="0.25">
      <c r="K223" s="26"/>
    </row>
    <row r="227" spans="11:15" x14ac:dyDescent="0.25">
      <c r="L227" s="26"/>
      <c r="M227" s="26"/>
      <c r="N227" s="26"/>
      <c r="O227" s="26"/>
    </row>
    <row r="228" spans="11:15" x14ac:dyDescent="0.25">
      <c r="K228" s="26"/>
      <c r="L228" s="26"/>
      <c r="M228" s="26"/>
      <c r="N228" s="26"/>
      <c r="O228" s="26"/>
    </row>
    <row r="229" spans="11:15" x14ac:dyDescent="0.25">
      <c r="L229" s="26"/>
      <c r="M229" s="26"/>
      <c r="N229" s="26"/>
      <c r="O229" s="26"/>
    </row>
    <row r="232" spans="11:15" x14ac:dyDescent="0.25">
      <c r="L232" s="26"/>
      <c r="M232" s="26"/>
      <c r="N232" s="26"/>
      <c r="O232" s="26"/>
    </row>
    <row r="233" spans="11:15" x14ac:dyDescent="0.25">
      <c r="K233" s="26"/>
      <c r="L233" s="26"/>
      <c r="M233" s="26"/>
      <c r="N233" s="26"/>
      <c r="O233" s="26"/>
    </row>
    <row r="234" spans="11:15" x14ac:dyDescent="0.25">
      <c r="L234" s="26"/>
      <c r="M234" s="26"/>
      <c r="N234" s="26"/>
      <c r="O234" s="26"/>
    </row>
    <row r="237" spans="11:15" x14ac:dyDescent="0.25">
      <c r="L237" s="26"/>
      <c r="M237" s="26"/>
      <c r="N237" s="26"/>
      <c r="O237" s="26"/>
    </row>
    <row r="238" spans="11:15" x14ac:dyDescent="0.25">
      <c r="K238" s="26"/>
      <c r="L238" s="26"/>
      <c r="M238" s="26"/>
      <c r="N238" s="26"/>
      <c r="O238" s="26"/>
    </row>
    <row r="239" spans="11:15" x14ac:dyDescent="0.25">
      <c r="K239" s="26"/>
      <c r="L239" s="26"/>
      <c r="M239" s="26"/>
      <c r="N239" s="26"/>
      <c r="O239" s="26"/>
    </row>
    <row r="240" spans="11:15" x14ac:dyDescent="0.25">
      <c r="K240" s="26"/>
    </row>
    <row r="241" spans="11:15" x14ac:dyDescent="0.25">
      <c r="K241" s="26"/>
    </row>
    <row r="242" spans="11:15" x14ac:dyDescent="0.25">
      <c r="K242" s="26"/>
      <c r="L242" s="26"/>
      <c r="M242" s="26"/>
      <c r="N242" s="26"/>
      <c r="O242" s="26"/>
    </row>
    <row r="243" spans="11:15" x14ac:dyDescent="0.25">
      <c r="L243" s="26"/>
      <c r="M243" s="26"/>
      <c r="N243" s="26"/>
      <c r="O243" s="26"/>
    </row>
    <row r="244" spans="11:15" x14ac:dyDescent="0.25">
      <c r="K244" s="26"/>
      <c r="L244" s="26"/>
      <c r="M244" s="26"/>
      <c r="N244" s="26"/>
      <c r="O244" s="26"/>
    </row>
    <row r="246" spans="11:15" x14ac:dyDescent="0.25">
      <c r="K246" s="26"/>
    </row>
    <row r="247" spans="11:15" x14ac:dyDescent="0.25">
      <c r="K247" s="26"/>
    </row>
    <row r="248" spans="11:15" x14ac:dyDescent="0.25">
      <c r="K248" s="26"/>
    </row>
    <row r="249" spans="11:15" x14ac:dyDescent="0.25">
      <c r="K249" s="26"/>
    </row>
    <row r="251" spans="11:15" x14ac:dyDescent="0.25">
      <c r="K251" s="26"/>
      <c r="L251" s="26"/>
      <c r="M251" s="26"/>
      <c r="N251" s="26"/>
      <c r="O251" s="26"/>
    </row>
    <row r="252" spans="11:15" x14ac:dyDescent="0.25">
      <c r="L252" s="26"/>
      <c r="M252" s="26"/>
      <c r="N252" s="26"/>
      <c r="O252" s="26"/>
    </row>
    <row r="253" spans="11:15" x14ac:dyDescent="0.25">
      <c r="L253" s="26"/>
      <c r="M253" s="26"/>
      <c r="N253" s="26"/>
      <c r="O253" s="26"/>
    </row>
    <row r="256" spans="11:15" x14ac:dyDescent="0.25">
      <c r="L256" s="26"/>
      <c r="M256" s="26"/>
      <c r="N256" s="26"/>
      <c r="O256" s="26"/>
    </row>
    <row r="257" spans="11:15" x14ac:dyDescent="0.25">
      <c r="K257" s="26"/>
      <c r="L257" s="26"/>
      <c r="M257" s="26"/>
      <c r="N257" s="26"/>
      <c r="O257" s="26"/>
    </row>
    <row r="258" spans="11:15" x14ac:dyDescent="0.25">
      <c r="L258" s="26"/>
      <c r="M258" s="26"/>
      <c r="N258" s="26"/>
      <c r="O258"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K267" s="26"/>
      <c r="L267" s="26"/>
      <c r="M267" s="26"/>
      <c r="N267" s="26"/>
      <c r="O267" s="26"/>
    </row>
    <row r="268" spans="11:15" x14ac:dyDescent="0.25">
      <c r="L268" s="26"/>
      <c r="M268" s="26"/>
      <c r="N268" s="26"/>
      <c r="O268" s="26"/>
    </row>
    <row r="272" spans="11:15" x14ac:dyDescent="0.25">
      <c r="K272" s="26"/>
    </row>
    <row r="273" spans="11:11" x14ac:dyDescent="0.25">
      <c r="K273" s="26"/>
    </row>
    <row r="274" spans="11:11" x14ac:dyDescent="0.25">
      <c r="K274" s="26"/>
    </row>
    <row r="275" spans="11:11" x14ac:dyDescent="0.25">
      <c r="K275" s="26"/>
    </row>
    <row r="276" spans="11:11" x14ac:dyDescent="0.25">
      <c r="K276" s="26"/>
    </row>
    <row r="278" spans="11:11" x14ac:dyDescent="0.25">
      <c r="K278" s="26"/>
    </row>
    <row r="280" spans="11:11" x14ac:dyDescent="0.25">
      <c r="K280" s="26"/>
    </row>
    <row r="281" spans="11:11" x14ac:dyDescent="0.25">
      <c r="K281" s="26"/>
    </row>
    <row r="282" spans="11:11" x14ac:dyDescent="0.25">
      <c r="K282" s="26"/>
    </row>
    <row r="283" spans="11:11" x14ac:dyDescent="0.25">
      <c r="K283" s="26"/>
    </row>
    <row r="285" spans="11:11" x14ac:dyDescent="0.25">
      <c r="K285" s="26"/>
    </row>
    <row r="293" spans="11:11" x14ac:dyDescent="0.25">
      <c r="K293" s="26"/>
    </row>
    <row r="294" spans="11:11" x14ac:dyDescent="0.25">
      <c r="K294" s="26"/>
    </row>
    <row r="295" spans="11:11" x14ac:dyDescent="0.25">
      <c r="K295" s="26"/>
    </row>
    <row r="298" spans="11:11" x14ac:dyDescent="0.25">
      <c r="K298" s="26"/>
    </row>
    <row r="299" spans="11:11" x14ac:dyDescent="0.25">
      <c r="K299" s="26"/>
    </row>
    <row r="300" spans="11:11" x14ac:dyDescent="0.25">
      <c r="K300" s="26"/>
    </row>
    <row r="303" spans="11:11" x14ac:dyDescent="0.25">
      <c r="K303" s="26"/>
    </row>
    <row r="304" spans="11:11" x14ac:dyDescent="0.25">
      <c r="K304" s="26"/>
    </row>
    <row r="305" spans="11:11" x14ac:dyDescent="0.25">
      <c r="K305" s="26"/>
    </row>
    <row r="308" spans="11:11" x14ac:dyDescent="0.25">
      <c r="K308" s="26"/>
    </row>
    <row r="309" spans="11:11" x14ac:dyDescent="0.25">
      <c r="K309" s="26"/>
    </row>
    <row r="310" spans="11:11" x14ac:dyDescent="0.25">
      <c r="K310" s="26"/>
    </row>
    <row r="317" spans="11:11" x14ac:dyDescent="0.25">
      <c r="K317" s="26"/>
    </row>
    <row r="318" spans="11:11" x14ac:dyDescent="0.25">
      <c r="K318" s="26"/>
    </row>
    <row r="319" spans="11:11" x14ac:dyDescent="0.25">
      <c r="K319" s="26"/>
    </row>
    <row r="322" spans="4:11" x14ac:dyDescent="0.25">
      <c r="K322" s="26"/>
    </row>
    <row r="323" spans="4:11" x14ac:dyDescent="0.25">
      <c r="K323" s="26"/>
    </row>
    <row r="324" spans="4:11" x14ac:dyDescent="0.25">
      <c r="K324" s="26"/>
    </row>
    <row r="327" spans="4:11" x14ac:dyDescent="0.25">
      <c r="K327" s="26"/>
    </row>
    <row r="328" spans="4:11" x14ac:dyDescent="0.25">
      <c r="D328" s="92"/>
      <c r="K328" s="26"/>
    </row>
    <row r="329" spans="4:11" x14ac:dyDescent="0.25">
      <c r="K329" s="26"/>
    </row>
    <row r="332" spans="4:11" x14ac:dyDescent="0.25">
      <c r="K332" s="26"/>
    </row>
    <row r="333" spans="4:11" x14ac:dyDescent="0.25">
      <c r="K333" s="26"/>
    </row>
    <row r="334" spans="4:11" x14ac:dyDescent="0.25">
      <c r="K334" s="26"/>
    </row>
  </sheetData>
  <conditionalFormatting sqref="F217:F218">
    <cfRule type="cellIs" dxfId="90" priority="10" operator="lessThan">
      <formula>0</formula>
    </cfRule>
  </conditionalFormatting>
  <conditionalFormatting sqref="F222:F223">
    <cfRule type="cellIs" dxfId="89" priority="9" operator="lessThan">
      <formula>0</formula>
    </cfRule>
  </conditionalFormatting>
  <conditionalFormatting sqref="F227:F228">
    <cfRule type="cellIs" dxfId="88" priority="8" operator="lessThan">
      <formula>0</formula>
    </cfRule>
  </conditionalFormatting>
  <conditionalFormatting sqref="F251:F252">
    <cfRule type="cellIs" dxfId="87" priority="7" operator="lessThan">
      <formula>0</formula>
    </cfRule>
  </conditionalFormatting>
  <conditionalFormatting sqref="F256:F257">
    <cfRule type="cellIs" dxfId="86" priority="6" operator="lessThan">
      <formula>0</formula>
    </cfRule>
  </conditionalFormatting>
  <conditionalFormatting sqref="F261:F262">
    <cfRule type="cellIs" dxfId="85" priority="5" operator="lessThan">
      <formula>0</formula>
    </cfRule>
  </conditionalFormatting>
  <conditionalFormatting sqref="H181:K181">
    <cfRule type="cellIs" dxfId="84" priority="4" operator="lessThan">
      <formula>0</formula>
    </cfRule>
  </conditionalFormatting>
  <conditionalFormatting sqref="I103:O103 L145:O147 L149:O149 L151:O154 L156:O156 E160:O160 L167:O168 M181:N181 I182 L182:O182 J223:K223 J228:K228 J233:K233 J238:K242 J244:K244 J246:K249 J251:K251 J257:K257 J262:K262 J267:K267 J272:K276 J278:K278 J280:K283 J285:K285">
    <cfRule type="cellIs" dxfId="83" priority="11" operator="lessThan">
      <formula>0</formula>
    </cfRule>
  </conditionalFormatting>
  <conditionalFormatting sqref="I125:O125">
    <cfRule type="cellIs" dxfId="82" priority="3" operator="lessThan">
      <formula>0</formula>
    </cfRule>
  </conditionalFormatting>
  <conditionalFormatting sqref="K180:K181">
    <cfRule type="cellIs" dxfId="81" priority="2" operator="lessThan">
      <formula>0</formula>
    </cfRule>
  </conditionalFormatting>
  <conditionalFormatting sqref="N178:N180">
    <cfRule type="cellIs" dxfId="80" priority="1" operator="lessThan">
      <formula>0</formula>
    </cfRule>
  </conditionalFormatting>
  <conditionalFormatting sqref="P43:R43">
    <cfRule type="cellIs" dxfId="79" priority="12" operator="lessThan">
      <formula>0</formula>
    </cfRule>
  </conditionalFormatting>
  <dataValidations count="9">
    <dataValidation type="list" allowBlank="1" showInputMessage="1" showErrorMessage="1" sqref="E176" xr:uid="{62475DC0-A755-44AB-9B5F-37E45342EB1D}">
      <formula1>$D$23:$D$34</formula1>
    </dataValidation>
    <dataValidation type="list" allowBlank="1" showInputMessage="1" showErrorMessage="1" sqref="E162" xr:uid="{21C68564-75D0-4029-96A2-A5B6E877884D}">
      <formula1>"Spring, Summer, Autumn, Winter"</formula1>
    </dataValidation>
    <dataValidation type="list" allowBlank="1" showInputMessage="1" showErrorMessage="1" sqref="E156" xr:uid="{3CAA1C3C-8F12-458F-88C4-20D96E5CDD83}">
      <formula1>INDIRECT("Table_SourceData_PastureBeef_CropProdSystems[Production system]")</formula1>
    </dataValidation>
    <dataValidation type="list" allowBlank="1" showInputMessage="1" showErrorMessage="1" sqref="E157" xr:uid="{61BF834A-86FD-4C36-AFBA-A15B4E8E6983}">
      <formula1>INDIRECT("Table_SourceData_PastureBeef_IrrigationMethods[Irrigation method]")</formula1>
    </dataValidation>
    <dataValidation type="list" allowBlank="1" showInputMessage="1" showErrorMessage="1" sqref="E9" xr:uid="{EE264A79-CDFA-4A7F-B3C9-2765D031C150}">
      <formula1>INDIRECT("Table_SourceData_PastureBeef_FeedIntakeAdjustment[Breed]")</formula1>
    </dataValidation>
    <dataValidation type="list" allowBlank="1" showInputMessage="1" showErrorMessage="1" sqref="E8" xr:uid="{D2423730-30C1-4BD0-926D-6988602A20CE}">
      <formula1>INDIRECT("Table_SourceData_PastureBeef_Region_" &amp; SUBSTITUTE($E$7, " ", "") &amp; "[Region]")</formula1>
    </dataValidation>
    <dataValidation type="list" allowBlank="1" showInputMessage="1" showErrorMessage="1" sqref="E15 E37 E59 E81" xr:uid="{C577885C-906B-408F-91AD-3E2C314ED911}">
      <formula1>INDIRECT("Table_SourceData_Dairy_WjCowsHeifers[Breed]")</formula1>
    </dataValidation>
    <dataValidation type="list" allowBlank="1" showInputMessage="1" showErrorMessage="1" sqref="E216 E221 E226 E260 E255 E250 E149" xr:uid="{CE537E87-C430-4348-8D1C-39E725E04B60}">
      <formula1>"Yes, No"</formula1>
    </dataValidation>
    <dataValidation type="list" allowBlank="1" showInputMessage="1" showErrorMessage="1" sqref="D244" xr:uid="{043A53DB-0138-4280-B3A5-FBCDD82DF91C}">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dimension ref="A1:M58"/>
  <sheetViews>
    <sheetView showGridLines="0"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s>
  <sheetData>
    <row r="1" spans="1:13" s="16" customFormat="1" ht="25.5" x14ac:dyDescent="0.35">
      <c r="A1" s="16" t="e" vm="1">
        <v>#VALUE!</v>
      </c>
      <c r="C1" s="16" t="s">
        <v>193</v>
      </c>
    </row>
    <row r="2" spans="1:13" s="3" customFormat="1" x14ac:dyDescent="0.25">
      <c r="A2"/>
    </row>
    <row r="3" spans="1:13" ht="20.25" x14ac:dyDescent="0.25">
      <c r="A3" s="5" t="str">
        <f>HYPERLINK("#'Home'!A1", "Home")</f>
        <v>Home</v>
      </c>
      <c r="C3" s="39"/>
      <c r="D3" s="39"/>
      <c r="E3" s="39"/>
      <c r="F3" s="39"/>
      <c r="G3" s="39"/>
      <c r="H3" s="39"/>
      <c r="I3" s="39"/>
      <c r="J3" s="39"/>
      <c r="K3" s="39"/>
      <c r="L3" s="39"/>
      <c r="M3" s="39"/>
    </row>
    <row r="4" spans="1:13" x14ac:dyDescent="0.25">
      <c r="A4" s="5" t="str">
        <f>HYPERLINK("#'Overview'!A1", "Overview")</f>
        <v>Overview</v>
      </c>
    </row>
    <row r="5" spans="1:13" x14ac:dyDescent="0.25">
      <c r="A5" s="5" t="str">
        <f>HYPERLINK("#'Results'!A1", "Results")</f>
        <v>Results</v>
      </c>
      <c r="D5" s="92" t="s">
        <v>194</v>
      </c>
    </row>
    <row r="6" spans="1:13" x14ac:dyDescent="0.25">
      <c r="D6" s="30" t="s">
        <v>195</v>
      </c>
      <c r="E6" s="30" t="s">
        <v>196</v>
      </c>
      <c r="F6" s="30" t="s">
        <v>197</v>
      </c>
      <c r="G6" s="30" t="s">
        <v>198</v>
      </c>
      <c r="H6" s="30" t="s">
        <v>199</v>
      </c>
      <c r="I6" s="30" t="s">
        <v>200</v>
      </c>
    </row>
    <row r="7" spans="1:13" x14ac:dyDescent="0.25">
      <c r="D7" s="44"/>
      <c r="E7" s="23" t="s">
        <v>201</v>
      </c>
      <c r="F7" s="93">
        <v>45566</v>
      </c>
      <c r="G7" s="30">
        <v>10</v>
      </c>
      <c r="H7" s="30">
        <v>500</v>
      </c>
      <c r="I7" s="25">
        <f t="shared" ref="I7:I16" si="0">G7*H7</f>
        <v>5000</v>
      </c>
    </row>
    <row r="8" spans="1:13" x14ac:dyDescent="0.25">
      <c r="A8" s="7" t="s">
        <v>0</v>
      </c>
      <c r="D8" s="44"/>
      <c r="E8" s="23"/>
      <c r="F8" s="93"/>
      <c r="G8" s="30"/>
      <c r="H8" s="30"/>
      <c r="I8" s="25">
        <f t="shared" si="0"/>
        <v>0</v>
      </c>
    </row>
    <row r="9" spans="1:13" x14ac:dyDescent="0.25">
      <c r="A9" s="5" t="str">
        <f>HYPERLINK("#'Input - Enterprise'!A1", "Enterprise")</f>
        <v>Enterprise</v>
      </c>
      <c r="D9" s="44"/>
      <c r="E9" s="23"/>
      <c r="F9" s="93"/>
      <c r="G9" s="30"/>
      <c r="H9" s="30"/>
      <c r="I9" s="25">
        <f t="shared" si="0"/>
        <v>0</v>
      </c>
    </row>
    <row r="10" spans="1:13" x14ac:dyDescent="0.25">
      <c r="A10" s="5" t="str">
        <f>HYPERLINK("#'Input - Site'!A1", "Site")</f>
        <v>Site</v>
      </c>
      <c r="D10" s="44"/>
      <c r="E10" s="23"/>
      <c r="F10" s="93"/>
      <c r="G10" s="30"/>
      <c r="H10" s="30"/>
      <c r="I10" s="25">
        <f t="shared" si="0"/>
        <v>0</v>
      </c>
    </row>
    <row r="11" spans="1:13" x14ac:dyDescent="0.25">
      <c r="A11" s="5" t="str">
        <f>HYPERLINK("#'Input - Pasture Beef'!A1", "Pasture Beef")</f>
        <v>Pasture Beef</v>
      </c>
      <c r="D11" s="44"/>
      <c r="E11" s="23"/>
      <c r="F11" s="93"/>
      <c r="G11" s="30"/>
      <c r="H11" s="30"/>
      <c r="I11" s="25">
        <f t="shared" si="0"/>
        <v>0</v>
      </c>
    </row>
    <row r="12" spans="1:13" x14ac:dyDescent="0.25">
      <c r="A12" s="5" t="str">
        <f>HYPERLINK("#'Input - Pasture Beef (Enteric)'!A1", "Pasture Beef (Enteric)")</f>
        <v>Pasture Beef (Enteric)</v>
      </c>
      <c r="D12" s="44"/>
      <c r="E12" s="23"/>
      <c r="F12" s="93"/>
      <c r="G12" s="30"/>
      <c r="H12" s="30"/>
      <c r="I12" s="25">
        <f t="shared" si="0"/>
        <v>0</v>
      </c>
    </row>
    <row r="13" spans="1:13" x14ac:dyDescent="0.25">
      <c r="A13" s="95" t="str">
        <f>HYPERLINK("#'Input - Livestock sales'!A1", "Livestock sales")</f>
        <v>Livestock sales</v>
      </c>
      <c r="D13" s="44"/>
      <c r="E13" s="23"/>
      <c r="F13" s="93"/>
      <c r="G13" s="30"/>
      <c r="H13" s="30"/>
      <c r="I13" s="25">
        <f t="shared" si="0"/>
        <v>0</v>
      </c>
    </row>
    <row r="14" spans="1:13" x14ac:dyDescent="0.25">
      <c r="A14" s="5" t="str">
        <f>HYPERLINK("#'Input - Beef cattle purchases'!A1", "Beef cattle purchases")</f>
        <v>Beef cattle purchases</v>
      </c>
      <c r="D14" s="44"/>
      <c r="E14" s="23"/>
      <c r="F14" s="93"/>
      <c r="G14" s="30"/>
      <c r="H14" s="30"/>
      <c r="I14" s="25">
        <f t="shared" si="0"/>
        <v>0</v>
      </c>
    </row>
    <row r="15" spans="1:13" x14ac:dyDescent="0.25">
      <c r="A15" s="5" t="str">
        <f>HYPERLINK("#'Input - Pasture'!A1", "Pasture")</f>
        <v>Pasture</v>
      </c>
      <c r="D15" s="44"/>
      <c r="E15" s="23"/>
      <c r="F15" s="93"/>
      <c r="G15" s="30"/>
      <c r="H15" s="30"/>
      <c r="I15" s="25">
        <f t="shared" si="0"/>
        <v>0</v>
      </c>
    </row>
    <row r="16" spans="1:13" x14ac:dyDescent="0.25">
      <c r="A16" s="5" t="str">
        <f>HYPERLINK("#'Input - Fert Prod System'!A1", "Fert Prod System")</f>
        <v>Fert Prod System</v>
      </c>
      <c r="D16" s="44"/>
      <c r="E16" s="23"/>
      <c r="F16" s="93"/>
      <c r="G16" s="30"/>
      <c r="H16" s="30"/>
      <c r="I16" s="25">
        <f t="shared" si="0"/>
        <v>0</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6" spans="1:1" x14ac:dyDescent="0.25">
      <c r="A26" s="6" t="s">
        <v>2</v>
      </c>
    </row>
    <row r="27" spans="1:1" x14ac:dyDescent="0.25">
      <c r="A27" s="5" t="str">
        <f>HYPERLINK("#'3.2.1.1-2 Enteric Methane'!A1", "3.2.1.1-2 Enteric methane")</f>
        <v>3.2.1.1-2 Enteric methane</v>
      </c>
    </row>
    <row r="28" spans="1:1" x14ac:dyDescent="0.25">
      <c r="A28" s="5" t="str">
        <f>HYPERLINK("#'4.2.1.1-2 Methane'!A1", "4.2.1.1-2 Manure methane")</f>
        <v>4.2.1.1-2 Manure methane</v>
      </c>
    </row>
    <row r="29" spans="1:1" x14ac:dyDescent="0.25">
      <c r="A29" s="5" t="str">
        <f>HYPERLINK("#'4.2.1.3-4 Soil direct N20'!A1", "4.2.1.3-4 Soil direct N2O")</f>
        <v>4.2.1.3-4 Soil direct N2O</v>
      </c>
    </row>
    <row r="30" spans="1:1" x14ac:dyDescent="0.25">
      <c r="A30" s="5" t="str">
        <f>HYPERLINK("#'4.2.1.5-6 Soil Atmos Dep'!A1", "4.2.1.5-6 Soil atm. deposition")</f>
        <v>4.2.1.5-6 Soil atm. deposition</v>
      </c>
    </row>
    <row r="31" spans="1:1" x14ac:dyDescent="0.25">
      <c r="A31" s="5" t="str">
        <f>HYPERLINK("#'4.2.1.7-8 Soil leach runoff'!A1", "4.2.1.7-8 Soil leach &amp; runoff")</f>
        <v>4.2.1.7-8 Soil leach &amp; runoff</v>
      </c>
    </row>
    <row r="32" spans="1:1" x14ac:dyDescent="0.25">
      <c r="A32" s="5" t="str">
        <f>HYPERLINK("#'5.1.1.1-2 Inorganic fert N2O'!A1", "5.1.1.1-2 Inorganic fert N2O")</f>
        <v>5.1.1.1-2 Inorganic fert N2O</v>
      </c>
    </row>
    <row r="33" spans="1:1" x14ac:dyDescent="0.25">
      <c r="A33" s="5" t="str">
        <f>HYPERLINK("#'5.1.1.3-4 Inorganic fert CO2'!A1", "5.1.1.3-4 Inorganic fert CO2")</f>
        <v>5.1.1.3-4 Inorganic fert CO2</v>
      </c>
    </row>
    <row r="34" spans="1:1" x14ac:dyDescent="0.25">
      <c r="A34" s="5" t="str">
        <f>HYPERLINK("#'5.2.1.1-2 Organic Fert N2O'!A1", "5.2.1.1-2 Organic fert N2O")</f>
        <v>5.2.1.1-2 Organic fert N2O</v>
      </c>
    </row>
    <row r="35" spans="1:1" x14ac:dyDescent="0.25">
      <c r="A35" s="5" t="str">
        <f>HYPERLINK("#'5.3.1.1-2 Lime CO2'!A1", "5.3.1.1-2 Lime CO2")</f>
        <v>5.3.1.1-2 Lime CO2</v>
      </c>
    </row>
    <row r="36" spans="1:1" x14ac:dyDescent="0.25">
      <c r="A36" s="5" t="str">
        <f>HYPERLINK("#'5.4.1.1-4 Atmos deposition'!A1", "5.4.1.1-4 Atmos. deposition")</f>
        <v>5.4.1.1-4 Atmos. deposition</v>
      </c>
    </row>
    <row r="37" spans="1:1" x14ac:dyDescent="0.25">
      <c r="A37" s="5" t="str">
        <f>HYPERLINK("#'5.5.1.1-2 Leaching and runoff'!A1", "5.5.1.1-2 Leaching &amp; runoff")</f>
        <v>5.5.1.1-2 Leaching &amp; runoff</v>
      </c>
    </row>
    <row r="38" spans="1:1" x14ac:dyDescent="0.25">
      <c r="A38" s="5" t="str">
        <f>HYPERLINK("#'6.2.1.1-2 Pasture residue N2O'!A1", "6.2.1.1-2 Pasture residue N2O")</f>
        <v>6.2.1.1-2 Pasture residue N2O</v>
      </c>
    </row>
    <row r="39" spans="1:1" x14ac:dyDescent="0.25">
      <c r="A39" s="5" t="str">
        <f>HYPERLINK("#'6.3.1.1-2 Leach runoff pasture'!A1", "6.3.1.1-2 Leach &amp; runoff (pasture)")</f>
        <v>6.3.1.1-2 Leach &amp; runoff (pasture)</v>
      </c>
    </row>
    <row r="40" spans="1:1" x14ac:dyDescent="0.25">
      <c r="A40" s="5" t="str">
        <f>HYPERLINK("#'8.1.1.1-2 Transport fuel'!A1", "8.1.1.1-2 Transport fuel")</f>
        <v>8.1.1.1-2 Transport fuel</v>
      </c>
    </row>
    <row r="41" spans="1:1" x14ac:dyDescent="0.25">
      <c r="A41" s="5" t="str">
        <f>HYPERLINK("#'8.2.1.1-2 Stationary fuel'!A1", "8.2.1.1-2 Stationary fuel")</f>
        <v>8.2.1.1-2 Stationary fuel</v>
      </c>
    </row>
    <row r="42" spans="1:1" x14ac:dyDescent="0.25">
      <c r="A42" s="5" t="str">
        <f>HYPERLINK("#'14.1.1-2 Purchased electricity'!A1", "14.1.1-2 Purchased electricity")</f>
        <v>14.1.1-2 Purchased electricity</v>
      </c>
    </row>
    <row r="43" spans="1:1" x14ac:dyDescent="0.25">
      <c r="A43" s="5" t="str">
        <f>HYPERLINK("#'15 Scope 3'!A1", "15 Scope 3")</f>
        <v>15 Scope 3</v>
      </c>
    </row>
    <row r="44" spans="1:1" x14ac:dyDescent="0.25">
      <c r="A44" s="5" t="str">
        <f>HYPERLINK("#'Calcs - Manure sent off-site'!A1", "Calcs - Manure sent off-site")</f>
        <v>Calcs - Manure sent off-site</v>
      </c>
    </row>
    <row r="45" spans="1:1" x14ac:dyDescent="0.25">
      <c r="A45" s="5" t="str">
        <f>HYPERLINK("#'10.1.1-2 Solid waste treatment'!A1", "10.1.1-2 Solid waste treatment")</f>
        <v>10.1.1-2 Solid waste treatment</v>
      </c>
    </row>
    <row r="48" spans="1:1"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BBEE-A81B-44F0-B4CE-8F3E4FBEE92A}">
  <sheetPr>
    <tabColor theme="5" tint="-0.249977111117893"/>
  </sheetPr>
  <dimension ref="A1:L160"/>
  <sheetViews>
    <sheetView showGridLines="0"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11" width="35" style="1" customWidth="1"/>
    <col min="12" max="12" width="5.28515625" style="1" customWidth="1"/>
    <col min="13" max="16" width="35" style="244" customWidth="1"/>
    <col min="17" max="16384" width="9.140625" style="244"/>
  </cols>
  <sheetData>
    <row r="1" spans="1:12" ht="25.5" x14ac:dyDescent="0.35">
      <c r="A1" s="16" t="e" vm="1">
        <v>#VALUE!</v>
      </c>
      <c r="B1" s="94"/>
      <c r="C1" s="16" t="s">
        <v>926</v>
      </c>
      <c r="D1" s="16"/>
      <c r="E1" s="16"/>
      <c r="F1" s="16"/>
      <c r="G1" s="16"/>
      <c r="H1" s="16"/>
      <c r="I1" s="16"/>
      <c r="J1" s="16"/>
      <c r="K1" s="16"/>
      <c r="L1" s="16"/>
    </row>
    <row r="2" spans="1:12" x14ac:dyDescent="0.25">
      <c r="A2"/>
      <c r="C2" s="3"/>
      <c r="D2" s="3"/>
      <c r="E2" s="3"/>
      <c r="F2" s="3"/>
      <c r="G2" s="3"/>
      <c r="H2" s="3"/>
      <c r="I2" s="3"/>
      <c r="J2" s="3"/>
      <c r="K2" s="3"/>
      <c r="L2" s="3"/>
    </row>
    <row r="3" spans="1:12" ht="20.25" x14ac:dyDescent="0.25">
      <c r="A3" s="5" t="str">
        <f>HYPERLINK("#'Home'!A1", "Home")</f>
        <v>Home</v>
      </c>
      <c r="C3" s="39"/>
      <c r="D3" s="39"/>
      <c r="E3" s="39"/>
      <c r="F3" s="39"/>
      <c r="G3" s="39"/>
      <c r="H3" s="39"/>
      <c r="I3" s="39"/>
      <c r="J3" s="39"/>
      <c r="K3" s="39"/>
      <c r="L3" s="39"/>
    </row>
    <row r="4" spans="1:12" x14ac:dyDescent="0.25">
      <c r="A4" s="5" t="str">
        <f>HYPERLINK("#'Overview'!A1", "Overview")</f>
        <v>Overview</v>
      </c>
    </row>
    <row r="5" spans="1:12" ht="23.25" x14ac:dyDescent="0.25">
      <c r="A5" s="5" t="str">
        <f>HYPERLINK("#'Results'!A1", "Results")</f>
        <v>Results</v>
      </c>
      <c r="D5" s="2" t="s">
        <v>927</v>
      </c>
      <c r="E5" s="245"/>
      <c r="F5" s="245"/>
      <c r="G5" s="245"/>
      <c r="H5" s="245"/>
      <c r="I5" s="245"/>
      <c r="J5" s="245"/>
    </row>
    <row r="6" spans="1:12" ht="18.75" x14ac:dyDescent="0.25">
      <c r="A6"/>
      <c r="D6" s="246" t="s">
        <v>928</v>
      </c>
      <c r="E6" s="245"/>
      <c r="F6" s="245"/>
      <c r="G6" s="245"/>
      <c r="H6" s="245"/>
      <c r="I6" s="245"/>
      <c r="J6" s="245"/>
    </row>
    <row r="7" spans="1:12" x14ac:dyDescent="0.25">
      <c r="A7"/>
      <c r="D7" s="30" t="s">
        <v>195</v>
      </c>
      <c r="E7" s="30" t="s">
        <v>929</v>
      </c>
      <c r="F7" s="30" t="s">
        <v>196</v>
      </c>
      <c r="G7" s="30" t="s">
        <v>930</v>
      </c>
      <c r="H7" s="30" t="s">
        <v>931</v>
      </c>
      <c r="I7" s="30" t="s">
        <v>932</v>
      </c>
      <c r="J7" s="247" t="s">
        <v>933</v>
      </c>
      <c r="K7" s="247" t="s">
        <v>934</v>
      </c>
    </row>
    <row r="8" spans="1:12" x14ac:dyDescent="0.25">
      <c r="A8" s="7" t="s">
        <v>0</v>
      </c>
      <c r="D8" s="44" t="s">
        <v>935</v>
      </c>
      <c r="E8" s="248">
        <v>45547</v>
      </c>
      <c r="F8" s="23" t="s">
        <v>216</v>
      </c>
      <c r="G8" s="139" t="s">
        <v>936</v>
      </c>
      <c r="H8" s="23" t="s">
        <v>415</v>
      </c>
      <c r="I8" s="86">
        <v>100</v>
      </c>
      <c r="J8" s="2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8" s="86">
        <v>205</v>
      </c>
    </row>
    <row r="9" spans="1:12" x14ac:dyDescent="0.25">
      <c r="A9" s="5" t="str">
        <f>HYPERLINK("#'Input - Enterprise'!A1", "Enterprise")</f>
        <v>Enterprise</v>
      </c>
      <c r="D9" s="44"/>
      <c r="E9" s="248">
        <v>45292</v>
      </c>
      <c r="F9" s="195" t="s">
        <v>217</v>
      </c>
      <c r="G9" s="139" t="s">
        <v>937</v>
      </c>
      <c r="H9" s="23" t="s">
        <v>412</v>
      </c>
      <c r="I9" s="86">
        <v>100</v>
      </c>
      <c r="J9" s="2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470</v>
      </c>
      <c r="K9" s="86">
        <v>465</v>
      </c>
    </row>
    <row r="10" spans="1:12" x14ac:dyDescent="0.25">
      <c r="A10" s="5" t="str">
        <f>HYPERLINK("#'Input - Site'!A1", "Site")</f>
        <v>Site</v>
      </c>
      <c r="D10" s="44"/>
      <c r="E10" s="44"/>
      <c r="F10" s="195"/>
      <c r="G10" s="139"/>
      <c r="H10" s="23"/>
      <c r="I10" s="86"/>
      <c r="J10" s="2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86"/>
    </row>
    <row r="11" spans="1:12" x14ac:dyDescent="0.25">
      <c r="A11" s="5" t="str">
        <f>HYPERLINK("#'Input - Pasture Beef'!A1", "Pasture Beef")</f>
        <v>Pasture Beef</v>
      </c>
      <c r="D11" s="44"/>
      <c r="E11" s="44"/>
      <c r="F11" s="195"/>
      <c r="G11" s="139"/>
      <c r="H11" s="23"/>
      <c r="I11" s="86"/>
      <c r="J11" s="2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86"/>
    </row>
    <row r="12" spans="1:12" x14ac:dyDescent="0.25">
      <c r="A12" s="5" t="str">
        <f>HYPERLINK("#'Input - Pasture Beef (Enteric)'!A1", "Pasture Beef (Enteric)")</f>
        <v>Pasture Beef (Enteric)</v>
      </c>
      <c r="D12" s="44"/>
      <c r="E12" s="44"/>
      <c r="F12" s="195"/>
      <c r="G12" s="139"/>
      <c r="H12" s="23"/>
      <c r="I12" s="86"/>
      <c r="J12" s="2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86"/>
    </row>
    <row r="13" spans="1:12" x14ac:dyDescent="0.25">
      <c r="A13" s="5" t="str">
        <f>HYPERLINK("#'Input - Livestock sales'!A1", "Livestock sales")</f>
        <v>Livestock sales</v>
      </c>
      <c r="D13" s="44"/>
      <c r="E13" s="44"/>
      <c r="F13" s="195"/>
      <c r="G13" s="139"/>
      <c r="H13" s="23"/>
      <c r="I13" s="86"/>
      <c r="J13" s="2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86"/>
    </row>
    <row r="14" spans="1:12" x14ac:dyDescent="0.25">
      <c r="A14" s="95" t="str">
        <f>HYPERLINK("#'Input - Beef cattle purchases'!A1", "Beef cattle purchases")</f>
        <v>Beef cattle purchases</v>
      </c>
      <c r="D14" s="44"/>
      <c r="E14" s="44"/>
      <c r="F14" s="195"/>
      <c r="G14" s="139"/>
      <c r="H14" s="23"/>
      <c r="I14" s="86"/>
      <c r="J14" s="2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86"/>
    </row>
    <row r="15" spans="1:12" x14ac:dyDescent="0.25">
      <c r="A15" s="5" t="str">
        <f>HYPERLINK("#'Input - Pasture'!A1", "Pasture")</f>
        <v>Pasture</v>
      </c>
      <c r="D15" s="44"/>
      <c r="E15" s="44"/>
      <c r="F15" s="195"/>
      <c r="G15" s="139"/>
      <c r="H15" s="23"/>
      <c r="I15" s="86"/>
      <c r="J15" s="2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86"/>
    </row>
    <row r="16" spans="1:12" x14ac:dyDescent="0.25">
      <c r="A16" s="5" t="str">
        <f>HYPERLINK("#'Input - Fert Prod System'!A1", "Fert Prod System")</f>
        <v>Fert Prod System</v>
      </c>
      <c r="D16" s="44"/>
      <c r="E16" s="44"/>
      <c r="F16" s="195"/>
      <c r="G16" s="139"/>
      <c r="H16" s="23"/>
      <c r="I16" s="86"/>
      <c r="J16" s="2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86"/>
    </row>
    <row r="17" spans="1:11" x14ac:dyDescent="0.25">
      <c r="A17" s="5" t="str">
        <f>HYPERLINK("#'Input - Fertiliser'!A1", "Fertiliser")</f>
        <v>Fertiliser</v>
      </c>
      <c r="D17" s="44"/>
      <c r="E17" s="44"/>
      <c r="F17" s="195"/>
      <c r="G17" s="139"/>
      <c r="H17" s="23"/>
      <c r="I17" s="86"/>
      <c r="J17" s="25"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7" s="86"/>
    </row>
    <row r="18" spans="1:11" x14ac:dyDescent="0.25">
      <c r="A18" s="5" t="str">
        <f>HYPERLINK("#'Input - Fuel'!A1", "Fuel")</f>
        <v>Fuel</v>
      </c>
      <c r="D18" s="245"/>
      <c r="E18" s="245"/>
      <c r="F18" s="245"/>
      <c r="G18" s="245"/>
      <c r="H18" s="245"/>
      <c r="I18" s="245"/>
      <c r="J18" s="245"/>
    </row>
    <row r="19" spans="1:11" x14ac:dyDescent="0.25">
      <c r="A19" s="5" t="str">
        <f>HYPERLINK("#'Input - Electricity'!A1", "Electricity")</f>
        <v>Electricity</v>
      </c>
      <c r="J19" s="245"/>
    </row>
    <row r="20" spans="1:11" x14ac:dyDescent="0.25">
      <c r="A20" s="5" t="str">
        <f>HYPERLINK("#'Input - Farm Inputs'!A1", "Farm Inputs")</f>
        <v>Farm Inputs</v>
      </c>
      <c r="J20" s="245"/>
    </row>
    <row r="21" spans="1:11" x14ac:dyDescent="0.25">
      <c r="A21" s="5" t="str">
        <f>HYPERLINK("#'Input - Freight'!A1", "Freight")</f>
        <v>Freight</v>
      </c>
      <c r="J21" s="245"/>
    </row>
    <row r="22" spans="1:11" x14ac:dyDescent="0.25">
      <c r="A22" s="5" t="str">
        <f>HYPERLINK("#'Input - Manure sent off-site'!A1", "Manure sent off-site")</f>
        <v>Manure sent off-site</v>
      </c>
      <c r="J22" s="245"/>
    </row>
    <row r="23" spans="1:11" x14ac:dyDescent="0.25">
      <c r="A23" s="5" t="str">
        <f>HYPERLINK("#'Input - Solid waste'!A1", "Solid waste")</f>
        <v>Solid waste</v>
      </c>
      <c r="J23" s="245"/>
    </row>
    <row r="24" spans="1:11" x14ac:dyDescent="0.25">
      <c r="A24"/>
      <c r="J24" s="245"/>
    </row>
    <row r="25" spans="1:11" x14ac:dyDescent="0.25">
      <c r="A25"/>
      <c r="J25" s="245"/>
    </row>
    <row r="26" spans="1:11" x14ac:dyDescent="0.25">
      <c r="A26" s="6" t="s">
        <v>2</v>
      </c>
      <c r="J26" s="245"/>
    </row>
    <row r="27" spans="1:11" x14ac:dyDescent="0.25">
      <c r="A27" s="5" t="str">
        <f>HYPERLINK("#'3.2.1.1-2 Enteric Methane'!A1", "3.2.1.1-2 Enteric methane")</f>
        <v>3.2.1.1-2 Enteric methane</v>
      </c>
      <c r="J27" s="245"/>
    </row>
    <row r="28" spans="1:11" x14ac:dyDescent="0.25">
      <c r="A28" s="5" t="str">
        <f>HYPERLINK("#'4.2.1.1-2 Methane'!A1", "4.2.1.1-2 Manure methane")</f>
        <v>4.2.1.1-2 Manure methane</v>
      </c>
      <c r="J28" s="245"/>
    </row>
    <row r="29" spans="1:11" x14ac:dyDescent="0.25">
      <c r="A29" s="5" t="str">
        <f>HYPERLINK("#'4.2.1.3-4 Soil direct N20'!A1", "4.2.1.3-4 Soil direct N2O")</f>
        <v>4.2.1.3-4 Soil direct N2O</v>
      </c>
      <c r="J29" s="245"/>
    </row>
    <row r="30" spans="1:11" x14ac:dyDescent="0.25">
      <c r="A30" s="5" t="str">
        <f>HYPERLINK("#'4.2.1.5-6 Soil Atmos Dep'!A1", "4.2.1.5-6 Soil atm. deposition")</f>
        <v>4.2.1.5-6 Soil atm. deposition</v>
      </c>
      <c r="J30" s="245"/>
    </row>
    <row r="31" spans="1:11" x14ac:dyDescent="0.25">
      <c r="A31" s="5" t="str">
        <f>HYPERLINK("#'4.2.1.7-8 Soil leach runoff'!A1", "4.2.1.7-8 Soil leach &amp; runoff")</f>
        <v>4.2.1.7-8 Soil leach &amp; runoff</v>
      </c>
      <c r="D31" s="245"/>
      <c r="E31" s="245"/>
      <c r="F31" s="245"/>
      <c r="G31" s="245"/>
      <c r="H31" s="245"/>
      <c r="I31" s="245"/>
      <c r="J31" s="245"/>
    </row>
    <row r="32" spans="1:11" x14ac:dyDescent="0.25">
      <c r="A32" s="5" t="str">
        <f>HYPERLINK("#'5.1.1.1-2 Inorganic fert N2O'!A1", "5.1.1.1-2 Inorganic fert N2O")</f>
        <v>5.1.1.1-2 Inorganic fert N2O</v>
      </c>
      <c r="I32" s="245"/>
      <c r="J32" s="245"/>
    </row>
    <row r="33" spans="1:10" x14ac:dyDescent="0.25">
      <c r="A33" s="5" t="str">
        <f>HYPERLINK("#'5.1.1.3-4 Inorganic fert CO2'!A1", "5.1.1.3-4 Inorganic fert CO2")</f>
        <v>5.1.1.3-4 Inorganic fert CO2</v>
      </c>
      <c r="I33" s="245"/>
      <c r="J33" s="245"/>
    </row>
    <row r="34" spans="1:10" x14ac:dyDescent="0.25">
      <c r="A34" s="5" t="str">
        <f>HYPERLINK("#'5.2.1.1-2 Organic Fert N2O'!A1", "5.2.1.1-2 Organic fert N2O")</f>
        <v>5.2.1.1-2 Organic fert N2O</v>
      </c>
      <c r="I34" s="245"/>
      <c r="J34" s="245"/>
    </row>
    <row r="35" spans="1:10" x14ac:dyDescent="0.25">
      <c r="A35" s="5" t="str">
        <f>HYPERLINK("#'5.3.1.1-2 Lime CO2'!A1", "5.3.1.1-2 Lime CO2")</f>
        <v>5.3.1.1-2 Lime CO2</v>
      </c>
      <c r="I35" s="245"/>
      <c r="J35" s="245"/>
    </row>
    <row r="36" spans="1:10" x14ac:dyDescent="0.25">
      <c r="A36" s="5" t="str">
        <f>HYPERLINK("#'5.4.1.1-4 Atmos deposition'!A1", "5.4.1.1-4 Atmos. deposition")</f>
        <v>5.4.1.1-4 Atmos. deposition</v>
      </c>
      <c r="I36" s="245"/>
      <c r="J36" s="245"/>
    </row>
    <row r="37" spans="1:10" x14ac:dyDescent="0.25">
      <c r="A37" s="5" t="str">
        <f>HYPERLINK("#'5.5.1.1-2 Leaching and runoff'!A1", "5.5.1.1-2 Leaching &amp; runoff")</f>
        <v>5.5.1.1-2 Leaching &amp; runoff</v>
      </c>
      <c r="I37" s="245"/>
      <c r="J37" s="245"/>
    </row>
    <row r="38" spans="1:10" x14ac:dyDescent="0.25">
      <c r="A38" s="5" t="str">
        <f>HYPERLINK("#'6.2.1.1-2 Pasture residue N2O'!A1", "6.2.1.1-2 Pasture residue N2O")</f>
        <v>6.2.1.1-2 Pasture residue N2O</v>
      </c>
      <c r="I38" s="245"/>
      <c r="J38" s="245"/>
    </row>
    <row r="39" spans="1:10" x14ac:dyDescent="0.25">
      <c r="A39" s="5" t="str">
        <f>HYPERLINK("#'6.3.1.1-2 Leach runoff pasture'!A1", "6.3.1.1-2 Leach &amp; runoff (pasture)")</f>
        <v>6.3.1.1-2 Leach &amp; runoff (pasture)</v>
      </c>
      <c r="I39" s="245"/>
      <c r="J39" s="245"/>
    </row>
    <row r="40" spans="1:10" x14ac:dyDescent="0.25">
      <c r="A40" s="5" t="str">
        <f>HYPERLINK("#'8.1.1.1-2 Transport fuel'!A1", "8.1.1.1-2 Transport fuel")</f>
        <v>8.1.1.1-2 Transport fuel</v>
      </c>
      <c r="I40" s="245"/>
      <c r="J40" s="245"/>
    </row>
    <row r="41" spans="1:10" x14ac:dyDescent="0.25">
      <c r="A41" s="5" t="str">
        <f>HYPERLINK("#'8.2.1.1-2 Stationary fuel'!A1", "8.2.1.1-2 Stationary fuel")</f>
        <v>8.2.1.1-2 Stationary fuel</v>
      </c>
      <c r="I41" s="245"/>
      <c r="J41" s="245"/>
    </row>
    <row r="42" spans="1:10" x14ac:dyDescent="0.25">
      <c r="A42" s="5" t="str">
        <f>HYPERLINK("#'14.1.1-2 Purchased electricity'!A1", "14.1.1-2 Purchased electricity")</f>
        <v>14.1.1-2 Purchased electricity</v>
      </c>
      <c r="I42" s="245"/>
      <c r="J42" s="245"/>
    </row>
    <row r="43" spans="1:10" x14ac:dyDescent="0.25">
      <c r="A43" s="5" t="str">
        <f>HYPERLINK("#'15 Scope 3'!A1", "15 Scope 3")</f>
        <v>15 Scope 3</v>
      </c>
      <c r="I43" s="245"/>
      <c r="J43" s="245"/>
    </row>
    <row r="44" spans="1:10" x14ac:dyDescent="0.25">
      <c r="A44" s="5" t="str">
        <f>HYPERLINK("#'Calcs - Manure sent off-site'!A1", "Calcs - Manure sent off-site")</f>
        <v>Calcs - Manure sent off-site</v>
      </c>
      <c r="D44" s="245"/>
      <c r="E44" s="245"/>
      <c r="F44" s="245"/>
      <c r="G44" s="245"/>
      <c r="H44" s="245"/>
      <c r="I44" s="245"/>
      <c r="J44" s="245"/>
    </row>
    <row r="45" spans="1:10" x14ac:dyDescent="0.25">
      <c r="A45" s="5" t="str">
        <f>HYPERLINK("#'10.1.1-2 Solid waste treatment'!A1", "10.1.1-2 Solid waste treatment")</f>
        <v>10.1.1-2 Solid waste treatment</v>
      </c>
      <c r="I45" s="245"/>
      <c r="J45" s="245"/>
    </row>
    <row r="46" spans="1:10" x14ac:dyDescent="0.25">
      <c r="A46"/>
      <c r="I46" s="245"/>
      <c r="J46" s="245"/>
    </row>
    <row r="47" spans="1:10" x14ac:dyDescent="0.25">
      <c r="A47"/>
      <c r="I47" s="245"/>
      <c r="J47" s="245"/>
    </row>
    <row r="48" spans="1:10" x14ac:dyDescent="0.25">
      <c r="A48" s="97" t="s">
        <v>1</v>
      </c>
      <c r="I48" s="245"/>
      <c r="J48" s="245"/>
    </row>
    <row r="49" spans="1:10" x14ac:dyDescent="0.25">
      <c r="A49" s="5" t="str">
        <f>HYPERLINK("#'Constants - Pasture Beef'!A1", "Constants - Pasture Beef")</f>
        <v>Constants - Pasture Beef</v>
      </c>
      <c r="I49" s="245"/>
      <c r="J49" s="245"/>
    </row>
    <row r="50" spans="1:10" x14ac:dyDescent="0.25">
      <c r="A50" s="5" t="str">
        <f>HYPERLINK("#'Constants - Ag Residue'!A1", "Constants - Ag residue")</f>
        <v>Constants - Ag residue</v>
      </c>
      <c r="I50" s="245"/>
      <c r="J50" s="245"/>
    </row>
    <row r="51" spans="1:10" x14ac:dyDescent="0.25">
      <c r="A51" s="5" t="str">
        <f>HYPERLINK("#'Constants - Common Livestock'!A1", "Constants - Common Livestock")</f>
        <v>Constants - Common Livestock</v>
      </c>
      <c r="I51" s="245"/>
      <c r="J51" s="245"/>
    </row>
    <row r="52" spans="1:10" x14ac:dyDescent="0.25">
      <c r="A52" s="5" t="str">
        <f>HYPERLINK("#'Constants - Electricity'!A1", "Constants - Electricity")</f>
        <v>Constants - Electricity</v>
      </c>
      <c r="I52" s="245"/>
      <c r="J52" s="245"/>
    </row>
    <row r="53" spans="1:10" x14ac:dyDescent="0.25">
      <c r="A53" s="5" t="str">
        <f>HYPERLINK("#'Constants - Fertiliser'!A1", "Constants - Fertiliser")</f>
        <v>Constants - Fertiliser</v>
      </c>
      <c r="I53" s="245"/>
      <c r="J53" s="245"/>
    </row>
    <row r="54" spans="1:10" x14ac:dyDescent="0.25">
      <c r="A54" s="5" t="str">
        <f>HYPERLINK("#'Constants - Fuel'!A1", "Constants - Fuel")</f>
        <v>Constants - Fuel</v>
      </c>
      <c r="I54" s="245"/>
      <c r="J54" s="245"/>
    </row>
    <row r="55" spans="1:10" x14ac:dyDescent="0.25">
      <c r="A55" s="5" t="str">
        <f>HYPERLINK("#'Constants - Scope 3'!A1", "Constants - Scope 3")</f>
        <v>Constants - Scope 3</v>
      </c>
      <c r="I55" s="245"/>
      <c r="J55" s="245"/>
    </row>
    <row r="56" spans="1:10" x14ac:dyDescent="0.25">
      <c r="A56" s="5" t="str">
        <f>HYPERLINK("#'Constants - Common'!A1", "Constants - Common")</f>
        <v>Constants - Common</v>
      </c>
      <c r="I56" s="245"/>
      <c r="J56" s="245"/>
    </row>
    <row r="57" spans="1:10" x14ac:dyDescent="0.25">
      <c r="A57" s="5" t="str">
        <f>HYPERLINK("#'Acknowledgements'!A1", "Acknowledgements")</f>
        <v>Acknowledgements</v>
      </c>
      <c r="D57" s="245"/>
      <c r="E57" s="245"/>
      <c r="F57" s="245"/>
      <c r="G57" s="245"/>
      <c r="H57" s="245"/>
      <c r="I57" s="245"/>
      <c r="J57" s="245"/>
    </row>
    <row r="58" spans="1:10" ht="18.75" x14ac:dyDescent="0.25">
      <c r="A58" s="5" t="str">
        <f>HYPERLINK("#'Constants - Solid Waste'!A1", "Constants - Solid Waste")</f>
        <v>Constants - Solid Waste</v>
      </c>
      <c r="D58" s="246"/>
      <c r="E58" s="245"/>
      <c r="F58" s="245"/>
      <c r="G58" s="245"/>
      <c r="H58" s="245"/>
      <c r="I58" s="245"/>
      <c r="J58" s="245"/>
    </row>
    <row r="59" spans="1:10" x14ac:dyDescent="0.25">
      <c r="A59"/>
      <c r="D59" s="245"/>
      <c r="E59" s="245"/>
      <c r="F59" s="245"/>
      <c r="G59" s="245"/>
      <c r="H59" s="245"/>
      <c r="I59" s="245"/>
      <c r="J59" s="245"/>
    </row>
    <row r="60" spans="1:10" x14ac:dyDescent="0.25">
      <c r="A60"/>
      <c r="D60" s="245"/>
      <c r="E60" s="245"/>
      <c r="F60" s="245"/>
      <c r="G60" s="245"/>
      <c r="H60" s="245"/>
      <c r="I60" s="245"/>
      <c r="J60" s="245"/>
    </row>
    <row r="61" spans="1:10" x14ac:dyDescent="0.25">
      <c r="A61"/>
      <c r="D61" s="245"/>
      <c r="E61" s="245"/>
      <c r="F61" s="245"/>
      <c r="G61" s="245"/>
      <c r="H61" s="245"/>
      <c r="I61" s="245"/>
      <c r="J61" s="245"/>
    </row>
    <row r="62" spans="1:10" x14ac:dyDescent="0.25">
      <c r="A62"/>
      <c r="D62" s="245"/>
      <c r="E62" s="245"/>
      <c r="F62" s="245"/>
      <c r="G62" s="245"/>
      <c r="H62" s="245"/>
      <c r="I62" s="245"/>
      <c r="J62" s="245"/>
    </row>
    <row r="63" spans="1:10" x14ac:dyDescent="0.25">
      <c r="A63"/>
      <c r="D63" s="245"/>
      <c r="E63" s="245"/>
      <c r="F63" s="245"/>
      <c r="G63" s="245"/>
      <c r="H63" s="245"/>
      <c r="I63" s="245"/>
      <c r="J63" s="245"/>
    </row>
    <row r="64" spans="1:10"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H8:H17" xr:uid="{961929D6-829A-4040-BA19-0A61FB70B665}">
      <formula1>INDIRECT("Table_ProductRegions_Beefcattle[Region]")</formula1>
    </dataValidation>
    <dataValidation type="list" allowBlank="1" showInputMessage="1" showErrorMessage="1" sqref="G8:G17" xr:uid="{A9E73EE8-5D3C-4ACB-8F96-305A491F5B5C}">
      <formula1>INDIRECT(TRIM("Table_SourceData_LivestockProduct_Beefcattle[Product]"))</formula1>
    </dataValidation>
    <dataValidation type="list" allowBlank="1" showInputMessage="1" showErrorMessage="1" sqref="F8:F17" xr:uid="{A12366EC-7018-48E2-B8C3-B96424918C09}">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52EA-236A-4807-B0DA-1340B463EAB8}">
  <dimension ref="A1:G58"/>
  <sheetViews>
    <sheetView showGridLines="0"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864</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HYPERLINK("#'Overview'!A1", "Overview")</f>
        <v>Overview</v>
      </c>
    </row>
    <row r="5" spans="1:7" ht="20.100000000000001" customHeight="1" x14ac:dyDescent="0.25">
      <c r="A5" s="5" t="str">
        <f>HYPERLINK("#'Results'!A1", "Results")</f>
        <v>Results</v>
      </c>
      <c r="D5" s="2" t="s">
        <v>865</v>
      </c>
    </row>
    <row r="6" spans="1:7" ht="20.100000000000001" customHeight="1" x14ac:dyDescent="0.25"/>
    <row r="7" spans="1:7" ht="20.100000000000001" customHeight="1" x14ac:dyDescent="0.25">
      <c r="D7" s="80" t="s">
        <v>866</v>
      </c>
      <c r="E7" s="80"/>
      <c r="F7" s="80"/>
    </row>
    <row r="8" spans="1:7" ht="20.100000000000001" customHeight="1" x14ac:dyDescent="0.25">
      <c r="A8" s="7" t="s">
        <v>0</v>
      </c>
    </row>
    <row r="9" spans="1:7" ht="20.100000000000001" customHeight="1" x14ac:dyDescent="0.25">
      <c r="A9" s="5" t="str">
        <f>HYPERLINK("#'Input - Enterprise'!A1", "Enterprise")</f>
        <v>Enterprise</v>
      </c>
      <c r="D9" s="1" t="s">
        <v>867</v>
      </c>
      <c r="E9" s="23" t="s">
        <v>868</v>
      </c>
      <c r="F9" s="26" t="s">
        <v>869</v>
      </c>
    </row>
    <row r="10" spans="1:7" ht="20.100000000000001" customHeight="1" x14ac:dyDescent="0.25">
      <c r="A10" s="5" t="str">
        <f>HYPERLINK("#'Input - Site'!A1", "Site")</f>
        <v>Site</v>
      </c>
      <c r="D10" s="1" t="s">
        <v>73</v>
      </c>
      <c r="E10" s="23" t="s">
        <v>390</v>
      </c>
      <c r="F10" s="26" t="s">
        <v>869</v>
      </c>
    </row>
    <row r="11" spans="1:7" ht="20.100000000000001" customHeight="1" x14ac:dyDescent="0.25">
      <c r="A11" s="5" t="str">
        <f>HYPERLINK("#'Input - Pasture Beef'!A1", "Pasture Beef")</f>
        <v>Pasture Beef</v>
      </c>
    </row>
    <row r="12" spans="1:7" ht="20.100000000000001" customHeight="1" x14ac:dyDescent="0.25">
      <c r="A12" s="5" t="str">
        <f>HYPERLINK("#'Input - Pasture Beef (Enteric)'!A1", "Pasture Beef (Enteric)")</f>
        <v>Pasture Beef (Enteric)</v>
      </c>
      <c r="D12" s="1" t="s">
        <v>870</v>
      </c>
      <c r="E12" s="86">
        <v>1000</v>
      </c>
      <c r="F12" s="26" t="s">
        <v>871</v>
      </c>
    </row>
    <row r="13" spans="1:7" ht="20.100000000000001" customHeight="1" x14ac:dyDescent="0.25">
      <c r="A13" s="5" t="str">
        <f>HYPERLINK("#'Input - Livestock sales'!A1", "Livestock sales")</f>
        <v>Livestock sales</v>
      </c>
    </row>
    <row r="14" spans="1:7" ht="20.100000000000001" customHeight="1" x14ac:dyDescent="0.25">
      <c r="A14" s="5" t="str">
        <f>HYPERLINK("#'Input - Beef cattle purchases'!A1", "Beef cattle purchases")</f>
        <v>Beef cattle purchases</v>
      </c>
      <c r="D14" s="2" t="s">
        <v>872</v>
      </c>
    </row>
    <row r="15" spans="1:7" ht="20.100000000000001" customHeight="1" x14ac:dyDescent="0.25">
      <c r="A15" s="95" t="str">
        <f>HYPERLINK("#'Input - Pasture'!A1", "Pasture")</f>
        <v>Pasture</v>
      </c>
    </row>
    <row r="16" spans="1:7" ht="20.100000000000001" customHeight="1" x14ac:dyDescent="0.25">
      <c r="A16" s="5" t="str">
        <f>HYPERLINK("#'Input - Fert Prod System'!A1", "Fert Prod System")</f>
        <v>Fert Prod System</v>
      </c>
      <c r="D16" s="238" t="s">
        <v>873</v>
      </c>
      <c r="E16" s="54"/>
      <c r="F16" s="55"/>
    </row>
    <row r="17" spans="1:6" ht="20.100000000000001" customHeight="1" x14ac:dyDescent="0.25">
      <c r="A17" s="5" t="str">
        <f>HYPERLINK("#'Input - Fertiliser'!A1", "Fertiliser")</f>
        <v>Fertiliser</v>
      </c>
      <c r="D17" s="56" t="s">
        <v>874</v>
      </c>
      <c r="E17" s="57"/>
      <c r="F17" s="58"/>
    </row>
    <row r="18" spans="1:6" ht="20.100000000000001" customHeight="1" x14ac:dyDescent="0.25">
      <c r="A18" s="5" t="str">
        <f>HYPERLINK("#'Input - Fuel'!A1", "Fuel")</f>
        <v>Fuel</v>
      </c>
    </row>
    <row r="19" spans="1:6" ht="20.100000000000001" customHeight="1" x14ac:dyDescent="0.25">
      <c r="A19" s="5" t="str">
        <f>HYPERLINK("#'Input - Electricity'!A1", "Electricity")</f>
        <v>Electricity</v>
      </c>
      <c r="D19" s="1" t="s">
        <v>875</v>
      </c>
      <c r="E19" s="86">
        <f>_xlfn.XLOOKUP(X_Cell_Pasture_PastureType, Table_SourceData_PastureAttributes[Pasture type],Table_SourceData_PastureAttributes[Average Yield (t DM ha) Yp])</f>
        <v>8.34</v>
      </c>
      <c r="F19" s="26" t="s">
        <v>876</v>
      </c>
    </row>
    <row r="20" spans="1:6" ht="20.100000000000001" customHeight="1" x14ac:dyDescent="0.25">
      <c r="A20" s="5" t="str">
        <f>HYPERLINK("#'Input - Farm Inputs'!A1", "Farm Inputs")</f>
        <v>Farm Inputs</v>
      </c>
      <c r="D20" s="1" t="s">
        <v>877</v>
      </c>
      <c r="E20" s="25">
        <f>X_Cell_Pasture_AreaUnderPasture*X_Cell_Pasture_YieldPerHectare</f>
        <v>8340</v>
      </c>
      <c r="F20" s="26" t="s">
        <v>878</v>
      </c>
    </row>
    <row r="21" spans="1:6" ht="20.100000000000001" customHeight="1" x14ac:dyDescent="0.25">
      <c r="A21" s="5" t="str">
        <f>HYPERLINK("#'Input - Freight'!A1", "Freight")</f>
        <v>Freight</v>
      </c>
    </row>
    <row r="22" spans="1:6" ht="20.100000000000001" customHeight="1" x14ac:dyDescent="0.25">
      <c r="A22" s="5" t="str">
        <f>HYPERLINK("#'Input - Manure sent off-site'!A1", "Manure sent off-site")</f>
        <v>Manure sent off-site</v>
      </c>
    </row>
    <row r="23" spans="1:6" ht="20.100000000000001" customHeight="1" x14ac:dyDescent="0.25">
      <c r="A23" s="5" t="str">
        <f>HYPERLINK("#'Input - Solid waste'!A1", "Solid waste")</f>
        <v>Solid waste</v>
      </c>
      <c r="D23" s="2" t="s">
        <v>879</v>
      </c>
    </row>
    <row r="24" spans="1:6" ht="20.100000000000001" customHeight="1" x14ac:dyDescent="0.25"/>
    <row r="25" spans="1:6" ht="20.100000000000001" customHeight="1" x14ac:dyDescent="0.25">
      <c r="D25" s="1" t="s">
        <v>880</v>
      </c>
      <c r="E25" s="86">
        <v>500</v>
      </c>
      <c r="F25" s="26" t="s">
        <v>871</v>
      </c>
    </row>
    <row r="26" spans="1:6" ht="20.100000000000001" customHeight="1" x14ac:dyDescent="0.25">
      <c r="A26" s="6" t="s">
        <v>2</v>
      </c>
    </row>
    <row r="27" spans="1:6" ht="20.100000000000001" customHeight="1" x14ac:dyDescent="0.25">
      <c r="A27" s="5" t="str">
        <f>HYPERLINK("#'3.2.1.1-2 Enteric Methane'!A1", "3.2.1.1-2 Enteric methane")</f>
        <v>3.2.1.1-2 Enteric methane</v>
      </c>
    </row>
    <row r="28" spans="1:6" ht="20.100000000000001" customHeight="1" x14ac:dyDescent="0.25">
      <c r="A28" s="5" t="str">
        <f>HYPERLINK("#'4.2.1.1-2 Methane'!A1", "4.2.1.1-2 Manure methane")</f>
        <v>4.2.1.1-2 Manure methane</v>
      </c>
    </row>
    <row r="29" spans="1:6" ht="20.100000000000001" customHeight="1" x14ac:dyDescent="0.25">
      <c r="A29" s="5" t="str">
        <f>HYPERLINK("#'4.2.1.3-4 Soil direct N20'!A1", "4.2.1.3-4 Soil direct N2O")</f>
        <v>4.2.1.3-4 Soil direct N2O</v>
      </c>
    </row>
    <row r="30" spans="1:6" ht="20.100000000000001" customHeight="1" x14ac:dyDescent="0.25">
      <c r="A30" s="5" t="str">
        <f>HYPERLINK("#'4.2.1.5-6 Soil Atmos Dep'!A1", "4.2.1.5-6 Soil atm. deposition")</f>
        <v>4.2.1.5-6 Soil atm. deposition</v>
      </c>
    </row>
    <row r="31" spans="1:6" ht="20.100000000000001" customHeight="1" x14ac:dyDescent="0.25">
      <c r="A31" s="5" t="str">
        <f>HYPERLINK("#'4.2.1.7-8 Soil leach runoff'!A1", "4.2.1.7-8 Soil leach &amp; runoff")</f>
        <v>4.2.1.7-8 Soil leach &amp; runoff</v>
      </c>
    </row>
    <row r="32" spans="1:6" ht="20.100000000000001" customHeight="1" x14ac:dyDescent="0.25">
      <c r="A32" s="5" t="str">
        <f>HYPERLINK("#'5.1.1.1-2 Inorganic fert N2O'!A1", "5.1.1.1-2 Inorganic fert N2O")</f>
        <v>5.1.1.1-2 Inorganic fert N2O</v>
      </c>
    </row>
    <row r="33" spans="1:1" ht="20.100000000000001" customHeight="1" x14ac:dyDescent="0.25">
      <c r="A33" s="5" t="str">
        <f>HYPERLINK("#'5.1.1.3-4 Inorganic fert CO2'!A1", "5.1.1.3-4 Inorganic fert CO2")</f>
        <v>5.1.1.3-4 Inorganic fert CO2</v>
      </c>
    </row>
    <row r="34" spans="1:1" ht="20.100000000000001" customHeight="1" x14ac:dyDescent="0.25">
      <c r="A34" s="5" t="str">
        <f>HYPERLINK("#'5.2.1.1-2 Organic Fert N2O'!A1", "5.2.1.1-2 Organic fert N2O")</f>
        <v>5.2.1.1-2 Organic fert N2O</v>
      </c>
    </row>
    <row r="35" spans="1:1" ht="20.100000000000001" customHeight="1" x14ac:dyDescent="0.25">
      <c r="A35" s="5" t="str">
        <f>HYPERLINK("#'5.3.1.1-2 Lime CO2'!A1", "5.3.1.1-2 Lime CO2")</f>
        <v>5.3.1.1-2 Lime CO2</v>
      </c>
    </row>
    <row r="36" spans="1:1" ht="20.100000000000001" customHeight="1" x14ac:dyDescent="0.25">
      <c r="A36" s="5" t="str">
        <f>HYPERLINK("#'5.4.1.1-4 Atmos deposition'!A1", "5.4.1.1-4 Atmos. deposition")</f>
        <v>5.4.1.1-4 Atmos. deposition</v>
      </c>
    </row>
    <row r="37" spans="1:1" ht="20.100000000000001" customHeight="1" x14ac:dyDescent="0.25">
      <c r="A37" s="5" t="str">
        <f>HYPERLINK("#'5.5.1.1-2 Leaching and runoff'!A1", "5.5.1.1-2 Leaching &amp; runoff")</f>
        <v>5.5.1.1-2 Leaching &amp; runoff</v>
      </c>
    </row>
    <row r="38" spans="1:1" ht="20.100000000000001" customHeight="1" x14ac:dyDescent="0.25">
      <c r="A38" s="5" t="str">
        <f>HYPERLINK("#'6.2.1.1-2 Pasture residue N2O'!A1", "6.2.1.1-2 Pasture residue N2O")</f>
        <v>6.2.1.1-2 Pasture residue N2O</v>
      </c>
    </row>
    <row r="39" spans="1:1" ht="20.100000000000001" customHeight="1" x14ac:dyDescent="0.25">
      <c r="A39" s="5" t="str">
        <f>HYPERLINK("#'6.3.1.1-2 Leach runoff pasture'!A1", "6.3.1.1-2 Leach &amp; runoff (pasture)")</f>
        <v>6.3.1.1-2 Leach &amp; runoff (pasture)</v>
      </c>
    </row>
    <row r="40" spans="1:1" x14ac:dyDescent="0.25">
      <c r="A40" s="5" t="str">
        <f>HYPERLINK("#'8.1.1.1-2 Transport fuel'!A1", "8.1.1.1-2 Transport fuel")</f>
        <v>8.1.1.1-2 Transport fuel</v>
      </c>
    </row>
    <row r="41" spans="1:1" x14ac:dyDescent="0.25">
      <c r="A41" s="5" t="str">
        <f>HYPERLINK("#'8.2.1.1-2 Stationary fuel'!A1", "8.2.1.1-2 Stationary fuel")</f>
        <v>8.2.1.1-2 Stationary fuel</v>
      </c>
    </row>
    <row r="42" spans="1:1" x14ac:dyDescent="0.25">
      <c r="A42" s="5" t="str">
        <f>HYPERLINK("#'14.1.1-2 Purchased electricity'!A1", "14.1.1-2 Purchased electricity")</f>
        <v>14.1.1-2 Purchased electricity</v>
      </c>
    </row>
    <row r="43" spans="1:1" x14ac:dyDescent="0.25">
      <c r="A43" s="5" t="str">
        <f>HYPERLINK("#'15 Scope 3'!A1", "15 Scope 3")</f>
        <v>15 Scope 3</v>
      </c>
    </row>
    <row r="44" spans="1:1" x14ac:dyDescent="0.25">
      <c r="A44" s="5" t="str">
        <f>HYPERLINK("#'Calcs - Manure sent off-site'!A1", "Calcs - Manure sent off-site")</f>
        <v>Calcs - Manure sent off-site</v>
      </c>
    </row>
    <row r="45" spans="1:1" x14ac:dyDescent="0.25">
      <c r="A45" s="5" t="str">
        <f>HYPERLINK("#'10.1.1-2 Solid waste treatment'!A1", "10.1.1-2 Solid waste treatment")</f>
        <v>10.1.1-2 Solid waste treatment</v>
      </c>
    </row>
    <row r="48" spans="1:1"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sheetData>
  <conditionalFormatting sqref="D16:G16">
    <cfRule type="expression" dxfId="78" priority="1">
      <formula>$D$24&gt;$D$11</formula>
    </cfRule>
  </conditionalFormatting>
  <dataValidations count="2">
    <dataValidation type="list" allowBlank="1" showInputMessage="1" showErrorMessage="1" sqref="E10" xr:uid="{6F87004C-CDB9-45D8-964B-5ABD3FBAA906}">
      <formula1>INDIRECT("Table_SourceData_Fertiliser_IrrigationMethods[Irrigation method]")</formula1>
    </dataValidation>
    <dataValidation type="list" allowBlank="1" showInputMessage="1" showErrorMessage="1" sqref="E9" xr:uid="{DD98727D-818B-4E22-B01E-E1563432508B}">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dimension ref="A1:K58"/>
  <sheetViews>
    <sheetView showGridLines="0"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6" customFormat="1" ht="25.5" x14ac:dyDescent="0.35">
      <c r="A1" s="16" t="e" vm="1">
        <v>#VALUE!</v>
      </c>
      <c r="C1" s="16" t="s">
        <v>187</v>
      </c>
    </row>
    <row r="2" spans="1:11" s="3" customFormat="1" x14ac:dyDescent="0.25">
      <c r="A2"/>
    </row>
    <row r="3" spans="1:11" ht="20.25" x14ac:dyDescent="0.25">
      <c r="A3" s="5" t="str">
        <f>HYPERLINK("#'Home'!A1", "Home")</f>
        <v>Home</v>
      </c>
      <c r="C3" s="39"/>
      <c r="D3" s="39"/>
      <c r="E3" s="39"/>
      <c r="F3" s="39"/>
      <c r="G3" s="39"/>
      <c r="H3" s="39"/>
      <c r="I3" s="39"/>
      <c r="J3" s="39"/>
      <c r="K3" s="39"/>
    </row>
    <row r="4" spans="1:11" x14ac:dyDescent="0.25">
      <c r="A4" s="5" t="str">
        <f>HYPERLINK("#'Overview'!A1", "Overview")</f>
        <v>Overview</v>
      </c>
    </row>
    <row r="5" spans="1:11" x14ac:dyDescent="0.25">
      <c r="A5" s="5" t="str">
        <f>HYPERLINK("#'Results'!A1", "Results")</f>
        <v>Results</v>
      </c>
      <c r="D5" s="80" t="s">
        <v>192</v>
      </c>
      <c r="E5" s="80"/>
      <c r="F5" s="80"/>
      <c r="G5" s="80"/>
    </row>
    <row r="6" spans="1:11" x14ac:dyDescent="0.25">
      <c r="F6" s="26"/>
    </row>
    <row r="7" spans="1:11" x14ac:dyDescent="0.25">
      <c r="D7" s="1" t="s">
        <v>188</v>
      </c>
      <c r="E7" s="25" t="s">
        <v>191</v>
      </c>
      <c r="F7" s="26"/>
    </row>
    <row r="8" spans="1:11" x14ac:dyDescent="0.25">
      <c r="A8" s="7" t="s">
        <v>0</v>
      </c>
      <c r="D8" s="1" t="s">
        <v>189</v>
      </c>
      <c r="E8" s="25" t="s">
        <v>191</v>
      </c>
      <c r="F8" s="26"/>
    </row>
    <row r="9" spans="1:11" x14ac:dyDescent="0.25">
      <c r="A9" s="5" t="str">
        <f>HYPERLINK("#'Input - Enterprise'!A1", "Enterprise")</f>
        <v>Enterprise</v>
      </c>
      <c r="D9" s="1" t="s">
        <v>73</v>
      </c>
      <c r="E9" s="25" t="str" cm="1">
        <f t="array" ref="E9">X_Cell_Pasture_IrrigationMethod</f>
        <v>Surface irrigation</v>
      </c>
    </row>
    <row r="10" spans="1:11" x14ac:dyDescent="0.25">
      <c r="A10" s="5" t="str">
        <f>HYPERLINK("#'Input - Site'!A1", "Site")</f>
        <v>Site</v>
      </c>
      <c r="D10" s="1" t="s">
        <v>190</v>
      </c>
      <c r="E10" s="25" cm="1">
        <f t="array" ref="E10">X_Cell_Pasture_AreaUnderPasture</f>
        <v>1000</v>
      </c>
    </row>
    <row r="11" spans="1:11" x14ac:dyDescent="0.25">
      <c r="A11" s="5" t="str">
        <f>HYPERLINK("#'Input - Pasture Beef'!A1", "Pasture Beef")</f>
        <v>Pasture Beef</v>
      </c>
    </row>
    <row r="12" spans="1:11" x14ac:dyDescent="0.25">
      <c r="A12" s="5" t="str">
        <f>HYPERLINK("#'Input - Pasture Beef (Enteric)'!A1", "Pasture Beef (Enteric)")</f>
        <v>Pasture Beef (Enteric)</v>
      </c>
    </row>
    <row r="13" spans="1:11" x14ac:dyDescent="0.25">
      <c r="A13" s="5" t="str">
        <f>HYPERLINK("#'Input - Livestock sales'!A1", "Livestock sales")</f>
        <v>Livestock sales</v>
      </c>
    </row>
    <row r="14" spans="1:11" x14ac:dyDescent="0.25">
      <c r="A14" s="5" t="str">
        <f>HYPERLINK("#'Input - Beef cattle purchases'!A1", "Beef cattle purchases")</f>
        <v>Beef cattle purchases</v>
      </c>
    </row>
    <row r="15" spans="1:11" x14ac:dyDescent="0.25">
      <c r="A15" s="5" t="str">
        <f>HYPERLINK("#'Input - Pasture'!A1", "Pasture")</f>
        <v>Pasture</v>
      </c>
    </row>
    <row r="16" spans="1:11" x14ac:dyDescent="0.25">
      <c r="A16" s="9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5" t="str">
        <f>HYPERLINK("#'Input - Manure sent off-site'!A1", "Manure sent off-site")</f>
        <v>Manure sent off-site</v>
      </c>
    </row>
    <row r="23" spans="1:1" x14ac:dyDescent="0.25">
      <c r="A23" s="5" t="str">
        <f>HYPERLINK("#'Input - Solid waste'!A1", "Solid waste")</f>
        <v>Solid waste</v>
      </c>
    </row>
    <row r="26" spans="1:1" x14ac:dyDescent="0.25">
      <c r="A26" s="6" t="s">
        <v>2</v>
      </c>
    </row>
    <row r="27" spans="1:1" x14ac:dyDescent="0.25">
      <c r="A27" s="5" t="str">
        <f>HYPERLINK("#'3.2.1.1-2 Enteric Methane'!A1", "3.2.1.1-2 Enteric methane")</f>
        <v>3.2.1.1-2 Enteric methane</v>
      </c>
    </row>
    <row r="28" spans="1:1" x14ac:dyDescent="0.25">
      <c r="A28" s="5" t="str">
        <f>HYPERLINK("#'4.2.1.1-2 Methane'!A1", "4.2.1.1-2 Manure methane")</f>
        <v>4.2.1.1-2 Manure methane</v>
      </c>
    </row>
    <row r="29" spans="1:1" x14ac:dyDescent="0.25">
      <c r="A29" s="5" t="str">
        <f>HYPERLINK("#'4.2.1.3-4 Soil direct N20'!A1", "4.2.1.3-4 Soil direct N2O")</f>
        <v>4.2.1.3-4 Soil direct N2O</v>
      </c>
    </row>
    <row r="30" spans="1:1" x14ac:dyDescent="0.25">
      <c r="A30" s="5" t="str">
        <f>HYPERLINK("#'4.2.1.5-6 Soil Atmos Dep'!A1", "4.2.1.5-6 Soil atm. deposition")</f>
        <v>4.2.1.5-6 Soil atm. deposition</v>
      </c>
    </row>
    <row r="31" spans="1:1" x14ac:dyDescent="0.25">
      <c r="A31" s="5" t="str">
        <f>HYPERLINK("#'4.2.1.7-8 Soil leach runoff'!A1", "4.2.1.7-8 Soil leach &amp; runoff")</f>
        <v>4.2.1.7-8 Soil leach &amp; runoff</v>
      </c>
    </row>
    <row r="32" spans="1:1" x14ac:dyDescent="0.25">
      <c r="A32" s="5" t="str">
        <f>HYPERLINK("#'5.1.1.1-2 Inorganic fert N2O'!A1", "5.1.1.1-2 Inorganic fert N2O")</f>
        <v>5.1.1.1-2 Inorganic fert N2O</v>
      </c>
    </row>
    <row r="33" spans="1:1" x14ac:dyDescent="0.25">
      <c r="A33" s="5" t="str">
        <f>HYPERLINK("#'5.1.1.3-4 Inorganic fert CO2'!A1", "5.1.1.3-4 Inorganic fert CO2")</f>
        <v>5.1.1.3-4 Inorganic fert CO2</v>
      </c>
    </row>
    <row r="34" spans="1:1" x14ac:dyDescent="0.25">
      <c r="A34" s="5" t="str">
        <f>HYPERLINK("#'5.2.1.1-2 Organic Fert N2O'!A1", "5.2.1.1-2 Organic fert N2O")</f>
        <v>5.2.1.1-2 Organic fert N2O</v>
      </c>
    </row>
    <row r="35" spans="1:1" x14ac:dyDescent="0.25">
      <c r="A35" s="5" t="str">
        <f>HYPERLINK("#'5.3.1.1-2 Lime CO2'!A1", "5.3.1.1-2 Lime CO2")</f>
        <v>5.3.1.1-2 Lime CO2</v>
      </c>
    </row>
    <row r="36" spans="1:1" x14ac:dyDescent="0.25">
      <c r="A36" s="5" t="str">
        <f>HYPERLINK("#'5.4.1.1-4 Atmos deposition'!A1", "5.4.1.1-4 Atmos. deposition")</f>
        <v>5.4.1.1-4 Atmos. deposition</v>
      </c>
    </row>
    <row r="37" spans="1:1" x14ac:dyDescent="0.25">
      <c r="A37" s="5" t="str">
        <f>HYPERLINK("#'5.5.1.1-2 Leaching and runoff'!A1", "5.5.1.1-2 Leaching &amp; runoff")</f>
        <v>5.5.1.1-2 Leaching &amp; runoff</v>
      </c>
    </row>
    <row r="38" spans="1:1" x14ac:dyDescent="0.25">
      <c r="A38" s="5" t="str">
        <f>HYPERLINK("#'6.2.1.1-2 Pasture residue N2O'!A1", "6.2.1.1-2 Pasture residue N2O")</f>
        <v>6.2.1.1-2 Pasture residue N2O</v>
      </c>
    </row>
    <row r="39" spans="1:1" x14ac:dyDescent="0.25">
      <c r="A39" s="5" t="str">
        <f>HYPERLINK("#'6.3.1.1-2 Leach runoff pasture'!A1", "6.3.1.1-2 Leach &amp; runoff (pasture)")</f>
        <v>6.3.1.1-2 Leach &amp; runoff (pasture)</v>
      </c>
    </row>
    <row r="40" spans="1:1" x14ac:dyDescent="0.25">
      <c r="A40" s="5" t="str">
        <f>HYPERLINK("#'8.1.1.1-2 Transport fuel'!A1", "8.1.1.1-2 Transport fuel")</f>
        <v>8.1.1.1-2 Transport fuel</v>
      </c>
    </row>
    <row r="41" spans="1:1" x14ac:dyDescent="0.25">
      <c r="A41" s="5" t="str">
        <f>HYPERLINK("#'8.2.1.1-2 Stationary fuel'!A1", "8.2.1.1-2 Stationary fuel")</f>
        <v>8.2.1.1-2 Stationary fuel</v>
      </c>
    </row>
    <row r="42" spans="1:1" x14ac:dyDescent="0.25">
      <c r="A42" s="5" t="str">
        <f>HYPERLINK("#'14.1.1-2 Purchased electricity'!A1", "14.1.1-2 Purchased electricity")</f>
        <v>14.1.1-2 Purchased electricity</v>
      </c>
    </row>
    <row r="43" spans="1:1" x14ac:dyDescent="0.25">
      <c r="A43" s="5" t="str">
        <f>HYPERLINK("#'15 Scope 3'!A1", "15 Scope 3")</f>
        <v>15 Scope 3</v>
      </c>
    </row>
    <row r="44" spans="1:1" x14ac:dyDescent="0.25">
      <c r="A44" s="5" t="str">
        <f>HYPERLINK("#'Calcs - Manure sent off-site'!A1", "Calcs - Manure sent off-site")</f>
        <v>Calcs - Manure sent off-site</v>
      </c>
    </row>
    <row r="45" spans="1:1" x14ac:dyDescent="0.25">
      <c r="A45" s="5" t="str">
        <f>HYPERLINK("#'10.1.1-2 Solid waste treatment'!A1", "10.1.1-2 Solid waste treatment")</f>
        <v>10.1.1-2 Solid waste treatment</v>
      </c>
    </row>
    <row r="48" spans="1:1"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F514E-91B2-45A0-8068-C56FFC9AC404}">
  <dimension ref="A1:Y366"/>
  <sheetViews>
    <sheetView showGridLines="0" topLeftCell="A23"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466</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HYPERLINK("#'Overview'!A1", "Overview")</f>
        <v>Overview</v>
      </c>
    </row>
    <row r="5" spans="1:25" ht="20.100000000000001" customHeight="1" x14ac:dyDescent="0.25">
      <c r="A5" s="5" t="str">
        <f>HYPERLINK("#'Results'!A1", "Results")</f>
        <v>Results</v>
      </c>
      <c r="D5" s="2" t="s">
        <v>467</v>
      </c>
      <c r="E5" s="35"/>
      <c r="F5" s="35"/>
      <c r="G5" s="35"/>
      <c r="H5" s="35"/>
      <c r="I5" s="35"/>
      <c r="J5" s="35"/>
      <c r="K5" s="35"/>
      <c r="L5" s="35"/>
      <c r="M5" s="35"/>
    </row>
    <row r="6" spans="1:25" ht="20.100000000000001" customHeight="1" x14ac:dyDescent="0.25">
      <c r="D6" s="8"/>
      <c r="E6" s="8"/>
      <c r="F6" s="8"/>
      <c r="G6" s="8"/>
      <c r="H6" s="8"/>
      <c r="I6" s="8"/>
      <c r="J6" s="8"/>
      <c r="K6" s="8"/>
      <c r="L6" s="8"/>
      <c r="M6" s="8"/>
    </row>
    <row r="7" spans="1:25" ht="20.100000000000001" customHeight="1" x14ac:dyDescent="0.25">
      <c r="D7" s="130" t="s">
        <v>468</v>
      </c>
      <c r="E7" s="54"/>
      <c r="F7" s="54"/>
      <c r="G7" s="54"/>
      <c r="H7" s="55"/>
      <c r="I7" s="131"/>
      <c r="J7" s="132"/>
      <c r="K7" s="133"/>
      <c r="L7" s="133"/>
      <c r="M7" s="133"/>
    </row>
    <row r="8" spans="1:25" ht="20.100000000000001" customHeight="1" x14ac:dyDescent="0.25">
      <c r="A8" s="7" t="s">
        <v>0</v>
      </c>
      <c r="D8" s="56" t="s">
        <v>469</v>
      </c>
      <c r="E8" s="57"/>
      <c r="F8" s="57"/>
      <c r="G8" s="58"/>
      <c r="H8" s="134"/>
      <c r="I8" s="8"/>
      <c r="J8" s="8"/>
      <c r="K8" s="8"/>
      <c r="L8" s="8"/>
      <c r="M8" s="8"/>
    </row>
    <row r="9" spans="1:25" ht="20.100000000000001" customHeight="1" x14ac:dyDescent="0.25">
      <c r="A9" s="5" t="str">
        <f>HYPERLINK("#'Input - Enterprise'!A1", "Enterprise")</f>
        <v>Enterprise</v>
      </c>
      <c r="D9" s="8"/>
      <c r="E9" s="8"/>
      <c r="F9" s="8"/>
      <c r="G9" s="8"/>
      <c r="H9" s="8"/>
      <c r="I9" s="8"/>
      <c r="J9" s="8"/>
      <c r="K9" s="8"/>
      <c r="L9" s="8"/>
      <c r="M9" s="8"/>
    </row>
    <row r="10" spans="1:25" ht="20.100000000000001" customHeight="1" x14ac:dyDescent="0.25">
      <c r="A10" s="5" t="str">
        <f>HYPERLINK("#'Input - Site'!A1", "Site")</f>
        <v>Site</v>
      </c>
      <c r="D10" s="91" t="s">
        <v>470</v>
      </c>
      <c r="E10" s="8"/>
      <c r="F10" s="8"/>
      <c r="G10" s="8"/>
      <c r="H10" s="8"/>
      <c r="I10" s="8"/>
      <c r="J10" s="8"/>
      <c r="K10" s="8"/>
      <c r="L10" s="8"/>
      <c r="M10" s="8"/>
    </row>
    <row r="11" spans="1:25" ht="20.100000000000001" customHeight="1" x14ac:dyDescent="0.25">
      <c r="A11" s="5" t="str">
        <f>HYPERLINK("#'Input - Pasture Beef'!A1", "Pasture Beef")</f>
        <v>Pasture Beef</v>
      </c>
      <c r="D11" s="135" t="s">
        <v>471</v>
      </c>
      <c r="E11" s="136" t="s">
        <v>472</v>
      </c>
      <c r="F11" s="137" t="s">
        <v>473</v>
      </c>
      <c r="G11" s="137" t="s">
        <v>474</v>
      </c>
      <c r="H11" s="136" t="s">
        <v>475</v>
      </c>
      <c r="I11" s="136" t="s">
        <v>476</v>
      </c>
      <c r="J11" s="135" t="s">
        <v>477</v>
      </c>
      <c r="K11" s="135" t="s">
        <v>478</v>
      </c>
      <c r="L11" s="135" t="s">
        <v>479</v>
      </c>
      <c r="M11" s="135" t="s">
        <v>480</v>
      </c>
      <c r="N11" s="135" t="s">
        <v>481</v>
      </c>
      <c r="O11" s="135" t="s">
        <v>482</v>
      </c>
      <c r="P11" s="135" t="s">
        <v>483</v>
      </c>
      <c r="Q11" s="135" t="s">
        <v>484</v>
      </c>
      <c r="R11" s="135" t="s">
        <v>485</v>
      </c>
      <c r="S11" s="135" t="s">
        <v>486</v>
      </c>
      <c r="T11" s="135" t="s">
        <v>487</v>
      </c>
      <c r="U11" s="135" t="s">
        <v>488</v>
      </c>
      <c r="V11" s="135" t="s">
        <v>489</v>
      </c>
      <c r="W11" s="138" t="s">
        <v>490</v>
      </c>
      <c r="X11" s="138" t="s">
        <v>491</v>
      </c>
    </row>
    <row r="12" spans="1:25" ht="20.100000000000001" customHeight="1" x14ac:dyDescent="0.25">
      <c r="A12" s="5" t="str">
        <f>HYPERLINK("#'Input - Pasture Beef (Enteric)'!A1", "Pasture Beef (Enteric)")</f>
        <v>Pasture Beef (Enteric)</v>
      </c>
      <c r="D12" s="139" t="s">
        <v>492</v>
      </c>
      <c r="E12" s="140">
        <v>100</v>
      </c>
      <c r="F12" s="25" t="str">
        <f>_xlfn.XLOOKUP(Table_Input_InorganicFertiliser_Brands[[#This Row],[Product (select)]],FertiliserProducts[Product name],FertiliserProducts[Unit])</f>
        <v>L</v>
      </c>
      <c r="G12" s="25">
        <f>_xlfn.XLOOKUP(Table_Input_InorganicFertiliser_Brands[[#This Row],[Product (select)]],FertiliserProducts[Product name],FertiliserProducts[Density / gravity])</f>
        <v>1.26</v>
      </c>
      <c r="H12" s="140">
        <f>X_Cell_Fertiliser_AreaUnderCropping</f>
        <v>1000</v>
      </c>
      <c r="I12" s="141">
        <f>(Table_Input_InorganicFertiliser_Brands[[#This Row],[Amount applied per hectare]]*Table_Input_InorganicFertiliser_Brands[[#This Row],[Density]])*Table_Input_InorganicFertiliser_Brands[[#This Row],[Application area (ha)]]</f>
        <v>126000</v>
      </c>
      <c r="J12" s="141"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41"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41"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41"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41"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41"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41"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41"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41"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41"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41"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41"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4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25" t="str">
        <f>_xlfn.XLOOKUP(Table_Input_InorganicFertiliser_Brands[[#This Row],[Product (select)]],FertiliserProducts[Product name],FertiliserProducts[Urea source])</f>
        <v/>
      </c>
      <c r="X12" s="25" t="str">
        <f>_xlfn.XLOOKUP(Table_Input_InorganicFertiliser_Brands[[#This Row],[Product (select)]],FertiliserProducts[Product name],FertiliserProducts[Ammonia source])</f>
        <v/>
      </c>
    </row>
    <row r="13" spans="1:25" ht="20.100000000000001" customHeight="1" x14ac:dyDescent="0.25">
      <c r="A13" s="5" t="str">
        <f>HYPERLINK("#'Input - Livestock sales'!A1", "Livestock sales")</f>
        <v>Livestock sales</v>
      </c>
      <c r="D13" s="142" t="s">
        <v>493</v>
      </c>
      <c r="E13" s="143">
        <v>100</v>
      </c>
      <c r="F13" s="25" t="str">
        <f>_xlfn.XLOOKUP(Table_Input_InorganicFertiliser_Brands[[#This Row],[Product (select)]],FertiliserProducts[Product name],FertiliserProducts[Unit])</f>
        <v>L</v>
      </c>
      <c r="G13" s="25">
        <f>_xlfn.XLOOKUP(Table_Input_InorganicFertiliser_Brands[[#This Row],[Product (select)]],FertiliserProducts[Product name],FertiliserProducts[Density / gravity])</f>
        <v>1.2849999999999999</v>
      </c>
      <c r="H13" s="143">
        <f>X_Cell_Fertiliser_AreaUnderCropping</f>
        <v>1000</v>
      </c>
      <c r="I13" s="141">
        <f>(Table_Input_InorganicFertiliser_Brands[[#This Row],[Amount applied per hectare]]*Table_Input_InorganicFertiliser_Brands[[#This Row],[Density]])*Table_Input_InorganicFertiliser_Brands[[#This Row],[Application area (ha)]]</f>
        <v>128500</v>
      </c>
      <c r="J13" s="141"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41"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41"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41"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41"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41"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41"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41"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41"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41"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41"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41"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4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41" t="str">
        <f>_xlfn.XLOOKUP(Table_Input_InorganicFertiliser_Brands[[#This Row],[Product (select)]],FertiliserProducts[Product name],FertiliserProducts[Urea source])</f>
        <v/>
      </c>
      <c r="X13" s="141" t="str">
        <f>_xlfn.XLOOKUP(Table_Input_InorganicFertiliser_Brands[[#This Row],[Product (select)]],FertiliserProducts[Product name],FertiliserProducts[Ammonia source])</f>
        <v/>
      </c>
    </row>
    <row r="14" spans="1:25" ht="20.100000000000001" customHeight="1" x14ac:dyDescent="0.25">
      <c r="A14" s="5" t="str">
        <f>HYPERLINK("#'Input - Beef cattle purchases'!A1", "Beef cattle purchases")</f>
        <v>Beef cattle purchases</v>
      </c>
      <c r="D14" s="142" t="s">
        <v>493</v>
      </c>
      <c r="E14" s="143">
        <v>100</v>
      </c>
      <c r="F14" s="25" t="str">
        <f>_xlfn.XLOOKUP(Table_Input_InorganicFertiliser_Brands[[#This Row],[Product (select)]],FertiliserProducts[Product name],FertiliserProducts[Unit])</f>
        <v>L</v>
      </c>
      <c r="G14" s="25">
        <f>_xlfn.XLOOKUP(Table_Input_InorganicFertiliser_Brands[[#This Row],[Product (select)]],FertiliserProducts[Product name],FertiliserProducts[Density / gravity])</f>
        <v>1.2849999999999999</v>
      </c>
      <c r="H14" s="143">
        <f>X_Cell_Fertiliser_AreaUnderCropping</f>
        <v>1000</v>
      </c>
      <c r="I14" s="141">
        <f>(Table_Input_InorganicFertiliser_Brands[[#This Row],[Amount applied per hectare]]*Table_Input_InorganicFertiliser_Brands[[#This Row],[Density]])*Table_Input_InorganicFertiliser_Brands[[#This Row],[Application area (ha)]]</f>
        <v>128500</v>
      </c>
      <c r="J14" s="141"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41"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41"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41"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41"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41"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41"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41"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41"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41"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41"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41"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4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41" t="str">
        <f>_xlfn.XLOOKUP(Table_Input_InorganicFertiliser_Brands[[#This Row],[Product (select)]],FertiliserProducts[Product name],FertiliserProducts[Urea source])</f>
        <v/>
      </c>
      <c r="X14" s="141" t="str">
        <f>_xlfn.XLOOKUP(Table_Input_InorganicFertiliser_Brands[[#This Row],[Product (select)]],FertiliserProducts[Product name],FertiliserProducts[Ammonia source])</f>
        <v/>
      </c>
    </row>
    <row r="15" spans="1:25" ht="20.100000000000001" customHeight="1" x14ac:dyDescent="0.25">
      <c r="A15" s="5" t="str">
        <f>HYPERLINK("#'Input - Pasture'!A1", "Pasture")</f>
        <v>Pasture</v>
      </c>
      <c r="D15" s="142" t="s">
        <v>494</v>
      </c>
      <c r="E15" s="143">
        <v>100</v>
      </c>
      <c r="F15" s="25" t="str">
        <f>_xlfn.XLOOKUP(Table_Input_InorganicFertiliser_Brands[[#This Row],[Product (select)]],FertiliserProducts[Product name],FertiliserProducts[Unit])</f>
        <v>L</v>
      </c>
      <c r="G15" s="25">
        <f>_xlfn.XLOOKUP(Table_Input_InorganicFertiliser_Brands[[#This Row],[Product (select)]],FertiliserProducts[Product name],FertiliserProducts[Density / gravity])</f>
        <v>1.26</v>
      </c>
      <c r="H15" s="143">
        <f>X_Cell_Fertiliser_AreaUnderCropping</f>
        <v>1000</v>
      </c>
      <c r="I15" s="141">
        <f>(Table_Input_InorganicFertiliser_Brands[[#This Row],[Amount applied per hectare]]*Table_Input_InorganicFertiliser_Brands[[#This Row],[Density]])*Table_Input_InorganicFertiliser_Brands[[#This Row],[Application area (ha)]]</f>
        <v>126000</v>
      </c>
      <c r="J15" s="141"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41"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41"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41"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41"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41"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41"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41"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41"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41"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41"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41"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4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41" t="str">
        <f>_xlfn.XLOOKUP(Table_Input_InorganicFertiliser_Brands[[#This Row],[Product (select)]],FertiliserProducts[Product name],FertiliserProducts[Urea source])</f>
        <v/>
      </c>
      <c r="X15" s="141" t="str">
        <f>_xlfn.XLOOKUP(Table_Input_InorganicFertiliser_Brands[[#This Row],[Product (select)]],FertiliserProducts[Product name],FertiliserProducts[Ammonia source])</f>
        <v/>
      </c>
    </row>
    <row r="16" spans="1:25" ht="20.100000000000001" customHeight="1" x14ac:dyDescent="0.25">
      <c r="A16" s="5" t="str">
        <f>HYPERLINK("#'Input - Fert Prod System'!A1", "Fert Prod System")</f>
        <v>Fert Prod System</v>
      </c>
      <c r="D16" s="142" t="s">
        <v>495</v>
      </c>
      <c r="E16" s="143">
        <v>100</v>
      </c>
      <c r="F16" s="25" t="str">
        <f>_xlfn.XLOOKUP(Table_Input_InorganicFertiliser_Brands[[#This Row],[Product (select)]],FertiliserProducts[Product name],FertiliserProducts[Unit])</f>
        <v>L</v>
      </c>
      <c r="G16" s="25">
        <f>_xlfn.XLOOKUP(Table_Input_InorganicFertiliser_Brands[[#This Row],[Product (select)]],FertiliserProducts[Product name],FertiliserProducts[Density / gravity])</f>
        <v>1.5</v>
      </c>
      <c r="H16" s="143">
        <f>X_Cell_Fertiliser_AreaUnderCropping</f>
        <v>1000</v>
      </c>
      <c r="I16" s="141">
        <f>(Table_Input_InorganicFertiliser_Brands[[#This Row],[Amount applied per hectare]]*Table_Input_InorganicFertiliser_Brands[[#This Row],[Density]])*Table_Input_InorganicFertiliser_Brands[[#This Row],[Application area (ha)]]</f>
        <v>150000</v>
      </c>
      <c r="J16" s="141"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41"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41"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41"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41"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41"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41"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41"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41"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41"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41"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41"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41">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41" t="str">
        <f>_xlfn.XLOOKUP(Table_Input_InorganicFertiliser_Brands[[#This Row],[Product (select)]],FertiliserProducts[Product name],FertiliserProducts[Urea source])</f>
        <v/>
      </c>
      <c r="X16" s="141" t="str">
        <f>_xlfn.XLOOKUP(Table_Input_InorganicFertiliser_Brands[[#This Row],[Product (select)]],FertiliserProducts[Product name],FertiliserProducts[Ammonia source])</f>
        <v/>
      </c>
    </row>
    <row r="17" spans="1:24" ht="36" customHeight="1" x14ac:dyDescent="0.25">
      <c r="A17" s="95" t="str">
        <f>HYPERLINK("#'Input - Fertiliser'!A1", "Fertiliser")</f>
        <v>Fertiliser</v>
      </c>
      <c r="D17" s="144"/>
      <c r="E17" s="145"/>
      <c r="F17" s="146"/>
      <c r="G17" s="146"/>
      <c r="H17" s="146"/>
      <c r="I17" s="146"/>
      <c r="J17" s="147"/>
      <c r="K17" s="147"/>
      <c r="L17" s="148"/>
      <c r="M17" s="148"/>
      <c r="N17" s="149"/>
      <c r="O17" s="149"/>
      <c r="P17" s="149"/>
      <c r="Q17" s="149"/>
      <c r="R17" s="149"/>
      <c r="S17" s="149"/>
      <c r="T17" s="149"/>
      <c r="U17" s="149"/>
      <c r="V17" s="149"/>
      <c r="W17" s="149"/>
      <c r="X17" s="149"/>
    </row>
    <row r="18" spans="1:24" ht="36" customHeight="1" x14ac:dyDescent="0.25">
      <c r="A18" s="5" t="str">
        <f>HYPERLINK("#'Input - Fuel'!A1", "Fuel")</f>
        <v>Fuel</v>
      </c>
      <c r="D18" s="150" t="s">
        <v>496</v>
      </c>
      <c r="E18" s="151"/>
      <c r="F18" s="151"/>
      <c r="G18" s="151"/>
      <c r="H18" s="151"/>
      <c r="I18" s="151"/>
      <c r="J18" s="151"/>
      <c r="K18" s="151"/>
      <c r="L18" s="151"/>
      <c r="M18" s="151"/>
      <c r="N18" s="149"/>
      <c r="O18" s="149"/>
      <c r="P18" s="149"/>
      <c r="Q18" s="149"/>
      <c r="R18" s="149"/>
      <c r="S18" s="149"/>
      <c r="T18" s="149"/>
      <c r="V18" s="149"/>
      <c r="W18" s="149"/>
      <c r="X18" s="149"/>
    </row>
    <row r="19" spans="1:24" ht="36" customHeight="1" x14ac:dyDescent="0.25">
      <c r="A19" s="5" t="str">
        <f>HYPERLINK("#'Input - Electricity'!A1", "Electricity")</f>
        <v>Electricity</v>
      </c>
      <c r="D19" s="136" t="s">
        <v>497</v>
      </c>
      <c r="E19" s="136" t="s">
        <v>498</v>
      </c>
      <c r="F19" s="136" t="s">
        <v>475</v>
      </c>
      <c r="G19" s="136" t="s">
        <v>476</v>
      </c>
      <c r="H19" s="136" t="s">
        <v>499</v>
      </c>
      <c r="I19" s="136" t="s">
        <v>478</v>
      </c>
      <c r="J19" s="136" t="s">
        <v>479</v>
      </c>
      <c r="K19" s="136" t="s">
        <v>480</v>
      </c>
      <c r="L19" s="136" t="s">
        <v>481</v>
      </c>
      <c r="M19" s="136" t="s">
        <v>482</v>
      </c>
      <c r="N19" s="136" t="s">
        <v>483</v>
      </c>
      <c r="O19" s="136" t="s">
        <v>484</v>
      </c>
      <c r="P19" s="136" t="s">
        <v>489</v>
      </c>
      <c r="Q19" s="138" t="s">
        <v>500</v>
      </c>
      <c r="R19" s="138" t="s">
        <v>501</v>
      </c>
      <c r="S19" s="149"/>
      <c r="T19" s="149"/>
      <c r="V19" s="149"/>
      <c r="W19" s="149"/>
      <c r="X19" s="149"/>
    </row>
    <row r="20" spans="1:24" ht="36" customHeight="1" x14ac:dyDescent="0.25">
      <c r="A20" s="5" t="str">
        <f>HYPERLINK("#'Input - Farm Inputs'!A1", "Farm Inputs")</f>
        <v>Farm Inputs</v>
      </c>
      <c r="D20" s="44" t="s">
        <v>502</v>
      </c>
      <c r="E20" s="136">
        <v>100</v>
      </c>
      <c r="F20" s="140">
        <f>X_Cell_Fertiliser_AreaUnderCropping</f>
        <v>1000</v>
      </c>
      <c r="G20" s="141">
        <f>Table_Input_InorganicFertiliser_Custom[[#This Row],[Amount applied (kg / ha)]]*Table_Input_InorganicFertiliser_Custom[[#This Row],[Application area (ha)]]</f>
        <v>100000</v>
      </c>
      <c r="H20" s="152" t="s">
        <v>503</v>
      </c>
      <c r="I20" s="153">
        <v>0.5</v>
      </c>
      <c r="J20" s="152" t="s">
        <v>504</v>
      </c>
      <c r="K20" s="153">
        <v>0.2</v>
      </c>
      <c r="L20" s="152" t="s">
        <v>505</v>
      </c>
      <c r="M20" s="153">
        <v>0.2</v>
      </c>
      <c r="N20" s="154" t="s">
        <v>506</v>
      </c>
      <c r="O20" s="28">
        <v>0.1</v>
      </c>
      <c r="P20" s="14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23"/>
      <c r="R20" s="23"/>
      <c r="T20" s="88"/>
    </row>
    <row r="21" spans="1:24" ht="36" customHeight="1" x14ac:dyDescent="0.25">
      <c r="A21" s="5" t="str">
        <f>HYPERLINK("#'Input - Freight'!A1", "Freight")</f>
        <v>Freight</v>
      </c>
      <c r="D21" s="44" t="s">
        <v>507</v>
      </c>
      <c r="E21" s="136">
        <v>100</v>
      </c>
      <c r="F21" s="140">
        <f>X_Cell_Fertiliser_AreaUnderCropping</f>
        <v>1000</v>
      </c>
      <c r="G21" s="141">
        <f>Table_Input_InorganicFertiliser_Custom[[#This Row],[Amount applied (kg / ha)]]*Table_Input_InorganicFertiliser_Custom[[#This Row],[Application area (ha)]]</f>
        <v>100000</v>
      </c>
      <c r="H21" s="152" t="s">
        <v>508</v>
      </c>
      <c r="I21" s="155">
        <v>1</v>
      </c>
      <c r="J21" s="152"/>
      <c r="K21" s="155"/>
      <c r="L21" s="152"/>
      <c r="M21" s="155"/>
      <c r="N21" s="154"/>
      <c r="O21" s="28"/>
      <c r="P21" s="14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23"/>
      <c r="R21" s="23"/>
      <c r="W21" s="88"/>
    </row>
    <row r="22" spans="1:24" ht="36" customHeight="1" x14ac:dyDescent="0.25">
      <c r="A22" s="5" t="str">
        <f>HYPERLINK("#'Input - Manure sent off-site'!A1", "Manure sent off-site")</f>
        <v>Manure sent off-site</v>
      </c>
      <c r="D22" s="44" t="s">
        <v>509</v>
      </c>
      <c r="E22" s="136">
        <v>100</v>
      </c>
      <c r="F22" s="140">
        <f>X_Cell_Fertiliser_AreaUnderCropping</f>
        <v>1000</v>
      </c>
      <c r="G22" s="141">
        <f>Table_Input_InorganicFertiliser_Custom[[#This Row],[Amount applied (kg / ha)]]*Table_Input_InorganicFertiliser_Custom[[#This Row],[Application area (ha)]]</f>
        <v>100000</v>
      </c>
      <c r="H22" s="152" t="s">
        <v>510</v>
      </c>
      <c r="I22" s="155">
        <v>0.5</v>
      </c>
      <c r="J22" s="152"/>
      <c r="K22" s="155"/>
      <c r="L22" s="152"/>
      <c r="M22" s="155"/>
      <c r="N22" s="154"/>
      <c r="O22" s="28"/>
      <c r="P22" s="141">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23"/>
      <c r="R22" s="23"/>
    </row>
    <row r="23" spans="1:24" ht="36" customHeight="1" x14ac:dyDescent="0.25">
      <c r="A23" s="5" t="str">
        <f>HYPERLINK("#'Input - Solid waste'!A1", "Solid waste")</f>
        <v>Solid waste</v>
      </c>
      <c r="V23" s="88"/>
    </row>
    <row r="24" spans="1:24" ht="36" customHeight="1" x14ac:dyDescent="0.25">
      <c r="D24" s="2" t="s">
        <v>511</v>
      </c>
      <c r="E24" s="35"/>
      <c r="F24" s="35"/>
      <c r="G24" s="35"/>
      <c r="H24" s="35"/>
      <c r="I24" s="35"/>
      <c r="J24" s="35"/>
      <c r="K24" s="8"/>
      <c r="L24" s="8"/>
      <c r="M24" s="8"/>
    </row>
    <row r="25" spans="1:24" ht="36" customHeight="1" x14ac:dyDescent="0.25">
      <c r="D25" s="8"/>
      <c r="E25" s="8"/>
      <c r="F25" s="8"/>
      <c r="G25" s="8"/>
      <c r="H25" s="8"/>
      <c r="I25" s="8"/>
      <c r="J25" s="8"/>
      <c r="K25" s="8"/>
      <c r="L25" s="8"/>
      <c r="M25" s="35"/>
    </row>
    <row r="26" spans="1:24" ht="36" customHeight="1" x14ac:dyDescent="0.25">
      <c r="A26" s="6" t="s">
        <v>2</v>
      </c>
      <c r="D26" s="130" t="s">
        <v>512</v>
      </c>
      <c r="E26" s="54"/>
      <c r="F26" s="55"/>
      <c r="G26" s="130"/>
      <c r="H26" s="55"/>
      <c r="I26" s="35"/>
      <c r="J26" s="35"/>
      <c r="K26" s="8"/>
      <c r="L26" s="8"/>
      <c r="M26" s="8"/>
    </row>
    <row r="27" spans="1:24" ht="20.100000000000001" customHeight="1" x14ac:dyDescent="0.25">
      <c r="A27" s="5" t="str">
        <f>HYPERLINK("#'3.2.1.1-2 Enteric Methane'!A1", "3.2.1.1-2 Enteric methane")</f>
        <v>3.2.1.1-2 Enteric methane</v>
      </c>
      <c r="D27" s="156" t="s">
        <v>513</v>
      </c>
      <c r="E27" s="157"/>
      <c r="F27" s="158"/>
      <c r="G27" s="156"/>
      <c r="H27" s="158"/>
      <c r="I27" s="8"/>
      <c r="J27" s="8"/>
      <c r="K27" s="8"/>
      <c r="L27" s="8"/>
      <c r="M27" s="35"/>
    </row>
    <row r="28" spans="1:24" ht="20.100000000000001" customHeight="1" x14ac:dyDescent="0.25">
      <c r="A28" s="5" t="str">
        <f>HYPERLINK("#'4.2.1.1-2 Methane'!A1", "4.2.1.1-2 Manure methane")</f>
        <v>4.2.1.1-2 Manure methane</v>
      </c>
      <c r="D28" s="56" t="s">
        <v>469</v>
      </c>
      <c r="E28" s="57"/>
      <c r="F28" s="57"/>
      <c r="G28" s="57"/>
      <c r="H28" s="58"/>
      <c r="I28" s="8"/>
      <c r="J28" s="8"/>
      <c r="K28" s="8"/>
      <c r="L28" s="8"/>
      <c r="M28" s="35"/>
    </row>
    <row r="29" spans="1:24" ht="20.100000000000001" customHeight="1" x14ac:dyDescent="0.25">
      <c r="A29" s="5" t="str">
        <f>HYPERLINK("#'4.2.1.3-4 Soil direct N20'!A1", "4.2.1.3-4 Soil direct N2O")</f>
        <v>4.2.1.3-4 Soil direct N2O</v>
      </c>
      <c r="D29" s="92" t="str">
        <f>IF(MAX(Table_Input_Lime[Total]) &gt; 1, "There can not be more than 100% ingredients in a product. Check the table below.", "")</f>
        <v/>
      </c>
    </row>
    <row r="30" spans="1:24" ht="20.100000000000001" customHeight="1" x14ac:dyDescent="0.25">
      <c r="A30" s="5" t="str">
        <f>HYPERLINK("#'4.2.1.5-6 Soil Atmos Dep'!A1", "4.2.1.5-6 Soil atm. deposition")</f>
        <v>4.2.1.5-6 Soil atm. deposition</v>
      </c>
      <c r="D30" s="159" t="s">
        <v>152</v>
      </c>
      <c r="E30" s="159" t="s">
        <v>514</v>
      </c>
      <c r="F30" s="159" t="s">
        <v>475</v>
      </c>
      <c r="G30" s="159" t="s">
        <v>515</v>
      </c>
      <c r="H30" s="159" t="s">
        <v>516</v>
      </c>
      <c r="I30" s="159" t="s">
        <v>517</v>
      </c>
      <c r="J30" s="159" t="s">
        <v>518</v>
      </c>
      <c r="K30" s="159" t="s">
        <v>4</v>
      </c>
    </row>
    <row r="31" spans="1:24" ht="20.100000000000001" customHeight="1" x14ac:dyDescent="0.25">
      <c r="A31" s="5" t="str">
        <f>HYPERLINK("#'4.2.1.7-8 Soil leach runoff'!A1", "4.2.1.7-8 Soil leach &amp; runoff")</f>
        <v>4.2.1.7-8 Soil leach &amp; runoff</v>
      </c>
      <c r="D31" s="160" t="s">
        <v>519</v>
      </c>
      <c r="E31" s="140">
        <v>1</v>
      </c>
      <c r="F31" s="140">
        <f>X_Cell_Fertiliser_AreaUnderCropping</f>
        <v>1000</v>
      </c>
      <c r="G31" s="141">
        <f>IFERROR(Table_Input_Lime[[#This Row],[Amount applied (t/hectare)]]*Table_Input_Lime[[#This Row],[Application area (ha)]], 0)</f>
        <v>1000</v>
      </c>
      <c r="H31" s="161">
        <v>0.8</v>
      </c>
      <c r="I31" s="161">
        <v>0.1</v>
      </c>
      <c r="J31" s="161">
        <v>0.1</v>
      </c>
      <c r="K31" s="162">
        <f>SUM(Table_Input_Lime[[#This Row],[Percent Lime CaCO3]:[Percent Gypsum]])</f>
        <v>1</v>
      </c>
    </row>
    <row r="32" spans="1:24" ht="30" customHeight="1" x14ac:dyDescent="0.25">
      <c r="A32" s="5" t="str">
        <f>HYPERLINK("#'5.1.1.1-2 Inorganic fert N2O'!A1", "5.1.1.1-2 Inorganic fert N2O")</f>
        <v>5.1.1.1-2 Inorganic fert N2O</v>
      </c>
      <c r="D32" s="160" t="s">
        <v>520</v>
      </c>
      <c r="E32" s="140">
        <v>1</v>
      </c>
      <c r="F32" s="140">
        <f>X_Cell_Fertiliser_AreaUnderCropping</f>
        <v>1000</v>
      </c>
      <c r="G32" s="141">
        <f>IFERROR(Table_Input_Lime[[#This Row],[Amount applied (t/hectare)]]*Table_Input_Lime[[#This Row],[Application area (ha)]], 0)</f>
        <v>1000</v>
      </c>
      <c r="H32" s="161">
        <v>1</v>
      </c>
      <c r="I32" s="161"/>
      <c r="J32" s="161"/>
      <c r="K32" s="162">
        <f>SUM(Table_Input_Lime[[#This Row],[Percent Lime CaCO3]:[Percent Gypsum]])</f>
        <v>1</v>
      </c>
      <c r="L32" s="35"/>
    </row>
    <row r="33" spans="1:25" ht="36" customHeight="1" x14ac:dyDescent="0.25">
      <c r="A33" s="5" t="str">
        <f>HYPERLINK("#'5.1.1.3-4 Inorganic fert CO2'!A1", "5.1.1.3-4 Inorganic fert CO2")</f>
        <v>5.1.1.3-4 Inorganic fert CO2</v>
      </c>
      <c r="D33" s="160" t="s">
        <v>521</v>
      </c>
      <c r="E33" s="140">
        <v>1</v>
      </c>
      <c r="F33" s="140">
        <f>X_Cell_Fertiliser_AreaUnderCropping</f>
        <v>1000</v>
      </c>
      <c r="G33" s="141">
        <f>IFERROR(Table_Input_Lime[[#This Row],[Amount applied (t/hectare)]]*Table_Input_Lime[[#This Row],[Application area (ha)]], 0)</f>
        <v>1000</v>
      </c>
      <c r="H33" s="161">
        <v>0</v>
      </c>
      <c r="I33" s="161"/>
      <c r="J33" s="161">
        <v>1</v>
      </c>
      <c r="K33" s="162">
        <f>SUM(Table_Input_Lime[[#This Row],[Percent Lime CaCO3]:[Percent Gypsum]])</f>
        <v>1</v>
      </c>
      <c r="L33" s="35"/>
      <c r="M33" s="35"/>
    </row>
    <row r="34" spans="1:25" ht="36" customHeight="1" x14ac:dyDescent="0.25">
      <c r="A34" s="5" t="str">
        <f>HYPERLINK("#'5.2.1.1-2 Organic Fert N2O'!A1", "5.2.1.1-2 Organic fert N2O")</f>
        <v>5.2.1.1-2 Organic fert N2O</v>
      </c>
      <c r="D34" s="8"/>
      <c r="E34" s="8"/>
      <c r="F34" s="8"/>
      <c r="G34" s="8"/>
      <c r="H34" s="8"/>
      <c r="I34" s="8"/>
      <c r="J34" s="8"/>
      <c r="L34" s="8"/>
      <c r="M34" s="35"/>
    </row>
    <row r="35" spans="1:25" ht="36" customHeight="1" x14ac:dyDescent="0.25">
      <c r="A35" s="5" t="str">
        <f>HYPERLINK("#'5.3.1.1-2 Lime CO2'!A1", "5.3.1.1-2 Lime CO2")</f>
        <v>5.3.1.1-2 Lime CO2</v>
      </c>
      <c r="D35" s="8"/>
      <c r="E35" s="8"/>
      <c r="F35" s="8"/>
      <c r="G35" s="8"/>
      <c r="H35" s="8"/>
      <c r="I35" s="8"/>
      <c r="J35" s="163"/>
      <c r="K35" s="35"/>
      <c r="L35" s="8"/>
      <c r="M35" s="8"/>
    </row>
    <row r="36" spans="1:25" ht="36" customHeight="1" x14ac:dyDescent="0.25">
      <c r="A36" s="5" t="str">
        <f>HYPERLINK("#'5.4.1.1-4 Atmos deposition'!A1", "5.4.1.1-4 Atmos. deposition")</f>
        <v>5.4.1.1-4 Atmos. deposition</v>
      </c>
      <c r="D36" s="2" t="s">
        <v>522</v>
      </c>
      <c r="E36" s="35"/>
      <c r="F36" s="35"/>
      <c r="G36" s="35"/>
      <c r="H36" s="8"/>
      <c r="I36" s="8"/>
      <c r="J36" s="8"/>
      <c r="K36" s="8"/>
      <c r="L36" s="8"/>
      <c r="M36" s="8"/>
      <c r="S36" s="149"/>
    </row>
    <row r="37" spans="1:25" ht="20.100000000000001" customHeight="1" x14ac:dyDescent="0.25">
      <c r="A37" s="5" t="str">
        <f>HYPERLINK("#'5.5.1.1-2 Leaching and runoff'!A1", "5.5.1.1-2 Leaching &amp; runoff")</f>
        <v>5.5.1.1-2 Leaching &amp; runoff</v>
      </c>
      <c r="D37" s="8"/>
      <c r="E37" s="8"/>
      <c r="F37" s="8"/>
      <c r="G37" s="8"/>
      <c r="H37" s="8"/>
      <c r="I37" s="8"/>
      <c r="J37" s="8"/>
      <c r="K37" s="8"/>
      <c r="L37" s="8"/>
      <c r="M37" s="8"/>
      <c r="Q37" s="149"/>
      <c r="R37" s="149"/>
      <c r="S37" s="149"/>
    </row>
    <row r="38" spans="1:25" ht="20.100000000000001" customHeight="1" x14ac:dyDescent="0.25">
      <c r="A38" s="5" t="str">
        <f>HYPERLINK("#'6.2.1.1-2 Pasture residue N2O'!A1", "6.2.1.1-2 Pasture residue N2O")</f>
        <v>6.2.1.1-2 Pasture residue N2O</v>
      </c>
      <c r="C38" s="149"/>
      <c r="D38" s="130" t="s">
        <v>512</v>
      </c>
      <c r="E38" s="54"/>
      <c r="F38" s="54"/>
      <c r="G38" s="54"/>
      <c r="H38" s="55"/>
      <c r="I38" s="8"/>
      <c r="J38" s="8"/>
      <c r="K38" s="8"/>
      <c r="L38" s="8"/>
      <c r="M38" s="8"/>
      <c r="O38" s="149"/>
      <c r="P38" s="149"/>
      <c r="Q38" s="149"/>
      <c r="R38" s="149"/>
    </row>
    <row r="39" spans="1:25" ht="20.100000000000001" customHeight="1" x14ac:dyDescent="0.25">
      <c r="A39" s="5" t="str">
        <f>HYPERLINK("#'6.3.1.1-2 Leach runoff pasture'!A1", "6.3.1.1-2 Leach &amp; runoff (pasture)")</f>
        <v>6.3.1.1-2 Leach &amp; runoff (pasture)</v>
      </c>
      <c r="C39" s="149"/>
      <c r="D39" s="56" t="s">
        <v>469</v>
      </c>
      <c r="E39" s="57"/>
      <c r="F39" s="57"/>
      <c r="G39" s="57"/>
      <c r="H39" s="58"/>
      <c r="I39" s="8"/>
      <c r="J39" s="8"/>
      <c r="K39" s="8"/>
      <c r="L39" s="151"/>
      <c r="M39" s="149"/>
      <c r="N39" s="149"/>
      <c r="O39" s="149"/>
      <c r="P39" s="149"/>
    </row>
    <row r="40" spans="1:25" s="164" customFormat="1" ht="20.100000000000001" customHeight="1" x14ac:dyDescent="0.25">
      <c r="A40" s="5" t="str">
        <f>HYPERLINK("#'8.1.1.1-2 Transport fuel'!A1", "8.1.1.1-2 Transport fuel")</f>
        <v>8.1.1.1-2 Transport fuel</v>
      </c>
      <c r="C40" s="1"/>
      <c r="D40" s="8"/>
      <c r="E40" s="8"/>
      <c r="F40" s="8"/>
      <c r="G40" s="8"/>
      <c r="H40" s="8"/>
      <c r="I40" s="8"/>
      <c r="J40" s="8"/>
      <c r="K40" s="8"/>
      <c r="L40" s="151"/>
      <c r="M40" s="149"/>
      <c r="N40" s="149"/>
      <c r="O40" s="1"/>
      <c r="P40" s="1"/>
      <c r="Q40" s="1"/>
      <c r="R40" s="1"/>
      <c r="S40" s="1"/>
      <c r="T40" s="1"/>
      <c r="U40" s="1"/>
      <c r="V40" s="1"/>
      <c r="W40" s="1"/>
      <c r="X40" s="1"/>
      <c r="Y40" s="1"/>
    </row>
    <row r="41" spans="1:25" s="164" customFormat="1" ht="20.100000000000001" customHeight="1" x14ac:dyDescent="0.25">
      <c r="A41" s="5" t="str">
        <f>HYPERLINK("#'8.2.1.1-2 Stationary fuel'!A1", "8.2.1.1-2 Stationary fuel")</f>
        <v>8.2.1.1-2 Stationary fuel</v>
      </c>
      <c r="C41" s="1"/>
      <c r="D41" s="159" t="s">
        <v>523</v>
      </c>
      <c r="E41" s="159" t="s">
        <v>524</v>
      </c>
      <c r="F41" s="159" t="s">
        <v>525</v>
      </c>
      <c r="G41" s="159" t="s">
        <v>526</v>
      </c>
      <c r="H41" s="159" t="s">
        <v>475</v>
      </c>
      <c r="I41" s="159" t="s">
        <v>527</v>
      </c>
      <c r="J41" s="159" t="s">
        <v>528</v>
      </c>
      <c r="K41" s="151"/>
      <c r="L41" s="1"/>
      <c r="M41" s="1"/>
      <c r="N41" s="1"/>
      <c r="O41" s="1"/>
      <c r="P41" s="1"/>
      <c r="Q41" s="1"/>
      <c r="R41" s="1"/>
      <c r="S41" s="1"/>
      <c r="T41" s="1"/>
      <c r="U41" s="1"/>
      <c r="V41" s="1"/>
      <c r="W41" s="1"/>
      <c r="X41" s="1"/>
      <c r="Y41" s="1"/>
    </row>
    <row r="42" spans="1:25" ht="30" customHeight="1" x14ac:dyDescent="0.25">
      <c r="A42" s="5" t="str">
        <f>HYPERLINK("#'14.1.1-2 Purchased electricity'!A1", "14.1.1-2 Purchased electricity")</f>
        <v>14.1.1-2 Purchased electricity</v>
      </c>
      <c r="D42" s="139" t="s">
        <v>529</v>
      </c>
      <c r="E42" s="161">
        <v>0.3</v>
      </c>
      <c r="F42" s="140">
        <v>10</v>
      </c>
      <c r="G42" s="141">
        <f>Table_Input_OrganicFertiliser[[#This Row],[Amount applied (kg/hectare)]]*Table_Input_OrganicFertiliser[[#This Row],[Percentage of N in fertiliser]]</f>
        <v>3</v>
      </c>
      <c r="H42" s="140">
        <f>X_Cell_Fertiliser_AreaUnderCropping</f>
        <v>1000</v>
      </c>
      <c r="I42" s="141">
        <f>Table_Input_OrganicFertiliser[[#This Row],[Amount applied (kg/hectare)]]*Table_Input_OrganicFertiliser[[#This Row],[Application area (ha)]]</f>
        <v>10000</v>
      </c>
      <c r="J42" s="141">
        <f>IFERROR(Table_Input_OrganicFertiliser[[#This Row],[Amount N applied (kg/hectare)]]*Table_Input_OrganicFertiliser[[#This Row],[Application area (ha)]], 0)</f>
        <v>3000</v>
      </c>
      <c r="K42" s="151"/>
    </row>
    <row r="43" spans="1:25" ht="36" customHeight="1" x14ac:dyDescent="0.25">
      <c r="A43" s="5" t="str">
        <f>HYPERLINK("#'15 Scope 3'!A1", "15 Scope 3")</f>
        <v>15 Scope 3</v>
      </c>
      <c r="D43" s="139" t="s">
        <v>530</v>
      </c>
      <c r="E43" s="161">
        <v>0.25</v>
      </c>
      <c r="F43" s="140">
        <v>10</v>
      </c>
      <c r="G43" s="141">
        <f>Table_Input_OrganicFertiliser[[#This Row],[Amount applied (kg/hectare)]]*Table_Input_OrganicFertiliser[[#This Row],[Percentage of N in fertiliser]]</f>
        <v>2.5</v>
      </c>
      <c r="H43" s="140">
        <f>X_Cell_Fertiliser_AreaUnderCropping</f>
        <v>1000</v>
      </c>
      <c r="I43" s="141">
        <f>Table_Input_OrganicFertiliser[[#This Row],[Amount applied (kg/hectare)]]*Table_Input_OrganicFertiliser[[#This Row],[Application area (ha)]]</f>
        <v>10000</v>
      </c>
      <c r="J43" s="141">
        <f>IFERROR(Table_Input_OrganicFertiliser[[#This Row],[Amount N applied (kg/hectare)]]*Table_Input_OrganicFertiliser[[#This Row],[Application area (ha)]], 0)</f>
        <v>2500</v>
      </c>
    </row>
    <row r="44" spans="1:25" ht="36" customHeight="1" x14ac:dyDescent="0.25">
      <c r="A44" s="5" t="str">
        <f>HYPERLINK("#'Calcs - Manure sent off-site'!A1", "Calcs - Manure sent off-site")</f>
        <v>Calcs - Manure sent off-site</v>
      </c>
      <c r="D44" s="139" t="s">
        <v>531</v>
      </c>
      <c r="E44" s="161">
        <v>0.16</v>
      </c>
      <c r="F44" s="140">
        <v>10</v>
      </c>
      <c r="G44" s="141">
        <f>Table_Input_OrganicFertiliser[[#This Row],[Amount applied (kg/hectare)]]*Table_Input_OrganicFertiliser[[#This Row],[Percentage of N in fertiliser]]</f>
        <v>1.6</v>
      </c>
      <c r="H44" s="140">
        <f>X_Cell_Fertiliser_AreaUnderCropping</f>
        <v>1000</v>
      </c>
      <c r="I44" s="141">
        <f>Table_Input_OrganicFertiliser[[#This Row],[Amount applied (kg/hectare)]]*Table_Input_OrganicFertiliser[[#This Row],[Application area (ha)]]</f>
        <v>10000</v>
      </c>
      <c r="J44" s="141">
        <f>IFERROR(Table_Input_OrganicFertiliser[[#This Row],[Amount N applied (kg/hectare)]]*Table_Input_OrganicFertiliser[[#This Row],[Application area (ha)]], 0)</f>
        <v>1600</v>
      </c>
    </row>
    <row r="45" spans="1:25" ht="36" customHeight="1" x14ac:dyDescent="0.25">
      <c r="A45" s="5" t="str">
        <f>HYPERLINK("#'10.1.1-2 Solid waste treatment'!A1", "10.1.1-2 Solid waste treatment")</f>
        <v>10.1.1-2 Solid waste treatment</v>
      </c>
    </row>
    <row r="46" spans="1:25" ht="36" customHeight="1" x14ac:dyDescent="0.25"/>
    <row r="47" spans="1:25" ht="20.100000000000001" customHeight="1" x14ac:dyDescent="0.25"/>
    <row r="48" spans="1:25"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2"/>
    </row>
  </sheetData>
  <conditionalFormatting sqref="F46 I63:I66 L186 K188 L190:L191 K192:K193 L194:L195 K196:K197 L200:L201 K202:K203 L204:L205 K206:K207 L211:L216 K213">
    <cfRule type="cellIs" dxfId="77" priority="18" operator="lessThan">
      <formula>0</formula>
    </cfRule>
  </conditionalFormatting>
  <conditionalFormatting sqref="F155:F156">
    <cfRule type="cellIs" dxfId="76" priority="14" operator="lessThan">
      <formula>0</formula>
    </cfRule>
  </conditionalFormatting>
  <conditionalFormatting sqref="F167:F168">
    <cfRule type="cellIs" dxfId="75" priority="13" operator="lessThan">
      <formula>0</formula>
    </cfRule>
  </conditionalFormatting>
  <conditionalFormatting sqref="F255:F256">
    <cfRule type="cellIs" dxfId="74" priority="26" operator="lessThan">
      <formula>0</formula>
    </cfRule>
  </conditionalFormatting>
  <conditionalFormatting sqref="F260:F261">
    <cfRule type="cellIs" dxfId="73" priority="25" operator="lessThan">
      <formula>0</formula>
    </cfRule>
  </conditionalFormatting>
  <conditionalFormatting sqref="F265:F266">
    <cfRule type="cellIs" dxfId="72" priority="24" operator="lessThan">
      <formula>0</formula>
    </cfRule>
  </conditionalFormatting>
  <conditionalFormatting sqref="F289:F290">
    <cfRule type="cellIs" dxfId="71" priority="23" operator="lessThan">
      <formula>0</formula>
    </cfRule>
  </conditionalFormatting>
  <conditionalFormatting sqref="F294:F295">
    <cfRule type="cellIs" dxfId="70" priority="22" operator="lessThan">
      <formula>0</formula>
    </cfRule>
  </conditionalFormatting>
  <conditionalFormatting sqref="F299:F300">
    <cfRule type="cellIs" dxfId="69" priority="21" operator="lessThan">
      <formula>0</formula>
    </cfRule>
  </conditionalFormatting>
  <conditionalFormatting sqref="H41 F131:F132">
    <cfRule type="cellIs" dxfId="68"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67" priority="20" operator="lessThan">
      <formula>0</formula>
    </cfRule>
  </conditionalFormatting>
  <conditionalFormatting sqref="I30:I35 F143:F144">
    <cfRule type="cellIs" dxfId="66" priority="15" operator="lessThan">
      <formula>0</formula>
    </cfRule>
  </conditionalFormatting>
  <conditionalFormatting sqref="I70 M107 I129:J129">
    <cfRule type="cellIs" dxfId="65" priority="19" operator="lessThan">
      <formula>0</formula>
    </cfRule>
  </conditionalFormatting>
  <conditionalFormatting sqref="I81:I83">
    <cfRule type="cellIs" dxfId="64" priority="3" operator="lessThan">
      <formula>0</formula>
    </cfRule>
  </conditionalFormatting>
  <conditionalFormatting sqref="I87:I90">
    <cfRule type="cellIs" dxfId="63" priority="2" operator="lessThan">
      <formula>0</formula>
    </cfRule>
  </conditionalFormatting>
  <conditionalFormatting sqref="I94:I98">
    <cfRule type="cellIs" dxfId="62" priority="1" operator="lessThan">
      <formula>0</formula>
    </cfRule>
  </conditionalFormatting>
  <conditionalFormatting sqref="J157">
    <cfRule type="cellIs" dxfId="61" priority="17" operator="lessThan">
      <formula>0</formula>
    </cfRule>
  </conditionalFormatting>
  <conditionalFormatting sqref="L119:L122">
    <cfRule type="cellIs" dxfId="60" priority="7" operator="lessThan">
      <formula>0</formula>
    </cfRule>
  </conditionalFormatting>
  <conditionalFormatting sqref="L125">
    <cfRule type="cellIs" dxfId="59" priority="12" operator="lessThan">
      <formula>0</formula>
    </cfRule>
  </conditionalFormatting>
  <conditionalFormatting sqref="L131:L134">
    <cfRule type="cellIs" dxfId="58" priority="6" operator="lessThan">
      <formula>0</formula>
    </cfRule>
  </conditionalFormatting>
  <conditionalFormatting sqref="L137">
    <cfRule type="cellIs" dxfId="57" priority="11" operator="lessThan">
      <formula>0</formula>
    </cfRule>
  </conditionalFormatting>
  <conditionalFormatting sqref="L143:L146">
    <cfRule type="cellIs" dxfId="56" priority="5" operator="lessThan">
      <formula>0</formula>
    </cfRule>
  </conditionalFormatting>
  <conditionalFormatting sqref="L149">
    <cfRule type="cellIs" dxfId="55" priority="10" operator="lessThan">
      <formula>0</formula>
    </cfRule>
  </conditionalFormatting>
  <conditionalFormatting sqref="L155:L158">
    <cfRule type="cellIs" dxfId="54" priority="4" operator="lessThan">
      <formula>0</formula>
    </cfRule>
  </conditionalFormatting>
  <conditionalFormatting sqref="L161">
    <cfRule type="cellIs" dxfId="53" priority="9" operator="lessThan">
      <formula>0</formula>
    </cfRule>
  </conditionalFormatting>
  <conditionalFormatting sqref="L165:L166">
    <cfRule type="cellIs" dxfId="52" priority="8" operator="lessThan">
      <formula>0</formula>
    </cfRule>
  </conditionalFormatting>
  <conditionalFormatting sqref="L218 L220:L223 L225 J233:J235 J238:J240">
    <cfRule type="cellIs" dxfId="51" priority="27" operator="lessThan">
      <formula>0</formula>
    </cfRule>
  </conditionalFormatting>
  <dataValidations count="9">
    <dataValidation type="list" allowBlank="1" showInputMessage="1" showErrorMessage="1" sqref="Q20:R22" xr:uid="{FAA439DF-4B05-4495-87D3-7E94125426AA}">
      <formula1>INDIRECT("Table_SourceData_Fertiliser_UreaAmmoniaSources[Source]")</formula1>
    </dataValidation>
    <dataValidation type="list" allowBlank="1" showInputMessage="1" showErrorMessage="1" sqref="D12:D16" xr:uid="{99936214-3E16-44CB-82AB-1534F2CE0A4F}">
      <formula1>INDIRECT("FertiliserProducts[Product Name]")</formula1>
    </dataValidation>
    <dataValidation type="list" allowBlank="1" showInputMessage="1" showErrorMessage="1" sqref="D42:D44" xr:uid="{5D99F026-FD81-46CB-8519-261D4019AC9E}">
      <formula1>INDIRECT("Table_SourceData_OrganicFertiliserTypes[Organic fertiliser type]")</formula1>
    </dataValidation>
    <dataValidation type="list" allowBlank="1" showInputMessage="1" showErrorMessage="1" sqref="H20:H22 J20:J22 L20:L22 N20:N22" xr:uid="{C3652C8F-8A51-405A-BDB7-493A74274329}">
      <formula1>INDIRECT("Table_Fertiliser_ChemicalCompounds[Fertiliser type f]")</formula1>
    </dataValidation>
    <dataValidation type="list" allowBlank="1" showInputMessage="1" showErrorMessage="1" sqref="E69" xr:uid="{55B93B6D-1C50-4977-9ECD-B7432400EF54}">
      <formula1>INDIRECT("Table_SourceData_Swine_CropProdSystems[Production system]")</formula1>
    </dataValidation>
    <dataValidation type="list" allowBlank="1" showInputMessage="1" showErrorMessage="1" sqref="E70" xr:uid="{ABA2414F-BC96-4E0F-910A-C1C7689B32B4}">
      <formula1>INDIRECT("Table_SourceData_Swine_IrrigationMethods[Irrigation method]")</formula1>
    </dataValidation>
    <dataValidation type="list" allowBlank="1" showInputMessage="1" showErrorMessage="1" sqref="E254 E259 E264 E298 E293 E288 E166 E154 E130 E142" xr:uid="{23EE73A9-8ED5-4AA6-B643-3F0117F9DFA6}">
      <formula1>"Yes, No"</formula1>
    </dataValidation>
    <dataValidation type="list" allowBlank="1" showInputMessage="1" showErrorMessage="1" sqref="E230" xr:uid="{ED2F860B-4070-43B5-9612-AC331BBC681B}">
      <formula1>INDIRECT("Table_SourceData_Dairy_ProductionSystemTemplates[Area]")</formula1>
    </dataValidation>
    <dataValidation type="list" allowBlank="1" showInputMessage="1" showErrorMessage="1" sqref="D282" xr:uid="{FBC08C04-EA39-4DBD-818A-37D3440B619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217A-61AC-4C71-BF2B-4E8260E88511}">
  <dimension ref="A1:K346"/>
  <sheetViews>
    <sheetView showGridLines="0" topLeftCell="A2"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698</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HYPERLINK("#'Overview'!A1", "Overview")</f>
        <v>Overview</v>
      </c>
    </row>
    <row r="5" spans="1:11" ht="20.100000000000001" customHeight="1" x14ac:dyDescent="0.25">
      <c r="A5" s="5" t="str">
        <f>HYPERLINK("#'Results'!A1", "Results")</f>
        <v>Results</v>
      </c>
      <c r="D5" s="2" t="s">
        <v>699</v>
      </c>
      <c r="E5" s="35"/>
      <c r="F5" s="35"/>
      <c r="G5" s="35"/>
      <c r="H5" s="35"/>
    </row>
    <row r="6" spans="1:11" ht="20.100000000000001" customHeight="1" x14ac:dyDescent="0.25">
      <c r="D6" s="8"/>
      <c r="E6" s="8"/>
      <c r="F6" s="8"/>
      <c r="G6" s="8"/>
      <c r="H6" s="8"/>
      <c r="I6" s="8"/>
      <c r="J6" s="8"/>
    </row>
    <row r="7" spans="1:11" ht="20.100000000000001" customHeight="1" x14ac:dyDescent="0.25">
      <c r="D7" s="1" t="s">
        <v>700</v>
      </c>
    </row>
    <row r="8" spans="1:11" ht="20.100000000000001" customHeight="1" x14ac:dyDescent="0.25">
      <c r="A8" s="7" t="s">
        <v>0</v>
      </c>
      <c r="D8" s="1" t="s">
        <v>701</v>
      </c>
    </row>
    <row r="9" spans="1:11" ht="20.100000000000001" customHeight="1" x14ac:dyDescent="0.25">
      <c r="A9" s="5" t="str">
        <f>HYPERLINK("#'Input - Enterprise'!A1", "Enterprise")</f>
        <v>Enterprise</v>
      </c>
      <c r="D9" s="1" t="s">
        <v>702</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1" t="s">
        <v>703</v>
      </c>
      <c r="E11" s="23" t="s">
        <v>704</v>
      </c>
      <c r="F11" s="26" t="s">
        <v>110</v>
      </c>
    </row>
    <row r="12" spans="1:11" ht="20.100000000000001" customHeight="1" x14ac:dyDescent="0.25">
      <c r="A12" s="5" t="str">
        <f>HYPERLINK("#'Input - Pasture Beef (Enteric)'!A1", "Pasture Beef (Enteric)")</f>
        <v>Pasture Beef (Enteric)</v>
      </c>
    </row>
    <row r="13" spans="1:11" ht="20.100000000000001" customHeight="1" x14ac:dyDescent="0.25">
      <c r="A13" s="5" t="str">
        <f>HYPERLINK("#'Input - Livestock sales'!A1", "Livestock sales")</f>
        <v>Livestock sales</v>
      </c>
      <c r="D13" s="130" t="s">
        <v>670</v>
      </c>
      <c r="E13" s="54"/>
      <c r="F13" s="54"/>
      <c r="G13" s="54"/>
      <c r="H13" s="55"/>
    </row>
    <row r="14" spans="1:11" ht="20.100000000000001" customHeight="1" x14ac:dyDescent="0.25">
      <c r="A14" s="5" t="str">
        <f>HYPERLINK("#'Input - Beef cattle purchases'!A1", "Beef cattle purchases")</f>
        <v>Beef cattle purchases</v>
      </c>
      <c r="D14" s="56" t="s">
        <v>705</v>
      </c>
      <c r="E14" s="57"/>
      <c r="F14" s="57"/>
      <c r="G14" s="57"/>
      <c r="H14" s="58"/>
    </row>
    <row r="15" spans="1:11" ht="20.100000000000001" customHeight="1" x14ac:dyDescent="0.25">
      <c r="A15" s="5" t="str">
        <f>HYPERLINK("#'Input - Pasture'!A1", "Pasture")</f>
        <v>Pasture</v>
      </c>
      <c r="D15" s="8"/>
      <c r="E15" s="8"/>
      <c r="F15" s="8"/>
      <c r="G15" s="8"/>
      <c r="H15" s="8"/>
      <c r="I15" s="8"/>
      <c r="J15" s="8"/>
    </row>
    <row r="16" spans="1:11" ht="20.100000000000001" customHeight="1" x14ac:dyDescent="0.25">
      <c r="A16" s="5" t="str">
        <f>HYPERLINK("#'Input - Fert Prod System'!A1", "Fert Prod System")</f>
        <v>Fert Prod System</v>
      </c>
      <c r="D16" s="112" t="s">
        <v>706</v>
      </c>
      <c r="E16" s="112" t="s">
        <v>707</v>
      </c>
      <c r="F16" s="112" t="s">
        <v>708</v>
      </c>
      <c r="G16" s="112" t="s">
        <v>709</v>
      </c>
      <c r="H16" s="112" t="s">
        <v>710</v>
      </c>
      <c r="I16" s="112" t="s">
        <v>711</v>
      </c>
      <c r="J16" s="112" t="s">
        <v>712</v>
      </c>
    </row>
    <row r="17" spans="1:10" ht="20.100000000000001" customHeight="1" x14ac:dyDescent="0.25">
      <c r="A17" s="5" t="str">
        <f>HYPERLINK("#'Input - Fertiliser'!A1", "Fertiliser")</f>
        <v>Fertiliser</v>
      </c>
      <c r="D17" s="23" t="s">
        <v>713</v>
      </c>
      <c r="E17" s="23" t="s">
        <v>714</v>
      </c>
      <c r="F17" s="192">
        <v>100</v>
      </c>
      <c r="G17" s="25" t="str" cm="1">
        <f t="array" ref="G17">Common_InputFunctions.Utility_LookupValueInTable(Table_Input_Fuel[[#This Row],[Fuel type (select)]],Table_FuelTypes_Units[Fuel type], Table_FuelTypes_Units[Input Unit])</f>
        <v>GJ</v>
      </c>
      <c r="H17" s="193">
        <f>1</f>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95" t="str">
        <f>HYPERLINK("#'Input - Fuel'!A1", "Fuel")</f>
        <v>Fuel</v>
      </c>
      <c r="D18" s="23" t="s">
        <v>713</v>
      </c>
      <c r="E18" s="23" t="s">
        <v>715</v>
      </c>
      <c r="F18" s="192">
        <v>10000</v>
      </c>
      <c r="G18" s="25" t="str" cm="1">
        <f t="array" ref="G18">Common_InputFunctions.Utility_LookupValueInTable(Table_Input_Fuel[[#This Row],[Fuel type (select)]],Table_FuelTypes_Units[Fuel type], Table_FuelTypes_Units[Input Unit])</f>
        <v>L</v>
      </c>
      <c r="H18" s="194">
        <f>1</f>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Electricity'!A1", "Electricity")</f>
        <v>Electricity</v>
      </c>
      <c r="D19" s="23" t="s">
        <v>716</v>
      </c>
      <c r="E19" s="23" t="s">
        <v>717</v>
      </c>
      <c r="F19" s="192">
        <v>10000</v>
      </c>
      <c r="G19" s="25" t="str" cm="1">
        <f t="array" ref="G19">Common_InputFunctions.Utility_LookupValueInTable(Table_Input_Fuel[[#This Row],[Fuel type (select)]],Table_FuelTypes_Units[Fuel type], Table_FuelTypes_Units[Input Unit])</f>
        <v>L</v>
      </c>
      <c r="H19" s="194">
        <f>1</f>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Farm Inputs'!A1", "Farm Inputs")</f>
        <v>Farm Inputs</v>
      </c>
      <c r="D20" s="23" t="s">
        <v>718</v>
      </c>
      <c r="E20" s="23" t="s">
        <v>717</v>
      </c>
      <c r="F20" s="192">
        <v>10000</v>
      </c>
      <c r="G20" s="25" t="str" cm="1">
        <f t="array" ref="G20">Common_InputFunctions.Utility_LookupValueInTable(Table_Input_Fuel[[#This Row],[Fuel type (select)]],Table_FuelTypes_Units[Fuel type], Table_FuelTypes_Units[Input Unit])</f>
        <v>L</v>
      </c>
      <c r="H20" s="194">
        <f>1</f>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Freight'!A1", "Freight")</f>
        <v>Freight</v>
      </c>
      <c r="D21" s="195" t="s">
        <v>719</v>
      </c>
      <c r="E21" s="195" t="s">
        <v>720</v>
      </c>
      <c r="F21" s="192">
        <v>10000</v>
      </c>
      <c r="G21" s="196" t="str" cm="1">
        <f t="array" ref="G21">Common_InputFunctions.Utility_LookupValueInTable(Table_Input_Fuel[[#This Row],[Fuel type (select)]],Table_FuelTypes_Units[Fuel type], Table_FuelTypes_Units[Input Unit])</f>
        <v>L</v>
      </c>
      <c r="H21" s="197">
        <f>1</f>
        <v>1</v>
      </c>
      <c r="I21" s="196">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Manure sent off-site'!A1", "Manure sent off-site")</f>
        <v>Manure sent off-site</v>
      </c>
    </row>
    <row r="23" spans="1:10" ht="20.100000000000001" customHeight="1" x14ac:dyDescent="0.25">
      <c r="A23" s="5" t="str">
        <f>HYPERLINK("#'Input - Solid waste'!A1", "Solid waste")</f>
        <v>Solid waste</v>
      </c>
    </row>
    <row r="24" spans="1:10" ht="20.100000000000001" customHeight="1" x14ac:dyDescent="0.25"/>
    <row r="25" spans="1:10" ht="20.100000000000001" customHeight="1" x14ac:dyDescent="0.25"/>
    <row r="26" spans="1:10" ht="20.100000000000001" customHeight="1" x14ac:dyDescent="0.25">
      <c r="A26" s="6" t="s">
        <v>2</v>
      </c>
    </row>
    <row r="27" spans="1:10" ht="20.100000000000001" customHeight="1" x14ac:dyDescent="0.25">
      <c r="A27" s="5" t="str">
        <f>HYPERLINK("#'3.2.1.1-2 Enteric Methane'!A1", "3.2.1.1-2 Enteric methane")</f>
        <v>3.2.1.1-2 Enteric methane</v>
      </c>
    </row>
    <row r="28" spans="1:10" ht="20.100000000000001" customHeight="1" x14ac:dyDescent="0.25">
      <c r="A28" s="5" t="str">
        <f>HYPERLINK("#'4.2.1.1-2 Methane'!A1", "4.2.1.1-2 Manure methane")</f>
        <v>4.2.1.1-2 Manure methane</v>
      </c>
    </row>
    <row r="29" spans="1:10" ht="20.100000000000001" customHeight="1" x14ac:dyDescent="0.25">
      <c r="A29" s="5" t="str">
        <f>HYPERLINK("#'4.2.1.3-4 Soil direct N20'!A1", "4.2.1.3-4 Soil direct N2O")</f>
        <v>4.2.1.3-4 Soil direct N2O</v>
      </c>
    </row>
    <row r="30" spans="1:10" ht="20.100000000000001" customHeight="1" x14ac:dyDescent="0.25">
      <c r="A30" s="5" t="str">
        <f>HYPERLINK("#'4.2.1.5-6 Soil Atmos Dep'!A1", "4.2.1.5-6 Soil atm. deposition")</f>
        <v>4.2.1.5-6 Soil atm. deposition</v>
      </c>
    </row>
    <row r="31" spans="1:10" ht="20.100000000000001" customHeight="1" x14ac:dyDescent="0.25">
      <c r="A31" s="5" t="str">
        <f>HYPERLINK("#'4.2.1.7-8 Soil leach runoff'!A1", "4.2.1.7-8 Soil leach &amp; runoff")</f>
        <v>4.2.1.7-8 Soil leach &amp; runoff</v>
      </c>
    </row>
    <row r="32" spans="1:10" ht="20.100000000000001" customHeight="1" x14ac:dyDescent="0.25">
      <c r="A32" s="5" t="str">
        <f>HYPERLINK("#'5.1.1.1-2 Inorganic fert N2O'!A1", "5.1.1.1-2 Inorganic fert N2O")</f>
        <v>5.1.1.1-2 Inorganic fert N2O</v>
      </c>
    </row>
    <row r="33" spans="1:11" ht="20.100000000000001" customHeight="1" x14ac:dyDescent="0.25">
      <c r="A33" s="5" t="str">
        <f>HYPERLINK("#'5.1.1.3-4 Inorganic fert CO2'!A1", "5.1.1.3-4 Inorganic fert CO2")</f>
        <v>5.1.1.3-4 Inorganic fert CO2</v>
      </c>
    </row>
    <row r="34" spans="1:11" ht="20.100000000000001" customHeight="1" x14ac:dyDescent="0.25">
      <c r="A34" s="5" t="str">
        <f>HYPERLINK("#'5.2.1.1-2 Organic Fert N2O'!A1", "5.2.1.1-2 Organic fert N2O")</f>
        <v>5.2.1.1-2 Organic fert N2O</v>
      </c>
    </row>
    <row r="35" spans="1:11" ht="20.100000000000001" customHeight="1" x14ac:dyDescent="0.25">
      <c r="A35" s="5" t="str">
        <f>HYPERLINK("#'5.3.1.1-2 Lime CO2'!A1", "5.3.1.1-2 Lime CO2")</f>
        <v>5.3.1.1-2 Lime CO2</v>
      </c>
    </row>
    <row r="36" spans="1:11" ht="20.100000000000001" customHeight="1" x14ac:dyDescent="0.25">
      <c r="A36" s="5" t="str">
        <f>HYPERLINK("#'5.4.1.1-4 Atmos deposition'!A1", "5.4.1.1-4 Atmos. deposition")</f>
        <v>5.4.1.1-4 Atmos. deposition</v>
      </c>
    </row>
    <row r="37" spans="1:11" ht="20.100000000000001" customHeight="1" x14ac:dyDescent="0.25">
      <c r="A37" s="5" t="str">
        <f>HYPERLINK("#'5.5.1.1-2 Leaching and runoff'!A1", "5.5.1.1-2 Leaching &amp; runoff")</f>
        <v>5.5.1.1-2 Leaching &amp; runoff</v>
      </c>
    </row>
    <row r="38" spans="1:11" ht="20.100000000000001" customHeight="1" x14ac:dyDescent="0.25">
      <c r="A38" s="5" t="str">
        <f>HYPERLINK("#'6.2.1.1-2 Pasture residue N2O'!A1", "6.2.1.1-2 Pasture residue N2O")</f>
        <v>6.2.1.1-2 Pasture residue N2O</v>
      </c>
      <c r="C38" s="149"/>
      <c r="K38" s="149"/>
    </row>
    <row r="39" spans="1:11" ht="20.100000000000001" customHeight="1" x14ac:dyDescent="0.25">
      <c r="A39" s="5" t="str">
        <f>HYPERLINK("#'6.3.1.1-2 Leach runoff pasture'!A1", "6.3.1.1-2 Leach &amp; runoff (pasture)")</f>
        <v>6.3.1.1-2 Leach &amp; runoff (pasture)</v>
      </c>
      <c r="C39" s="149"/>
      <c r="K39" s="149"/>
    </row>
    <row r="40" spans="1:11" s="164" customFormat="1" ht="20.100000000000001" customHeight="1" x14ac:dyDescent="0.25">
      <c r="A40" s="5" t="str">
        <f>HYPERLINK("#'8.1.1.1-2 Transport fuel'!A1", "8.1.1.1-2 Transport fuel")</f>
        <v>8.1.1.1-2 Transport fuel</v>
      </c>
      <c r="C40" s="1"/>
      <c r="D40" s="1"/>
      <c r="E40" s="1"/>
      <c r="F40" s="1"/>
      <c r="G40" s="1"/>
      <c r="H40" s="1"/>
      <c r="I40" s="1"/>
      <c r="J40" s="1"/>
      <c r="K40" s="1"/>
    </row>
    <row r="41" spans="1:11" s="164" customFormat="1" ht="20.100000000000001" customHeight="1" x14ac:dyDescent="0.25">
      <c r="A41" s="5" t="str">
        <f>HYPERLINK("#'8.2.1.1-2 Stationary fuel'!A1", "8.2.1.1-2 Stationary fuel")</f>
        <v>8.2.1.1-2 Stationary fuel</v>
      </c>
      <c r="C41" s="1"/>
      <c r="D41" s="1"/>
      <c r="E41" s="1"/>
      <c r="F41" s="1"/>
      <c r="G41" s="1"/>
      <c r="H41" s="1"/>
      <c r="I41" s="1"/>
      <c r="J41" s="1"/>
      <c r="K41" s="1"/>
    </row>
    <row r="42" spans="1:11" ht="20.100000000000001" customHeight="1" x14ac:dyDescent="0.25">
      <c r="A42" s="5" t="str">
        <f>HYPERLINK("#'14.1.1-2 Purchased electricity'!A1", "14.1.1-2 Purchased electricity")</f>
        <v>14.1.1-2 Purchased electricity</v>
      </c>
    </row>
    <row r="43" spans="1:11" ht="20.100000000000001" customHeight="1" x14ac:dyDescent="0.25">
      <c r="A43" s="5" t="str">
        <f>HYPERLINK("#'15 Scope 3'!A1", "15 Scope 3")</f>
        <v>15 Scope 3</v>
      </c>
    </row>
    <row r="44" spans="1:11" ht="20.100000000000001" customHeight="1" x14ac:dyDescent="0.25">
      <c r="A44" s="5" t="str">
        <f>HYPERLINK("#'Calcs - Manure sent off-site'!A1", "Calcs - Manure sent off-site")</f>
        <v>Calcs - Manure sent off-site</v>
      </c>
    </row>
    <row r="45" spans="1:11" ht="20.100000000000001" customHeight="1" x14ac:dyDescent="0.25">
      <c r="A45" s="5" t="str">
        <f>HYPERLINK("#'10.1.1-2 Solid waste treatment'!A1", "10.1.1-2 Solid waste treatment")</f>
        <v>10.1.1-2 Solid waste treatment</v>
      </c>
    </row>
    <row r="46" spans="1:11" ht="20.100000000000001" customHeight="1" x14ac:dyDescent="0.25"/>
    <row r="47" spans="1:11" ht="20.100000000000001" customHeight="1" x14ac:dyDescent="0.25"/>
    <row r="48" spans="1:11"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2"/>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96BC208B-9BCB-40EC-8943-08A73FB8CD54}">
      <formula1>_xlfn.TRIMRANGE(INDIRECT("Table_FuelTypesPerUse["&amp;D17&amp;"]"))</formula1>
    </dataValidation>
    <dataValidation type="list" allowBlank="1" showInputMessage="1" showErrorMessage="1" sqref="D17:D21" xr:uid="{BBC68C33-BBA0-4F96-A02D-33C94B99EECA}">
      <formula1>INDIRECT("Table_FuelTypesPerUse[#Headers]")</formula1>
    </dataValidation>
    <dataValidation type="list" allowBlank="1" showInputMessage="1" showErrorMessage="1" sqref="E11" xr:uid="{301735E2-791C-4D0D-8B21-9D311AEF8CBA}">
      <formula1>"Metro, Non-metro"</formula1>
    </dataValidation>
    <dataValidation type="list" allowBlank="1" showInputMessage="1" showErrorMessage="1" sqref="D29:D30" xr:uid="{D61B8CB2-9797-420E-80E4-1C71B4E0E00B}">
      <formula1>INDIRECT("Table_SourceData_OrganicFertiliserTypes[Organic fertiliser type]")</formula1>
    </dataValidation>
    <dataValidation type="list" allowBlank="1" showInputMessage="1" showErrorMessage="1" sqref="E49" xr:uid="{A8E71B94-4529-4082-AB55-C3DC6E6E4D01}">
      <formula1>INDIRECT("Table_SourceData_Swine_CropProdSystems[Production system]")</formula1>
    </dataValidation>
    <dataValidation type="list" allowBlank="1" showInputMessage="1" showErrorMessage="1" sqref="E50" xr:uid="{EDDAA39E-0336-4466-A606-481487026DA4}">
      <formula1>INDIRECT("Table_SourceData_Swine_IrrigationMethods[Irrigation method]")</formula1>
    </dataValidation>
    <dataValidation type="list" allowBlank="1" showInputMessage="1" showErrorMessage="1" sqref="E234 E239 E244 E278 E273 E268 E146 E134 E110 E122" xr:uid="{4E53F444-1860-46FE-B869-6D87C9263CA6}">
      <formula1>"Yes, No"</formula1>
    </dataValidation>
    <dataValidation type="list" allowBlank="1" showInputMessage="1" showErrorMessage="1" sqref="E210" xr:uid="{8EE30FB1-793D-40EB-A52F-A89EE157671A}">
      <formula1>INDIRECT("Table_SourceData_Dairy_ProductionSystemTemplates[Area]")</formula1>
    </dataValidation>
    <dataValidation type="list" allowBlank="1" showInputMessage="1" showErrorMessage="1" sqref="D262" xr:uid="{FA2FD5E8-4EAE-4E6B-B210-A8E038947CEC}">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9B7C-766E-4817-8D0C-DB3F9E83B670}">
  <dimension ref="A1:L365"/>
  <sheetViews>
    <sheetView showGridLines="0" topLeftCell="A24"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651</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c r="D5" s="1" t="s">
        <v>652</v>
      </c>
      <c r="E5" s="23" t="s">
        <v>653</v>
      </c>
      <c r="F5" s="26" t="s">
        <v>110</v>
      </c>
    </row>
    <row r="6" spans="1:10" ht="20.100000000000001" customHeight="1" x14ac:dyDescent="0.25">
      <c r="E6" s="92"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114"/>
      <c r="D8" s="114"/>
      <c r="E8" s="114"/>
      <c r="F8" s="114"/>
      <c r="G8" s="114"/>
      <c r="H8" s="114"/>
      <c r="I8" s="114"/>
      <c r="J8" s="114"/>
    </row>
    <row r="9" spans="1:10" ht="20.100000000000001" customHeight="1" x14ac:dyDescent="0.25">
      <c r="A9" s="5" t="str">
        <f>HYPERLINK("#'Input - Enterprise'!A1", "Enterprise")</f>
        <v>Enterprise</v>
      </c>
      <c r="D9" s="2" t="s">
        <v>654</v>
      </c>
    </row>
    <row r="10" spans="1:10" ht="20.100000000000001" customHeight="1" x14ac:dyDescent="0.25">
      <c r="A10" s="5" t="str">
        <f>HYPERLINK("#'Input - Site'!A1", "Site")</f>
        <v>Site</v>
      </c>
    </row>
    <row r="11" spans="1:10" ht="20.100000000000001" customHeight="1" x14ac:dyDescent="0.25">
      <c r="A11" s="5" t="str">
        <f>HYPERLINK("#'Input - Pasture Beef'!A1", "Pasture Beef")</f>
        <v>Pasture Beef</v>
      </c>
      <c r="D11" s="91" t="s">
        <v>655</v>
      </c>
    </row>
    <row r="12" spans="1:10" ht="20.100000000000001" customHeight="1" x14ac:dyDescent="0.25">
      <c r="A12" s="5" t="str">
        <f>HYPERLINK("#'Input - Pasture Beef (Enteric)'!A1", "Pasture Beef (Enteric)")</f>
        <v>Pasture Beef (Enteric)</v>
      </c>
    </row>
    <row r="13" spans="1:10" ht="20.100000000000001" customHeight="1" x14ac:dyDescent="0.25">
      <c r="A13" s="5" t="str">
        <f>HYPERLINK("#'Input - Livestock sales'!A1", "Livestock sales")</f>
        <v>Livestock sales</v>
      </c>
      <c r="D13" s="46" t="s">
        <v>656</v>
      </c>
      <c r="E13" s="49"/>
      <c r="F13" s="8"/>
    </row>
    <row r="14" spans="1:10" ht="20.100000000000001" customHeight="1" x14ac:dyDescent="0.25">
      <c r="A14" s="5" t="str">
        <f>HYPERLINK("#'Input - Beef cattle purchases'!A1", "Beef cattle purchases")</f>
        <v>Beef cattle purchases</v>
      </c>
      <c r="D14" s="8"/>
      <c r="E14" s="8"/>
      <c r="F14" s="8"/>
    </row>
    <row r="15" spans="1:10" ht="20.100000000000001" customHeight="1" x14ac:dyDescent="0.25">
      <c r="A15" s="5" t="str">
        <f>HYPERLINK("#'Input - Pasture'!A1", "Pasture")</f>
        <v>Pasture</v>
      </c>
      <c r="D15" s="1" t="s">
        <v>657</v>
      </c>
      <c r="E15" s="184">
        <v>30000</v>
      </c>
      <c r="F15" s="26" t="s">
        <v>658</v>
      </c>
    </row>
    <row r="16" spans="1:10" ht="20.100000000000001" customHeight="1" x14ac:dyDescent="0.25">
      <c r="A16" s="5" t="str">
        <f>HYPERLINK("#'Input - Fert Prod System'!A1", "Fert Prod System")</f>
        <v>Fert Prod System</v>
      </c>
      <c r="D16" s="1" t="s">
        <v>659</v>
      </c>
      <c r="E16" s="25" t="str">
        <f>IF(X_Cell_Site_State="Western Australia", X_Cell_Site_Region, X_Cell_Site_State)</f>
        <v>Western Australia - Outback (South)</v>
      </c>
      <c r="F16" s="8"/>
    </row>
    <row r="17" spans="1:11" ht="20.100000000000001" customHeight="1" x14ac:dyDescent="0.25">
      <c r="A17" s="5" t="str">
        <f>HYPERLINK("#'Input - Fertiliser'!A1", "Fertiliser")</f>
        <v>Fertiliser</v>
      </c>
      <c r="D17" s="1" t="s">
        <v>660</v>
      </c>
      <c r="E17" s="23" t="s">
        <v>661</v>
      </c>
      <c r="F17" s="26" t="s">
        <v>110</v>
      </c>
    </row>
    <row r="18" spans="1:11" ht="20.100000000000001" customHeight="1" x14ac:dyDescent="0.25">
      <c r="A18" s="5" t="str">
        <f>HYPERLINK("#'Input - Fuel'!A1", "Fuel")</f>
        <v>Fuel</v>
      </c>
    </row>
    <row r="19" spans="1:11" ht="20.100000000000001" customHeight="1" x14ac:dyDescent="0.25">
      <c r="A19" s="95" t="str">
        <f>HYPERLINK("#'Input - Electricity'!A1", "Electricity")</f>
        <v>Electricity</v>
      </c>
    </row>
    <row r="20" spans="1:11" ht="20.100000000000001" customHeight="1" x14ac:dyDescent="0.25">
      <c r="A20" s="5" t="str">
        <f>HYPERLINK("#'Input - Farm Inputs'!A1", "Farm Inputs")</f>
        <v>Farm Inputs</v>
      </c>
      <c r="C20" s="114"/>
      <c r="D20" s="114"/>
      <c r="E20" s="114"/>
      <c r="F20" s="114"/>
      <c r="G20" s="114"/>
      <c r="H20" s="114"/>
      <c r="I20" s="114"/>
      <c r="J20" s="114"/>
    </row>
    <row r="21" spans="1:11" ht="20.100000000000001" customHeight="1" x14ac:dyDescent="0.25">
      <c r="A21" s="5" t="str">
        <f>HYPERLINK("#'Input - Freight'!A1", "Freight")</f>
        <v>Freight</v>
      </c>
      <c r="D21" s="2" t="s">
        <v>662</v>
      </c>
    </row>
    <row r="22" spans="1:11" ht="20.100000000000001" customHeight="1" x14ac:dyDescent="0.25">
      <c r="A22" s="5" t="str">
        <f>HYPERLINK("#'Input - Manure sent off-site'!A1", "Manure sent off-site")</f>
        <v>Manure sent off-site</v>
      </c>
      <c r="E22" s="92" t="str">
        <f>IF(E16="ACT", "", "ALERT: Your farm is not in the ACT, so the JRPP is not applicable")</f>
        <v>ALERT: Your farm is not in the ACT, so the JRPP is not applicable</v>
      </c>
    </row>
    <row r="23" spans="1:11" ht="20.100000000000001" customHeight="1" x14ac:dyDescent="0.25">
      <c r="A23" s="5" t="str">
        <f>HYPERLINK("#'Input - Solid waste'!A1", "Solid waste")</f>
        <v>Solid waste</v>
      </c>
      <c r="D23" s="1" t="s">
        <v>663</v>
      </c>
      <c r="E23" s="184">
        <v>30000</v>
      </c>
      <c r="F23" s="26" t="s">
        <v>658</v>
      </c>
    </row>
    <row r="24" spans="1:11" ht="20.100000000000001" customHeight="1" x14ac:dyDescent="0.25">
      <c r="D24" s="1" t="s">
        <v>664</v>
      </c>
      <c r="E24" s="28">
        <v>0.1</v>
      </c>
      <c r="F24" s="26" t="s">
        <v>172</v>
      </c>
    </row>
    <row r="25" spans="1:11" ht="20.100000000000001" customHeight="1" x14ac:dyDescent="0.25">
      <c r="D25" s="1" t="s">
        <v>665</v>
      </c>
      <c r="E25" s="28">
        <v>0.1</v>
      </c>
      <c r="F25" s="26" t="s">
        <v>172</v>
      </c>
    </row>
    <row r="26" spans="1:11" ht="20.100000000000001" customHeight="1" x14ac:dyDescent="0.25">
      <c r="A26" s="6" t="s">
        <v>2</v>
      </c>
    </row>
    <row r="27" spans="1:11" ht="20.100000000000001" customHeight="1" x14ac:dyDescent="0.25">
      <c r="A27" s="5" t="str">
        <f>HYPERLINK("#'3.2.1.1-2 Enteric Methane'!A1", "3.2.1.1-2 Enteric methane")</f>
        <v>3.2.1.1-2 Enteric methane</v>
      </c>
      <c r="D27" s="1" t="s">
        <v>666</v>
      </c>
      <c r="E27" s="184">
        <v>10000</v>
      </c>
      <c r="F27" s="26" t="s">
        <v>658</v>
      </c>
    </row>
    <row r="28" spans="1:11" ht="20.100000000000001" customHeight="1" x14ac:dyDescent="0.25">
      <c r="A28" s="5" t="str">
        <f>HYPERLINK("#'4.2.1.1-2 Methane'!A1", "4.2.1.1-2 Manure methane")</f>
        <v>4.2.1.1-2 Manure methane</v>
      </c>
    </row>
    <row r="29" spans="1:11" ht="20.100000000000001" customHeight="1" x14ac:dyDescent="0.25">
      <c r="A29" s="5" t="str">
        <f>HYPERLINK("#'4.2.1.3-4 Soil direct N20'!A1", "4.2.1.3-4 Soil direct N2O")</f>
        <v>4.2.1.3-4 Soil direct N2O</v>
      </c>
      <c r="D29" s="1" t="s">
        <v>667</v>
      </c>
      <c r="E29" s="185" t="str">
        <f>TEXT(X_Cell_Site_StartDate, "dd mmm yyyy")</f>
        <v>01 Jan 2024</v>
      </c>
      <c r="K29" s="164"/>
    </row>
    <row r="30" spans="1:11" ht="20.100000000000001" customHeight="1" x14ac:dyDescent="0.25">
      <c r="A30" s="5" t="str">
        <f>HYPERLINK("#'4.2.1.5-6 Soil Atmos Dep'!A1", "4.2.1.5-6 Soil atm. deposition")</f>
        <v>4.2.1.5-6 Soil atm. deposition</v>
      </c>
      <c r="D30" s="1" t="s">
        <v>668</v>
      </c>
      <c r="E30" s="185" t="str">
        <f>TEXT(X_Cell_Site_EndDate, "dd mmm yyyy")</f>
        <v>02 Nov 1900</v>
      </c>
      <c r="K30" s="164"/>
    </row>
    <row r="31" spans="1:11" ht="20.100000000000001" customHeight="1" x14ac:dyDescent="0.25">
      <c r="A31" s="5" t="str">
        <f>HYPERLINK("#'4.2.1.7-8 Soil leach runoff'!A1", "4.2.1.7-8 Soil leach &amp; runoff")</f>
        <v>4.2.1.7-8 Soil leach &amp; runoff</v>
      </c>
      <c r="K31" s="164"/>
    </row>
    <row r="32" spans="1:11" ht="20.100000000000001" customHeight="1" x14ac:dyDescent="0.25">
      <c r="A32" s="5" t="str">
        <f>HYPERLINK("#'5.1.1.1-2 Inorganic fert N2O'!A1", "5.1.1.1-2 Inorganic fert N2O")</f>
        <v>5.1.1.1-2 Inorganic fert N2O</v>
      </c>
      <c r="D32" s="91" t="s">
        <v>669</v>
      </c>
      <c r="K32" s="164"/>
    </row>
    <row r="33" spans="1:12" ht="20.100000000000001" customHeight="1" x14ac:dyDescent="0.25">
      <c r="A33" s="5" t="str">
        <f>HYPERLINK("#'5.1.1.3-4 Inorganic fert CO2'!A1", "5.1.1.3-4 Inorganic fert CO2")</f>
        <v>5.1.1.3-4 Inorganic fert CO2</v>
      </c>
      <c r="K33" s="164"/>
    </row>
    <row r="34" spans="1:12" ht="20.100000000000001" customHeight="1" x14ac:dyDescent="0.25">
      <c r="A34" s="5" t="str">
        <f>HYPERLINK("#'5.2.1.1-2 Organic Fert N2O'!A1", "5.2.1.1-2 Organic fert N2O")</f>
        <v>5.2.1.1-2 Organic fert N2O</v>
      </c>
      <c r="D34" s="46" t="s">
        <v>670</v>
      </c>
      <c r="E34" s="49"/>
      <c r="K34" s="164"/>
    </row>
    <row r="35" spans="1:12" ht="20.100000000000001" customHeight="1" x14ac:dyDescent="0.25">
      <c r="A35" s="5" t="str">
        <f>HYPERLINK("#'5.3.1.1-2 Lime CO2'!A1", "5.3.1.1-2 Lime CO2")</f>
        <v>5.3.1.1-2 Lime CO2</v>
      </c>
    </row>
    <row r="36" spans="1:12" ht="20.100000000000001" customHeight="1" x14ac:dyDescent="0.25">
      <c r="A36" s="5" t="str">
        <f>HYPERLINK("#'5.4.1.1-4 Atmos deposition'!A1", "5.4.1.1-4 Atmos. deposition")</f>
        <v>5.4.1.1-4 Atmos. deposition</v>
      </c>
      <c r="D36" s="112" t="s">
        <v>671</v>
      </c>
      <c r="E36" s="112" t="s">
        <v>672</v>
      </c>
      <c r="F36" s="112" t="s">
        <v>673</v>
      </c>
      <c r="G36" s="112" t="s">
        <v>674</v>
      </c>
      <c r="H36" s="112" t="s">
        <v>675</v>
      </c>
      <c r="I36" s="112" t="s">
        <v>676</v>
      </c>
      <c r="L36" s="164"/>
    </row>
    <row r="37" spans="1:12" ht="20.100000000000001" customHeight="1" x14ac:dyDescent="0.25">
      <c r="A37" s="5" t="str">
        <f>HYPERLINK("#'5.5.1.1-2 Leaching and runoff'!A1", "5.5.1.1-2 Leaching &amp; runoff")</f>
        <v>5.5.1.1-2 Leaching &amp; runoff</v>
      </c>
      <c r="D37" s="30" t="s">
        <v>677</v>
      </c>
      <c r="E37" s="23" t="s">
        <v>678</v>
      </c>
      <c r="F37" s="186">
        <v>44185</v>
      </c>
      <c r="G37" s="30">
        <v>12</v>
      </c>
      <c r="H37" s="25">
        <f>Table_Input_RECSurrendered[[#This Row],[Number of certificates]]</f>
        <v>12</v>
      </c>
      <c r="I37" s="25" t="e">
        <f>IF(DATEDIF(Table_Input_RECSurrendered[[#This Row],[Generation date]],DATEVALUE($E$30),"M")&gt;36,"Ineligible - older than 36 months","Elegible")</f>
        <v>#NUM!</v>
      </c>
      <c r="L37" s="164"/>
    </row>
    <row r="38" spans="1:12" ht="20.100000000000001" customHeight="1" x14ac:dyDescent="0.25">
      <c r="A38" s="5" t="str">
        <f>HYPERLINK("#'6.2.1.1-2 Pasture residue N2O'!A1", "6.2.1.1-2 Pasture residue N2O")</f>
        <v>6.2.1.1-2 Pasture residue N2O</v>
      </c>
      <c r="D38" s="30" t="s">
        <v>679</v>
      </c>
      <c r="E38" s="23" t="s">
        <v>680</v>
      </c>
      <c r="F38" s="186">
        <v>44575</v>
      </c>
      <c r="G38" s="30">
        <v>5</v>
      </c>
      <c r="H38" s="25">
        <f>Table_Input_RECSurrendered[[#This Row],[Number of certificates]]</f>
        <v>5</v>
      </c>
      <c r="I38" s="25" t="e">
        <f>IF(DATEDIF(Table_Input_RECSurrendered[[#This Row],[Generation date]],DATEVALUE($E$30),"M")&gt;36,"Ineligible - older than 36 months","Elegible")</f>
        <v>#NUM!</v>
      </c>
    </row>
    <row r="39" spans="1:12" ht="20.100000000000001" customHeight="1" x14ac:dyDescent="0.25">
      <c r="A39" s="5" t="str">
        <f>HYPERLINK("#'6.3.1.1-2 Leach runoff pasture'!A1", "6.3.1.1-2 Leach &amp; runoff (pasture)")</f>
        <v>6.3.1.1-2 Leach &amp; runoff (pasture)</v>
      </c>
      <c r="D39" s="30" t="s">
        <v>681</v>
      </c>
      <c r="E39" s="23" t="s">
        <v>678</v>
      </c>
      <c r="F39" s="186">
        <v>45438</v>
      </c>
      <c r="G39" s="30">
        <v>5</v>
      </c>
      <c r="H39" s="25">
        <f>Table_Input_RECSurrendered[[#This Row],[Number of certificates]]</f>
        <v>5</v>
      </c>
      <c r="I39" s="25" t="e">
        <f>IF(DATEDIF(Table_Input_RECSurrendered[[#This Row],[Generation date]],DATEVALUE($E$30),"M")&gt;36,"Ineligible - older than 36 months","Elegible")</f>
        <v>#NUM!</v>
      </c>
    </row>
    <row r="40" spans="1:12" s="164" customFormat="1" ht="20.100000000000001" customHeight="1" x14ac:dyDescent="0.25">
      <c r="A40" s="5" t="str">
        <f>HYPERLINK("#'8.1.1.1-2 Transport fuel'!A1", "8.1.1.1-2 Transport fuel")</f>
        <v>8.1.1.1-2 Transport fuel</v>
      </c>
      <c r="C40" s="1"/>
      <c r="D40" s="1"/>
      <c r="E40" s="1"/>
      <c r="F40" s="1"/>
      <c r="G40" s="1"/>
      <c r="H40" s="1"/>
      <c r="I40" s="1"/>
      <c r="J40" s="1"/>
    </row>
    <row r="41" spans="1:12" s="164" customFormat="1" ht="20.100000000000001" customHeight="1" x14ac:dyDescent="0.25">
      <c r="A41" s="5" t="str">
        <f>HYPERLINK("#'8.2.1.1-2 Stationary fuel'!A1", "8.2.1.1-2 Stationary fuel")</f>
        <v>8.2.1.1-2 Stationary fuel</v>
      </c>
      <c r="C41" s="1"/>
      <c r="D41" s="1" t="s">
        <v>682</v>
      </c>
      <c r="E41" s="25">
        <f>SUMIF(Table_Input_RECSurrendered[Elegibility], "Elegible", Table_Input_RECSurrendered[MWh])</f>
        <v>0</v>
      </c>
      <c r="F41" s="26" t="s">
        <v>675</v>
      </c>
      <c r="G41" s="1"/>
      <c r="H41" s="1"/>
      <c r="I41" s="1"/>
      <c r="J41" s="1"/>
      <c r="L41" s="164" t="s">
        <v>683</v>
      </c>
    </row>
    <row r="42" spans="1:12" ht="20.100000000000001" customHeight="1" x14ac:dyDescent="0.25">
      <c r="A42" s="5" t="str">
        <f>HYPERLINK("#'14.1.1-2 Purchased electricity'!A1", "14.1.1-2 Purchased electricity")</f>
        <v>14.1.1-2 Purchased electricity</v>
      </c>
      <c r="C42" s="149"/>
    </row>
    <row r="43" spans="1:12" ht="20.100000000000001" customHeight="1" x14ac:dyDescent="0.25">
      <c r="A43" s="5" t="str">
        <f>HYPERLINK("#'15 Scope 3'!A1", "15 Scope 3")</f>
        <v>15 Scope 3</v>
      </c>
      <c r="C43" s="149"/>
      <c r="D43" s="91" t="s">
        <v>684</v>
      </c>
      <c r="J43" s="149"/>
    </row>
    <row r="44" spans="1:12" ht="20.100000000000001" customHeight="1" x14ac:dyDescent="0.25">
      <c r="A44" s="5" t="str">
        <f>HYPERLINK("#'Calcs - Manure sent off-site'!A1", "Calcs - Manure sent off-site")</f>
        <v>Calcs - Manure sent off-site</v>
      </c>
    </row>
    <row r="45" spans="1:12" ht="20.100000000000001" customHeight="1" x14ac:dyDescent="0.25">
      <c r="A45" s="5" t="str">
        <f>HYPERLINK("#'10.1.1-2 Solid waste treatment'!A1", "10.1.1-2 Solid waste treatment")</f>
        <v>10.1.1-2 Solid waste treatment</v>
      </c>
      <c r="D45" s="112" t="s">
        <v>671</v>
      </c>
      <c r="E45" s="112" t="s">
        <v>622</v>
      </c>
      <c r="F45" s="112" t="s">
        <v>673</v>
      </c>
      <c r="G45" s="112" t="s">
        <v>674</v>
      </c>
      <c r="H45" s="112" t="s">
        <v>675</v>
      </c>
      <c r="I45" s="112" t="s">
        <v>676</v>
      </c>
    </row>
    <row r="46" spans="1:12" ht="20.100000000000001" customHeight="1" x14ac:dyDescent="0.25">
      <c r="D46" s="30" t="s">
        <v>685</v>
      </c>
      <c r="E46" s="187" t="str">
        <f>"Issued for generated electricity"</f>
        <v>Issued for generated electricity</v>
      </c>
      <c r="F46" s="186">
        <v>44697</v>
      </c>
      <c r="G46" s="30">
        <v>10</v>
      </c>
      <c r="H46" s="25">
        <f>Table_Input_RECConsumedByEntity[[#This Row],[Number of certificates]]</f>
        <v>10</v>
      </c>
      <c r="I46" s="2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30" t="s">
        <v>686</v>
      </c>
      <c r="E47" s="187" t="str">
        <f>"Issued for generated electricity"</f>
        <v>Issued for generated electricity</v>
      </c>
      <c r="F47" s="186">
        <v>45483</v>
      </c>
      <c r="G47" s="30">
        <v>4</v>
      </c>
      <c r="H47" s="25">
        <f>Table_Input_RECConsumedByEntity[[#This Row],[Number of certificates]]</f>
        <v>4</v>
      </c>
      <c r="I47" s="2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5">
      <c r="A48" s="97" t="s">
        <v>1</v>
      </c>
      <c r="D48" s="188">
        <v>45597</v>
      </c>
      <c r="E48" s="187" t="str">
        <f>"Issued for generated electricity"</f>
        <v>Issued for generated electricity</v>
      </c>
      <c r="F48" s="186">
        <v>45607</v>
      </c>
      <c r="G48" s="30">
        <v>7</v>
      </c>
      <c r="H48" s="25">
        <f>Table_Input_RECConsumedByEntity[[#This Row],[Number of certificates]]</f>
        <v>7</v>
      </c>
      <c r="I48" s="2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5">
      <c r="A49" s="5" t="str">
        <f>HYPERLINK("#'Constants - Pasture Beef'!A1", "Constants - Pasture Beef")</f>
        <v>Constants - Pasture Beef</v>
      </c>
    </row>
    <row r="50" spans="1:6" ht="20.100000000000001" customHeight="1" x14ac:dyDescent="0.25">
      <c r="A50" s="5" t="str">
        <f>HYPERLINK("#'Constants - Ag Residue'!A1", "Constants - Ag residue")</f>
        <v>Constants - Ag residue</v>
      </c>
      <c r="D50" s="1" t="s">
        <v>687</v>
      </c>
      <c r="E50" s="25">
        <f>SUMIF(Table_Input_RECConsumedByEntity[Elegibility], "Elegible", Table_Input_RECConsumedByEntity[Number of certificates])</f>
        <v>0</v>
      </c>
      <c r="F50" s="26" t="s">
        <v>675</v>
      </c>
    </row>
    <row r="51" spans="1:6" ht="20.100000000000001" customHeight="1" x14ac:dyDescent="0.25">
      <c r="A51" s="5" t="str">
        <f>HYPERLINK("#'Constants - Common Livestock'!A1", "Constants - Common Livestock")</f>
        <v>Constants - Common Livestock</v>
      </c>
    </row>
    <row r="52" spans="1:6" ht="20.100000000000001" customHeight="1" x14ac:dyDescent="0.25">
      <c r="A52" s="5" t="str">
        <f>HYPERLINK("#'Constants - Electricity'!A1", "Constants - Electricity")</f>
        <v>Constants - Electricity</v>
      </c>
    </row>
    <row r="53" spans="1:6" ht="20.100000000000001" customHeight="1" x14ac:dyDescent="0.25">
      <c r="A53" s="5" t="str">
        <f>HYPERLINK("#'Constants - Fertiliser'!A1", "Constants - Fertiliser")</f>
        <v>Constants - Fertiliser</v>
      </c>
    </row>
    <row r="54" spans="1:6" ht="20.100000000000001" customHeight="1" x14ac:dyDescent="0.25">
      <c r="A54" s="5" t="str">
        <f>HYPERLINK("#'Constants - Fuel'!A1", "Constants - Fuel")</f>
        <v>Constants - Fuel</v>
      </c>
    </row>
    <row r="55" spans="1:6" ht="20.100000000000001" customHeight="1" x14ac:dyDescent="0.25">
      <c r="A55" s="5" t="str">
        <f>HYPERLINK("#'Constants - Scope 3'!A1", "Constants - Scope 3")</f>
        <v>Constants - Scope 3</v>
      </c>
      <c r="D55" s="189"/>
    </row>
    <row r="56" spans="1:6" ht="20.100000000000001" customHeight="1" x14ac:dyDescent="0.25">
      <c r="A56" s="5" t="str">
        <f>HYPERLINK("#'Constants - Common'!A1", "Constants - Common")</f>
        <v>Constants - Common</v>
      </c>
      <c r="D56" s="189"/>
    </row>
    <row r="57" spans="1:6" ht="20.100000000000001" customHeight="1" x14ac:dyDescent="0.25">
      <c r="A57" s="5" t="str">
        <f>HYPERLINK("#'Acknowledgements'!A1", "Acknowledgements")</f>
        <v>Acknowledgements</v>
      </c>
    </row>
    <row r="58" spans="1:6" ht="20.100000000000001" customHeight="1" x14ac:dyDescent="0.25">
      <c r="A58" s="5" t="str">
        <f>HYPERLINK("#'Constants - Solid Waste'!A1", "Constants - Solid Waste")</f>
        <v>Constants - Solid Waste</v>
      </c>
    </row>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2"/>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8B9AAB80-0F11-4B6E-AB61-654D9DE4D04A}">
      <formula1>"Location-based (simpler), Market-based (more complex)"</formula1>
    </dataValidation>
    <dataValidation type="list" allowBlank="1" showInputMessage="1" showErrorMessage="1" sqref="E37:E39" xr:uid="{DB815751-3EAB-47F4-A16F-442DB1420F24}">
      <formula1>"Purchased certificate, Issued for generated electricity"</formula1>
    </dataValidation>
    <dataValidation type="list" allowBlank="1" showInputMessage="1" showErrorMessage="1" sqref="E17" xr:uid="{D89E2BF5-0DFF-4475-920B-5939BCA51301}">
      <formula1>INDIRECT("Table_SourceData_ElectricityEFs[State, Territory or grid description]")</formula1>
    </dataValidation>
    <dataValidation type="list" allowBlank="1" showInputMessage="1" showErrorMessage="1" sqref="E69" xr:uid="{7902F77F-4F56-416E-9E0F-65F7A2C8FBD6}">
      <formula1>INDIRECT("Table_SourceData_Swine_IrrigationMethods[Irrigation method]")</formula1>
    </dataValidation>
    <dataValidation type="list" allowBlank="1" showInputMessage="1" showErrorMessage="1" sqref="E253 E258 E263 E297 E292 E287 E165 E153 E129 E141" xr:uid="{768637F6-877B-487B-9DDC-4D797AFA8DD9}">
      <formula1>"Yes, No"</formula1>
    </dataValidation>
    <dataValidation type="list" allowBlank="1" showInputMessage="1" showErrorMessage="1" sqref="E229" xr:uid="{C7C117E8-EA10-42B0-BD10-28778E803E26}">
      <formula1>INDIRECT("Table_SourceData_Dairy_ProductionSystemTemplates[Area]")</formula1>
    </dataValidation>
    <dataValidation type="list" allowBlank="1" showInputMessage="1" showErrorMessage="1" sqref="D281" xr:uid="{0C87DC8A-7527-4427-9CE1-09D12834CCC2}">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F9A0-3E93-419E-BED2-4077C227399A}">
  <sheetPr>
    <tabColor theme="5" tint="-0.249977111117893"/>
  </sheetPr>
  <dimension ref="A1:S227"/>
  <sheetViews>
    <sheetView showGridLines="0" topLeftCell="A72" workbookViewId="0" zoomScale="100" zoomScaleNormal="100">
      <selection activeCell="A58" sqref="A58"/>
    </sheetView>
  </sheetViews>
  <sheetFormatPr defaultRowHeight="15.75" x14ac:dyDescent="0.25"/>
  <cols>
    <col min="1" max="1" width="30.7109375" style="94" customWidth="1"/>
    <col min="2" max="2" width="4.7109375" style="94" customWidth="1"/>
    <col min="3" max="3" width="4.7109375" style="245" customWidth="1"/>
    <col min="4" max="4" width="47.140625" style="245" customWidth="1"/>
    <col min="5" max="10" width="30.7109375" style="245" customWidth="1"/>
    <col min="11" max="18" width="35" style="1" customWidth="1"/>
    <col min="19" max="19" width="5.28515625" style="1" customWidth="1"/>
    <col min="20" max="16384" width="9.140625" style="94"/>
  </cols>
  <sheetData>
    <row r="1" spans="1:19" ht="30" customHeight="1" x14ac:dyDescent="0.35">
      <c r="A1" s="16" t="e" vm="1">
        <v>#VALUE!</v>
      </c>
      <c r="C1" s="38" t="s">
        <v>938</v>
      </c>
      <c r="D1" s="32"/>
      <c r="E1" s="32"/>
      <c r="F1" s="32"/>
      <c r="G1" s="32"/>
      <c r="H1" s="32"/>
      <c r="I1" s="32"/>
      <c r="J1" s="32"/>
      <c r="K1" s="32"/>
      <c r="L1" s="32"/>
      <c r="M1" s="32"/>
      <c r="N1" s="32"/>
      <c r="O1" s="32"/>
      <c r="P1" s="32"/>
      <c r="Q1" s="32"/>
      <c r="R1" s="32"/>
      <c r="S1" s="3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39"/>
      <c r="D3" s="39"/>
      <c r="E3" s="39"/>
      <c r="F3" s="39"/>
      <c r="G3" s="39"/>
      <c r="H3" s="39"/>
      <c r="I3" s="39"/>
      <c r="J3" s="39"/>
      <c r="K3" s="39"/>
      <c r="L3" s="39"/>
      <c r="M3" s="39"/>
      <c r="N3" s="39"/>
      <c r="O3" s="39"/>
      <c r="P3" s="39"/>
      <c r="Q3" s="39"/>
      <c r="R3" s="39"/>
      <c r="S3" s="39"/>
    </row>
    <row r="4" spans="1:19" ht="20.100000000000001" customHeight="1" x14ac:dyDescent="0.25">
      <c r="A4" s="5" t="str">
        <f>HYPERLINK("#'Overview'!A1", "Overview")</f>
        <v>Overview</v>
      </c>
      <c r="C4" s="35"/>
      <c r="D4" s="35"/>
      <c r="E4" s="35"/>
      <c r="F4" s="35"/>
      <c r="G4" s="35"/>
      <c r="H4" s="35"/>
      <c r="I4" s="35"/>
      <c r="J4" s="35"/>
    </row>
    <row r="5" spans="1:19" ht="20.100000000000001" customHeight="1" x14ac:dyDescent="0.25">
      <c r="A5" s="5" t="str">
        <f>HYPERLINK("#'Results'!A1", "Results")</f>
        <v>Results</v>
      </c>
      <c r="C5" s="1"/>
      <c r="D5" s="2" t="s">
        <v>939</v>
      </c>
      <c r="E5" s="35"/>
      <c r="F5" s="35"/>
      <c r="G5" s="35"/>
      <c r="H5" s="35"/>
      <c r="I5" s="35"/>
      <c r="J5" s="35"/>
    </row>
    <row r="6" spans="1:19" ht="20.100000000000001" customHeight="1" x14ac:dyDescent="0.25">
      <c r="A6"/>
      <c r="C6" s="1"/>
      <c r="D6" s="246" t="s">
        <v>940</v>
      </c>
      <c r="E6" s="249"/>
      <c r="F6" s="249"/>
      <c r="G6" s="249"/>
      <c r="H6" s="249"/>
      <c r="I6" s="249"/>
      <c r="J6" s="249"/>
    </row>
    <row r="7" spans="1:19" ht="20.100000000000001" customHeight="1" x14ac:dyDescent="0.25">
      <c r="A7"/>
      <c r="C7" s="1"/>
      <c r="D7" s="250" t="s">
        <v>941</v>
      </c>
      <c r="E7" s="250"/>
      <c r="F7" s="130"/>
      <c r="G7" s="55"/>
      <c r="H7" s="35"/>
      <c r="I7" s="35"/>
      <c r="J7" s="35"/>
    </row>
    <row r="8" spans="1:19" ht="20.100000000000001" customHeight="1" x14ac:dyDescent="0.25">
      <c r="A8" s="7" t="s">
        <v>0</v>
      </c>
      <c r="C8" s="1"/>
      <c r="D8" s="56" t="s">
        <v>942</v>
      </c>
      <c r="E8" s="57"/>
      <c r="F8" s="57"/>
      <c r="G8" s="58"/>
      <c r="H8" s="35"/>
      <c r="I8" s="35"/>
      <c r="J8" s="35"/>
    </row>
    <row r="9" spans="1:19" ht="20.100000000000001" customHeight="1" x14ac:dyDescent="0.25">
      <c r="A9" s="5" t="str">
        <f>HYPERLINK("#'Input - Enterprise'!A1", "Enterprise")</f>
        <v>Enterprise</v>
      </c>
      <c r="C9" s="1"/>
      <c r="D9" s="249"/>
      <c r="E9" s="249"/>
      <c r="F9" s="249"/>
      <c r="G9" s="249"/>
      <c r="H9" s="249"/>
      <c r="I9" s="249"/>
      <c r="J9" s="249"/>
      <c r="K9" s="92"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92"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92"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5" t="str">
        <f>HYPERLINK("#'Input - Site'!A1", "Site")</f>
        <v>Site</v>
      </c>
      <c r="D10" s="251" t="s">
        <v>641</v>
      </c>
      <c r="E10" s="251" t="s">
        <v>943</v>
      </c>
      <c r="F10" s="251" t="s">
        <v>944</v>
      </c>
      <c r="G10" s="251" t="s">
        <v>475</v>
      </c>
      <c r="H10" s="251" t="s">
        <v>945</v>
      </c>
      <c r="I10" s="251" t="s">
        <v>946</v>
      </c>
      <c r="J10" s="251" t="s">
        <v>947</v>
      </c>
      <c r="K10" s="247" t="s">
        <v>948</v>
      </c>
      <c r="L10" s="247" t="s">
        <v>949</v>
      </c>
      <c r="M10" s="247" t="s">
        <v>950</v>
      </c>
      <c r="N10" s="247" t="s">
        <v>951</v>
      </c>
      <c r="O10" s="247" t="s">
        <v>952</v>
      </c>
      <c r="P10" s="247" t="s">
        <v>953</v>
      </c>
      <c r="Q10" s="247" t="s">
        <v>954</v>
      </c>
      <c r="R10" s="247" t="s">
        <v>955</v>
      </c>
    </row>
    <row r="11" spans="1:19" ht="20.100000000000001" customHeight="1" x14ac:dyDescent="0.25">
      <c r="A11" s="5" t="str">
        <f>HYPERLINK("#'Input - Pasture Beef'!A1", "Pasture Beef")</f>
        <v>Pasture Beef</v>
      </c>
      <c r="D11" s="252" t="s">
        <v>956</v>
      </c>
      <c r="E11" s="253">
        <v>10</v>
      </c>
      <c r="F11" s="23" t="s">
        <v>544</v>
      </c>
      <c r="G11" s="86">
        <v>100</v>
      </c>
      <c r="H11" s="25">
        <f>Table_Input_Pesticides[[#This Row],[Amount applied per ha]]*Table_Input_Pesticides[[#This Row],[Application area (ha)]]</f>
        <v>1000</v>
      </c>
      <c r="I11" s="23" t="s">
        <v>957</v>
      </c>
      <c r="J11" s="23" t="s">
        <v>958</v>
      </c>
      <c r="K11" s="86">
        <v>100</v>
      </c>
      <c r="L11" s="25">
        <f>Table_Input_Pesticides[[#This Row],[Total applied]]*Table_Input_Pesticides[[#This Row],[Active ingredient 1 amount]]*IF(Table_Input_Pesticides[[#This Row],[Constituent unit (select)]]="fraction of product", 1, 10^-3)</f>
        <v>100</v>
      </c>
      <c r="M11" s="23" t="s">
        <v>958</v>
      </c>
      <c r="N11" s="86">
        <v>100</v>
      </c>
      <c r="O11" s="25">
        <f>Table_Input_Pesticides[[#This Row],[Total applied]]*Table_Input_Pesticides[[#This Row],[Active ingredient 2 amount]]*IF(Table_Input_Pesticides[[#This Row],[Constituent unit (select)]]="fraction of product", 1, 10^-3)</f>
        <v>100</v>
      </c>
      <c r="P11" s="23" t="s">
        <v>959</v>
      </c>
      <c r="Q11" s="86">
        <v>100</v>
      </c>
      <c r="R11" s="25">
        <f>Table_Input_Pesticides[[#This Row],[Total applied]]*Table_Input_Pesticides[[#This Row],[Active ingredient 3 amount]]*IF(Table_Input_Pesticides[[#This Row],[Constituent unit (select)]]="fraction of product", 1, 10^-3)</f>
        <v>100</v>
      </c>
    </row>
    <row r="12" spans="1:19" ht="20.100000000000001" customHeight="1" x14ac:dyDescent="0.25">
      <c r="A12" s="5" t="str">
        <f>HYPERLINK("#'Input - Pasture Beef (Enteric)'!A1", "Pasture Beef (Enteric)")</f>
        <v>Pasture Beef (Enteric)</v>
      </c>
      <c r="C12" s="1"/>
      <c r="D12" s="252" t="s">
        <v>960</v>
      </c>
      <c r="E12" s="253">
        <v>10</v>
      </c>
      <c r="F12" s="23" t="s">
        <v>961</v>
      </c>
      <c r="G12" s="86">
        <v>100</v>
      </c>
      <c r="H12" s="25">
        <f>Table_Input_Pesticides[[#This Row],[Amount applied per ha]]*Table_Input_Pesticides[[#This Row],[Application area (ha)]]</f>
        <v>1000</v>
      </c>
      <c r="I12" s="23" t="s">
        <v>957</v>
      </c>
      <c r="J12" s="23" t="s">
        <v>958</v>
      </c>
      <c r="K12" s="86">
        <v>100</v>
      </c>
      <c r="L12" s="25">
        <f>Table_Input_Pesticides[[#This Row],[Total applied]]*Table_Input_Pesticides[[#This Row],[Active ingredient 1 amount]]*IF(Table_Input_Pesticides[[#This Row],[Constituent unit (select)]]="fraction of product", 1, 10^-3)</f>
        <v>100</v>
      </c>
      <c r="M12" s="23" t="s">
        <v>962</v>
      </c>
      <c r="N12" s="86">
        <v>100</v>
      </c>
      <c r="O12" s="25">
        <f>Table_Input_Pesticides[[#This Row],[Total applied]]*Table_Input_Pesticides[[#This Row],[Active ingredient 2 amount]]*IF(Table_Input_Pesticides[[#This Row],[Constituent unit (select)]]="fraction of product", 1, 10^-3)</f>
        <v>100</v>
      </c>
      <c r="P12" s="23" t="s">
        <v>963</v>
      </c>
      <c r="Q12" s="86">
        <v>100</v>
      </c>
      <c r="R12" s="25">
        <f>Table_Input_Pesticides[[#This Row],[Total applied]]*Table_Input_Pesticides[[#This Row],[Active ingredient 3 amount]]*IF(Table_Input_Pesticides[[#This Row],[Constituent unit (select)]]="fraction of product", 1, 10^-3)</f>
        <v>100</v>
      </c>
    </row>
    <row r="13" spans="1:19" ht="20.100000000000001" customHeight="1" x14ac:dyDescent="0.25">
      <c r="A13" s="5" t="str">
        <f>HYPERLINK("#'Input - Livestock sales'!A1", "Livestock sales")</f>
        <v>Livestock sales</v>
      </c>
      <c r="C13" s="1"/>
      <c r="D13" s="252" t="s">
        <v>964</v>
      </c>
      <c r="E13" s="253">
        <v>10</v>
      </c>
      <c r="F13" s="23" t="s">
        <v>544</v>
      </c>
      <c r="G13" s="86">
        <v>100</v>
      </c>
      <c r="H13" s="25">
        <f>Table_Input_Pesticides[[#This Row],[Amount applied per ha]]*Table_Input_Pesticides[[#This Row],[Application area (ha)]]</f>
        <v>1000</v>
      </c>
      <c r="I13" s="23" t="s">
        <v>957</v>
      </c>
      <c r="J13" s="23" t="s">
        <v>958</v>
      </c>
      <c r="K13" s="86">
        <v>100</v>
      </c>
      <c r="L13" s="25">
        <f>Table_Input_Pesticides[[#This Row],[Total applied]]*Table_Input_Pesticides[[#This Row],[Active ingredient 1 amount]]*IF(Table_Input_Pesticides[[#This Row],[Constituent unit (select)]]="fraction of product", 1, 10^-3)</f>
        <v>100</v>
      </c>
      <c r="M13" s="23" t="s">
        <v>965</v>
      </c>
      <c r="N13" s="86">
        <v>100</v>
      </c>
      <c r="O13" s="25">
        <f>Table_Input_Pesticides[[#This Row],[Total applied]]*Table_Input_Pesticides[[#This Row],[Active ingredient 2 amount]]*IF(Table_Input_Pesticides[[#This Row],[Constituent unit (select)]]="fraction of product", 1, 10^-3)</f>
        <v>100</v>
      </c>
      <c r="P13" s="23" t="s">
        <v>966</v>
      </c>
      <c r="Q13" s="86">
        <v>100</v>
      </c>
      <c r="R13" s="25">
        <f>Table_Input_Pesticides[[#This Row],[Total applied]]*Table_Input_Pesticides[[#This Row],[Active ingredient 3 amount]]*IF(Table_Input_Pesticides[[#This Row],[Constituent unit (select)]]="fraction of product", 1, 10^-3)</f>
        <v>100</v>
      </c>
    </row>
    <row r="14" spans="1:19" ht="20.100000000000001" customHeight="1" x14ac:dyDescent="0.25">
      <c r="A14" s="5" t="str">
        <f>HYPERLINK("#'Input - Beef cattle purchases'!A1", "Beef cattle purchases")</f>
        <v>Beef cattle purchases</v>
      </c>
      <c r="D14" s="252"/>
      <c r="E14" s="253"/>
      <c r="F14" s="23"/>
      <c r="G14" s="86"/>
      <c r="H14" s="25">
        <f>Table_Input_Pesticides[[#This Row],[Amount applied per ha]]*Table_Input_Pesticides[[#This Row],[Application area (ha)]]</f>
        <v>0</v>
      </c>
      <c r="I14" s="23"/>
      <c r="J14" s="23"/>
      <c r="K14" s="86"/>
      <c r="L14" s="25">
        <f>Table_Input_Pesticides[[#This Row],[Total applied]]*Table_Input_Pesticides[[#This Row],[Active ingredient 1 amount]]*IF(Table_Input_Pesticides[[#This Row],[Constituent unit (select)]]="fraction of product", 1, 10^-3)</f>
        <v>0</v>
      </c>
      <c r="M14" s="23"/>
      <c r="N14" s="86"/>
      <c r="O14" s="25">
        <f>Table_Input_Pesticides[[#This Row],[Total applied]]*Table_Input_Pesticides[[#This Row],[Active ingredient 2 amount]]*IF(Table_Input_Pesticides[[#This Row],[Constituent unit (select)]]="fraction of product", 1, 10^-3)</f>
        <v>0</v>
      </c>
      <c r="P14" s="23"/>
      <c r="Q14" s="86"/>
      <c r="R14" s="25">
        <f>Table_Input_Pesticides[[#This Row],[Total applied]]*Table_Input_Pesticides[[#This Row],[Active ingredient 3 amount]]*IF(Table_Input_Pesticides[[#This Row],[Constituent unit (select)]]="fraction of product", 1, 10^-3)</f>
        <v>0</v>
      </c>
    </row>
    <row r="15" spans="1:19" ht="20.100000000000001" customHeight="1" x14ac:dyDescent="0.25">
      <c r="A15" s="5" t="str">
        <f>HYPERLINK("#'Input - Pasture'!A1", "Pasture")</f>
        <v>Pasture</v>
      </c>
      <c r="D15" s="252"/>
      <c r="E15" s="253"/>
      <c r="F15" s="23"/>
      <c r="G15" s="86"/>
      <c r="H15" s="25">
        <f>Table_Input_Pesticides[[#This Row],[Amount applied per ha]]*Table_Input_Pesticides[[#This Row],[Application area (ha)]]</f>
        <v>0</v>
      </c>
      <c r="I15" s="23"/>
      <c r="J15" s="23"/>
      <c r="K15" s="86"/>
      <c r="L15" s="25">
        <f>Table_Input_Pesticides[[#This Row],[Total applied]]*Table_Input_Pesticides[[#This Row],[Active ingredient 1 amount]]*IF(Table_Input_Pesticides[[#This Row],[Constituent unit (select)]]="fraction of product", 1, 10^-3)</f>
        <v>0</v>
      </c>
      <c r="M15" s="23"/>
      <c r="N15" s="86"/>
      <c r="O15" s="25">
        <f>Table_Input_Pesticides[[#This Row],[Total applied]]*Table_Input_Pesticides[[#This Row],[Active ingredient 2 amount]]*IF(Table_Input_Pesticides[[#This Row],[Constituent unit (select)]]="fraction of product", 1, 10^-3)</f>
        <v>0</v>
      </c>
      <c r="P15" s="23"/>
      <c r="Q15" s="86"/>
      <c r="R15" s="25">
        <f>Table_Input_Pesticides[[#This Row],[Total applied]]*Table_Input_Pesticides[[#This Row],[Active ingredient 3 amount]]*IF(Table_Input_Pesticides[[#This Row],[Constituent unit (select)]]="fraction of product", 1, 10^-3)</f>
        <v>0</v>
      </c>
    </row>
    <row r="16" spans="1:19" ht="20.100000000000001" customHeight="1" x14ac:dyDescent="0.25">
      <c r="A16" s="5" t="str">
        <f>HYPERLINK("#'Input - Fert Prod System'!A1", "Fert Prod System")</f>
        <v>Fert Prod System</v>
      </c>
      <c r="D16" s="252"/>
      <c r="E16" s="253"/>
      <c r="F16" s="23"/>
      <c r="G16" s="86"/>
      <c r="H16" s="25">
        <f>Table_Input_Pesticides[[#This Row],[Amount applied per ha]]*Table_Input_Pesticides[[#This Row],[Application area (ha)]]</f>
        <v>0</v>
      </c>
      <c r="I16" s="23"/>
      <c r="J16" s="23"/>
      <c r="K16" s="86"/>
      <c r="L16" s="25">
        <f>Table_Input_Pesticides[[#This Row],[Total applied]]*Table_Input_Pesticides[[#This Row],[Active ingredient 1 amount]]*IF(Table_Input_Pesticides[[#This Row],[Constituent unit (select)]]="fraction of product", 1, 10^-3)</f>
        <v>0</v>
      </c>
      <c r="M16" s="23"/>
      <c r="N16" s="86"/>
      <c r="O16" s="25">
        <f>Table_Input_Pesticides[[#This Row],[Total applied]]*Table_Input_Pesticides[[#This Row],[Active ingredient 2 amount]]*IF(Table_Input_Pesticides[[#This Row],[Constituent unit (select)]]="fraction of product", 1, 10^-3)</f>
        <v>0</v>
      </c>
      <c r="P16" s="23"/>
      <c r="Q16" s="86"/>
      <c r="R16" s="25">
        <f>Table_Input_Pesticides[[#This Row],[Total applied]]*Table_Input_Pesticides[[#This Row],[Active ingredient 3 amount]]*IF(Table_Input_Pesticides[[#This Row],[Constituent unit (select)]]="fraction of product", 1, 10^-3)</f>
        <v>0</v>
      </c>
    </row>
    <row r="17" spans="1:18" ht="20.100000000000001" customHeight="1" x14ac:dyDescent="0.25">
      <c r="A17" s="5" t="str">
        <f>HYPERLINK("#'Input - Fertiliser'!A1", "Fertiliser")</f>
        <v>Fertiliser</v>
      </c>
      <c r="C17" s="1"/>
      <c r="D17" s="252"/>
      <c r="E17" s="253"/>
      <c r="F17" s="23"/>
      <c r="G17" s="86"/>
      <c r="H17" s="25">
        <f>Table_Input_Pesticides[[#This Row],[Amount applied per ha]]*Table_Input_Pesticides[[#This Row],[Application area (ha)]]</f>
        <v>0</v>
      </c>
      <c r="I17" s="23"/>
      <c r="J17" s="23"/>
      <c r="K17" s="86"/>
      <c r="L17" s="25">
        <f>Table_Input_Pesticides[[#This Row],[Total applied]]*Table_Input_Pesticides[[#This Row],[Active ingredient 1 amount]]*IF(Table_Input_Pesticides[[#This Row],[Constituent unit (select)]]="fraction of product", 1, 10^-3)</f>
        <v>0</v>
      </c>
      <c r="M17" s="23"/>
      <c r="N17" s="86"/>
      <c r="O17" s="25">
        <f>Table_Input_Pesticides[[#This Row],[Total applied]]*Table_Input_Pesticides[[#This Row],[Active ingredient 2 amount]]*IF(Table_Input_Pesticides[[#This Row],[Constituent unit (select)]]="fraction of product", 1, 10^-3)</f>
        <v>0</v>
      </c>
      <c r="P17" s="23"/>
      <c r="Q17" s="86"/>
      <c r="R17" s="25">
        <f>Table_Input_Pesticides[[#This Row],[Total applied]]*Table_Input_Pesticides[[#This Row],[Active ingredient 3 amount]]*IF(Table_Input_Pesticides[[#This Row],[Constituent unit (select)]]="fraction of product", 1, 10^-3)</f>
        <v>0</v>
      </c>
    </row>
    <row r="18" spans="1:18" ht="20.100000000000001" customHeight="1" x14ac:dyDescent="0.25">
      <c r="A18" s="5" t="str">
        <f>HYPERLINK("#'Input - Fuel'!A1", "Fuel")</f>
        <v>Fuel</v>
      </c>
      <c r="C18" s="1"/>
      <c r="D18" s="252"/>
      <c r="E18" s="253"/>
      <c r="F18" s="23"/>
      <c r="G18" s="86"/>
      <c r="H18" s="25">
        <f>Table_Input_Pesticides[[#This Row],[Amount applied per ha]]*Table_Input_Pesticides[[#This Row],[Application area (ha)]]</f>
        <v>0</v>
      </c>
      <c r="I18" s="23"/>
      <c r="J18" s="23"/>
      <c r="K18" s="86"/>
      <c r="L18" s="25">
        <f>Table_Input_Pesticides[[#This Row],[Total applied]]*Table_Input_Pesticides[[#This Row],[Active ingredient 1 amount]]*IF(Table_Input_Pesticides[[#This Row],[Constituent unit (select)]]="fraction of product", 1, 10^-3)</f>
        <v>0</v>
      </c>
      <c r="M18" s="23"/>
      <c r="N18" s="86"/>
      <c r="O18" s="25">
        <f>Table_Input_Pesticides[[#This Row],[Total applied]]*Table_Input_Pesticides[[#This Row],[Active ingredient 2 amount]]*IF(Table_Input_Pesticides[[#This Row],[Constituent unit (select)]]="fraction of product", 1, 10^-3)</f>
        <v>0</v>
      </c>
      <c r="P18" s="23"/>
      <c r="Q18" s="86"/>
      <c r="R18" s="25">
        <f>Table_Input_Pesticides[[#This Row],[Total applied]]*Table_Input_Pesticides[[#This Row],[Active ingredient 3 amount]]*IF(Table_Input_Pesticides[[#This Row],[Constituent unit (select)]]="fraction of product", 1, 10^-3)</f>
        <v>0</v>
      </c>
    </row>
    <row r="19" spans="1:18" ht="20.100000000000001" customHeight="1" x14ac:dyDescent="0.25">
      <c r="A19" s="5" t="str">
        <f>HYPERLINK("#'Input - Electricity'!A1", "Electricity")</f>
        <v>Electricity</v>
      </c>
      <c r="D19" s="252"/>
      <c r="E19" s="253"/>
      <c r="F19" s="23"/>
      <c r="G19" s="86"/>
      <c r="H19" s="25">
        <f>Table_Input_Pesticides[[#This Row],[Amount applied per ha]]*Table_Input_Pesticides[[#This Row],[Application area (ha)]]</f>
        <v>0</v>
      </c>
      <c r="I19" s="23"/>
      <c r="J19" s="23"/>
      <c r="K19" s="86"/>
      <c r="L19" s="25">
        <f>Table_Input_Pesticides[[#This Row],[Total applied]]*Table_Input_Pesticides[[#This Row],[Active ingredient 1 amount]]*IF(Table_Input_Pesticides[[#This Row],[Constituent unit (select)]]="fraction of product", 1, 10^-3)</f>
        <v>0</v>
      </c>
      <c r="M19" s="23"/>
      <c r="N19" s="86"/>
      <c r="O19" s="25">
        <f>Table_Input_Pesticides[[#This Row],[Total applied]]*Table_Input_Pesticides[[#This Row],[Active ingredient 2 amount]]*IF(Table_Input_Pesticides[[#This Row],[Constituent unit (select)]]="fraction of product", 1, 10^-3)</f>
        <v>0</v>
      </c>
      <c r="P19" s="23"/>
      <c r="Q19" s="86"/>
      <c r="R19" s="25">
        <f>Table_Input_Pesticides[[#This Row],[Total applied]]*Table_Input_Pesticides[[#This Row],[Active ingredient 3 amount]]*IF(Table_Input_Pesticides[[#This Row],[Constituent unit (select)]]="fraction of product", 1, 10^-3)</f>
        <v>0</v>
      </c>
    </row>
    <row r="20" spans="1:18" ht="20.100000000000001" customHeight="1" x14ac:dyDescent="0.25">
      <c r="A20" s="95" t="str">
        <f>HYPERLINK("#'Input - Farm Inputs'!A1", "Farm Inputs")</f>
        <v>Farm Inputs</v>
      </c>
      <c r="D20" s="252"/>
      <c r="E20" s="253"/>
      <c r="F20" s="23"/>
      <c r="G20" s="86"/>
      <c r="H20" s="25">
        <f>Table_Input_Pesticides[[#This Row],[Amount applied per ha]]*Table_Input_Pesticides[[#This Row],[Application area (ha)]]</f>
        <v>0</v>
      </c>
      <c r="I20" s="23"/>
      <c r="J20" s="23"/>
      <c r="K20" s="86"/>
      <c r="L20" s="25">
        <f>Table_Input_Pesticides[[#This Row],[Total applied]]*Table_Input_Pesticides[[#This Row],[Active ingredient 1 amount]]*IF(Table_Input_Pesticides[[#This Row],[Constituent unit (select)]]="fraction of product", 1, 10^-3)</f>
        <v>0</v>
      </c>
      <c r="M20" s="23"/>
      <c r="N20" s="86"/>
      <c r="O20" s="25">
        <f>Table_Input_Pesticides[[#This Row],[Total applied]]*Table_Input_Pesticides[[#This Row],[Active ingredient 2 amount]]*IF(Table_Input_Pesticides[[#This Row],[Constituent unit (select)]]="fraction of product", 1, 10^-3)</f>
        <v>0</v>
      </c>
      <c r="P20" s="23"/>
      <c r="Q20" s="86"/>
      <c r="R20" s="25">
        <f>Table_Input_Pesticides[[#This Row],[Total applied]]*Table_Input_Pesticides[[#This Row],[Active ingredient 3 amount]]*IF(Table_Input_Pesticides[[#This Row],[Constituent unit (select)]]="fraction of product", 1, 10^-3)</f>
        <v>0</v>
      </c>
    </row>
    <row r="21" spans="1:18" ht="20.100000000000001" customHeight="1" x14ac:dyDescent="0.25">
      <c r="A21" s="5" t="str">
        <f>HYPERLINK("#'Input - Freight'!A1", "Freight")</f>
        <v>Freight</v>
      </c>
      <c r="D21" s="35"/>
      <c r="E21" s="35"/>
      <c r="F21" s="35"/>
      <c r="G21" s="35"/>
      <c r="H21" s="35"/>
      <c r="I21" s="35"/>
      <c r="J21" s="35"/>
    </row>
    <row r="22" spans="1:18" ht="20.100000000000001" customHeight="1" x14ac:dyDescent="0.25">
      <c r="A22" s="5" t="str">
        <f>HYPERLINK("#'Input - Manure sent off-site'!A1", "Manure sent off-site")</f>
        <v>Manure sent off-site</v>
      </c>
      <c r="D22" s="246" t="s">
        <v>967</v>
      </c>
      <c r="E22" s="1"/>
      <c r="F22" s="1"/>
    </row>
    <row r="23" spans="1:18" ht="20.100000000000001" customHeight="1" x14ac:dyDescent="0.25">
      <c r="A23" s="5" t="str">
        <f>HYPERLINK("#'Input - Solid waste'!A1", "Solid waste")</f>
        <v>Solid waste</v>
      </c>
      <c r="D23" s="112" t="s">
        <v>641</v>
      </c>
      <c r="E23" s="112" t="s">
        <v>968</v>
      </c>
      <c r="F23" s="112" t="s">
        <v>969</v>
      </c>
    </row>
    <row r="24" spans="1:18" ht="20.100000000000001" customHeight="1" x14ac:dyDescent="0.25">
      <c r="A24"/>
      <c r="D24" s="44" t="s">
        <v>970</v>
      </c>
      <c r="E24" s="23" t="s">
        <v>971</v>
      </c>
      <c r="F24" s="86">
        <v>100</v>
      </c>
    </row>
    <row r="25" spans="1:18" ht="20.100000000000001" customHeight="1" x14ac:dyDescent="0.25">
      <c r="A25"/>
      <c r="C25" s="1"/>
      <c r="D25" s="44" t="s">
        <v>972</v>
      </c>
      <c r="E25" s="195" t="s">
        <v>973</v>
      </c>
      <c r="F25" s="254">
        <v>100</v>
      </c>
    </row>
    <row r="26" spans="1:18" ht="20.100000000000001" customHeight="1" x14ac:dyDescent="0.25">
      <c r="A26" s="6" t="s">
        <v>2</v>
      </c>
      <c r="C26" s="1"/>
      <c r="D26" s="44" t="s">
        <v>974</v>
      </c>
      <c r="E26" s="195" t="s">
        <v>975</v>
      </c>
      <c r="F26" s="254">
        <v>100</v>
      </c>
    </row>
    <row r="27" spans="1:18" ht="20.100000000000001" customHeight="1" x14ac:dyDescent="0.25">
      <c r="A27" s="5" t="str">
        <f>HYPERLINK("#'3.2.1.1-2 Enteric Methane'!A1", "3.2.1.1-2 Enteric methane")</f>
        <v>3.2.1.1-2 Enteric methane</v>
      </c>
      <c r="C27" s="1"/>
      <c r="D27" s="44" t="s">
        <v>974</v>
      </c>
      <c r="E27" s="195" t="s">
        <v>975</v>
      </c>
      <c r="F27" s="254">
        <v>100</v>
      </c>
    </row>
    <row r="28" spans="1:18" ht="20.100000000000001" customHeight="1" x14ac:dyDescent="0.25">
      <c r="A28" s="5" t="str">
        <f>HYPERLINK("#'4.2.1.1-2 Methane'!A1", "4.2.1.1-2 Manure methane")</f>
        <v>4.2.1.1-2 Manure methane</v>
      </c>
      <c r="D28" s="44" t="s">
        <v>970</v>
      </c>
      <c r="E28" s="195" t="s">
        <v>971</v>
      </c>
      <c r="F28" s="254">
        <v>100</v>
      </c>
    </row>
    <row r="29" spans="1:18" ht="20.100000000000001" customHeight="1" x14ac:dyDescent="0.25">
      <c r="A29" s="5" t="str">
        <f>HYPERLINK("#'4.2.1.3-4 Soil direct N20'!A1", "4.2.1.3-4 Soil direct N2O")</f>
        <v>4.2.1.3-4 Soil direct N2O</v>
      </c>
      <c r="D29" s="44" t="s">
        <v>970</v>
      </c>
      <c r="E29" s="195" t="s">
        <v>971</v>
      </c>
      <c r="F29" s="254">
        <v>100</v>
      </c>
    </row>
    <row r="30" spans="1:18" ht="20.100000000000001" customHeight="1" x14ac:dyDescent="0.25">
      <c r="A30" s="5" t="str">
        <f>HYPERLINK("#'4.2.1.5-6 Soil Atmos Dep'!A1", "4.2.1.5-6 Soil atm. deposition")</f>
        <v>4.2.1.5-6 Soil atm. deposition</v>
      </c>
      <c r="D30" s="44"/>
      <c r="E30" s="23"/>
      <c r="F30" s="86"/>
    </row>
    <row r="31" spans="1:18" ht="20.100000000000001" customHeight="1" x14ac:dyDescent="0.25">
      <c r="A31" s="5" t="str">
        <f>HYPERLINK("#'4.2.1.7-8 Soil leach runoff'!A1", "4.2.1.7-8 Soil leach &amp; runoff")</f>
        <v>4.2.1.7-8 Soil leach &amp; runoff</v>
      </c>
      <c r="D31" s="44"/>
      <c r="E31" s="23"/>
      <c r="F31" s="86"/>
    </row>
    <row r="32" spans="1:18" ht="20.100000000000001" customHeight="1" x14ac:dyDescent="0.25">
      <c r="A32" s="5" t="str">
        <f>HYPERLINK("#'5.1.1.1-2 Inorganic fert N2O'!A1", "5.1.1.1-2 Inorganic fert N2O")</f>
        <v>5.1.1.1-2 Inorganic fert N2O</v>
      </c>
      <c r="D32" s="44"/>
      <c r="E32" s="23"/>
      <c r="F32" s="86"/>
    </row>
    <row r="33" spans="1:6" ht="20.100000000000001" customHeight="1" x14ac:dyDescent="0.25">
      <c r="A33" s="5" t="str">
        <f>HYPERLINK("#'5.1.1.3-4 Inorganic fert CO2'!A1", "5.1.1.3-4 Inorganic fert CO2")</f>
        <v>5.1.1.3-4 Inorganic fert CO2</v>
      </c>
      <c r="D33" s="44"/>
      <c r="E33" s="23"/>
      <c r="F33" s="86"/>
    </row>
    <row r="34" spans="1:6" ht="20.100000000000001" customHeight="1" x14ac:dyDescent="0.25">
      <c r="A34" s="5" t="str">
        <f>HYPERLINK("#'5.2.1.1-2 Organic Fert N2O'!A1", "5.2.1.1-2 Organic fert N2O")</f>
        <v>5.2.1.1-2 Organic fert N2O</v>
      </c>
    </row>
    <row r="35" spans="1:6" ht="20.100000000000001" customHeight="1" x14ac:dyDescent="0.25">
      <c r="A35" s="5" t="str">
        <f>HYPERLINK("#'5.3.1.1-2 Lime CO2'!A1", "5.3.1.1-2 Lime CO2")</f>
        <v>5.3.1.1-2 Lime CO2</v>
      </c>
      <c r="D35" s="246" t="s">
        <v>976</v>
      </c>
      <c r="E35" s="1"/>
      <c r="F35" s="1"/>
    </row>
    <row r="36" spans="1:6" ht="20.100000000000001" customHeight="1" x14ac:dyDescent="0.25">
      <c r="A36" s="5" t="str">
        <f>HYPERLINK("#'5.4.1.1-4 Atmos deposition'!A1", "5.4.1.1-4 Atmos. deposition")</f>
        <v>5.4.1.1-4 Atmos. deposition</v>
      </c>
      <c r="D36" s="112" t="s">
        <v>641</v>
      </c>
      <c r="E36" s="112" t="s">
        <v>968</v>
      </c>
      <c r="F36" s="112" t="s">
        <v>977</v>
      </c>
    </row>
    <row r="37" spans="1:6" ht="20.100000000000001" customHeight="1" x14ac:dyDescent="0.25">
      <c r="A37" s="5" t="str">
        <f>HYPERLINK("#'5.5.1.1-2 Leaching and runoff'!A1", "5.5.1.1-2 Leaching &amp; runoff")</f>
        <v>5.5.1.1-2 Leaching &amp; runoff</v>
      </c>
      <c r="D37" s="44" t="s">
        <v>978</v>
      </c>
      <c r="E37" s="139" t="s">
        <v>979</v>
      </c>
      <c r="F37" s="86">
        <v>100</v>
      </c>
    </row>
    <row r="38" spans="1:6" ht="20.100000000000001" customHeight="1" x14ac:dyDescent="0.25">
      <c r="A38" s="5" t="str">
        <f>HYPERLINK("#'6.2.1.1-2 Pasture residue N2O'!A1", "6.2.1.1-2 Pasture residue N2O")</f>
        <v>6.2.1.1-2 Pasture residue N2O</v>
      </c>
      <c r="D38" s="44" t="s">
        <v>980</v>
      </c>
      <c r="E38" s="255" t="s">
        <v>981</v>
      </c>
      <c r="F38" s="254">
        <v>100</v>
      </c>
    </row>
    <row r="39" spans="1:6" ht="20.100000000000001" customHeight="1" x14ac:dyDescent="0.25">
      <c r="A39" s="5" t="str">
        <f>HYPERLINK("#'6.3.1.1-2 Leach runoff pasture'!A1", "6.3.1.1-2 Leach &amp; runoff (pasture)")</f>
        <v>6.3.1.1-2 Leach &amp; runoff (pasture)</v>
      </c>
      <c r="D39" s="44" t="s">
        <v>982</v>
      </c>
      <c r="E39" s="255" t="s">
        <v>983</v>
      </c>
      <c r="F39" s="254">
        <v>100</v>
      </c>
    </row>
    <row r="40" spans="1:6" ht="20.100000000000001" customHeight="1" x14ac:dyDescent="0.25">
      <c r="A40" s="5" t="str">
        <f>HYPERLINK("#'8.1.1.1-2 Transport fuel'!A1", "8.1.1.1-2 Transport fuel")</f>
        <v>8.1.1.1-2 Transport fuel</v>
      </c>
      <c r="D40" s="44" t="s">
        <v>984</v>
      </c>
      <c r="E40" s="255" t="s">
        <v>985</v>
      </c>
      <c r="F40" s="254">
        <v>100</v>
      </c>
    </row>
    <row r="41" spans="1:6" ht="20.100000000000001" customHeight="1" x14ac:dyDescent="0.25">
      <c r="A41" s="5" t="str">
        <f>HYPERLINK("#'8.2.1.1-2 Stationary fuel'!A1", "8.2.1.1-2 Stationary fuel")</f>
        <v>8.2.1.1-2 Stationary fuel</v>
      </c>
      <c r="D41" s="44" t="s">
        <v>978</v>
      </c>
      <c r="E41" s="255" t="s">
        <v>979</v>
      </c>
      <c r="F41" s="254">
        <v>100</v>
      </c>
    </row>
    <row r="42" spans="1:6" ht="20.100000000000001" customHeight="1" x14ac:dyDescent="0.25">
      <c r="A42" s="5" t="str">
        <f>HYPERLINK("#'14.1.1-2 Purchased electricity'!A1", "14.1.1-2 Purchased electricity")</f>
        <v>14.1.1-2 Purchased electricity</v>
      </c>
      <c r="D42" s="44" t="s">
        <v>980</v>
      </c>
      <c r="E42" s="255" t="s">
        <v>981</v>
      </c>
      <c r="F42" s="254">
        <v>100</v>
      </c>
    </row>
    <row r="43" spans="1:6" ht="20.100000000000001" customHeight="1" x14ac:dyDescent="0.25">
      <c r="A43" s="5" t="str">
        <f>HYPERLINK("#'15 Scope 3'!A1", "15 Scope 3")</f>
        <v>15 Scope 3</v>
      </c>
      <c r="D43" s="44"/>
      <c r="E43" s="139"/>
      <c r="F43" s="86"/>
    </row>
    <row r="44" spans="1:6" ht="20.100000000000001" customHeight="1" x14ac:dyDescent="0.25">
      <c r="A44" s="5" t="str">
        <f>HYPERLINK("#'Calcs - Manure sent off-site'!A1", "Calcs - Manure sent off-site")</f>
        <v>Calcs - Manure sent off-site</v>
      </c>
      <c r="C44" s="1"/>
      <c r="D44" s="44"/>
      <c r="E44" s="139"/>
      <c r="F44" s="86"/>
    </row>
    <row r="45" spans="1:6" ht="20.100000000000001" customHeight="1" x14ac:dyDescent="0.25">
      <c r="A45" s="5" t="str">
        <f>HYPERLINK("#'10.1.1-2 Solid waste treatment'!A1", "10.1.1-2 Solid waste treatment")</f>
        <v>10.1.1-2 Solid waste treatment</v>
      </c>
      <c r="C45" s="1"/>
      <c r="D45" s="44"/>
      <c r="E45" s="139"/>
      <c r="F45" s="86"/>
    </row>
    <row r="46" spans="1:6" ht="20.100000000000001" customHeight="1" x14ac:dyDescent="0.25">
      <c r="A46"/>
      <c r="C46" s="1"/>
      <c r="D46" s="44"/>
      <c r="E46" s="139"/>
      <c r="F46" s="86"/>
    </row>
    <row r="47" spans="1:6" ht="20.100000000000001" customHeight="1" x14ac:dyDescent="0.25">
      <c r="A47"/>
      <c r="C47" s="1"/>
    </row>
    <row r="48" spans="1:6" ht="20.100000000000001" customHeight="1" x14ac:dyDescent="0.25">
      <c r="A48" s="97" t="s">
        <v>1</v>
      </c>
      <c r="C48" s="1"/>
    </row>
    <row r="49" spans="1:17" ht="20.100000000000001" customHeight="1" x14ac:dyDescent="0.25">
      <c r="A49" s="5" t="str">
        <f>HYPERLINK("#'Constants - Pasture Beef'!A1", "Constants - Pasture Beef")</f>
        <v>Constants - Pasture Beef</v>
      </c>
      <c r="C49" s="1"/>
      <c r="D49" s="2" t="s">
        <v>986</v>
      </c>
    </row>
    <row r="50" spans="1:17" ht="20.100000000000001" customHeight="1" x14ac:dyDescent="0.25">
      <c r="A50" s="5" t="str">
        <f>HYPERLINK("#'Constants - Ag Residue'!A1", "Constants - Ag residue")</f>
        <v>Constants - Ag residue</v>
      </c>
      <c r="D50" s="246" t="s">
        <v>987</v>
      </c>
      <c r="E50" s="256"/>
      <c r="F50" s="257"/>
    </row>
    <row r="51" spans="1:17" ht="20.100000000000001" customHeight="1" x14ac:dyDescent="0.25">
      <c r="A51" s="5" t="str">
        <f>HYPERLINK("#'Constants - Common Livestock'!A1", "Constants - Common Livestock")</f>
        <v>Constants - Common Livestock</v>
      </c>
      <c r="D51" s="1" t="str" cm="1">
        <f t="array" ref="D51:D53">Table_SourceData_Scope3_LickBlocks[Product]</f>
        <v>Lick block, dry season mix</v>
      </c>
      <c r="E51" s="86">
        <v>100</v>
      </c>
      <c r="F51" s="26" t="s">
        <v>546</v>
      </c>
    </row>
    <row r="52" spans="1:17" ht="20.100000000000001" customHeight="1" x14ac:dyDescent="0.25">
      <c r="A52" s="5" t="str">
        <f>HYPERLINK("#'Constants - Electricity'!A1", "Constants - Electricity")</f>
        <v>Constants - Electricity</v>
      </c>
      <c r="D52" s="1" t="str">
        <v>Lick block, mineral</v>
      </c>
      <c r="E52" s="86">
        <v>100</v>
      </c>
      <c r="F52" s="26" t="s">
        <v>546</v>
      </c>
    </row>
    <row r="53" spans="1:17" ht="20.100000000000001" customHeight="1" x14ac:dyDescent="0.25">
      <c r="A53" s="5" t="str">
        <f>HYPERLINK("#'Constants - Fertiliser'!A1", "Constants - Fertiliser")</f>
        <v>Constants - Fertiliser</v>
      </c>
      <c r="D53" s="1" t="str">
        <v>Lick block, weaner</v>
      </c>
      <c r="E53" s="86">
        <v>100</v>
      </c>
      <c r="F53" s="26" t="s">
        <v>546</v>
      </c>
    </row>
    <row r="54" spans="1:17" ht="20.100000000000001" customHeight="1" x14ac:dyDescent="0.25">
      <c r="A54" s="5" t="str">
        <f>HYPERLINK("#'Constants - Fuel'!A1", "Constants - Fuel")</f>
        <v>Constants - Fuel</v>
      </c>
      <c r="D54" s="1"/>
      <c r="E54" s="1"/>
      <c r="F54" s="1"/>
    </row>
    <row r="55" spans="1:17" ht="20.100000000000001" customHeight="1" x14ac:dyDescent="0.25">
      <c r="A55" s="5" t="str">
        <f>HYPERLINK("#'Constants - Scope 3'!A1", "Constants - Scope 3")</f>
        <v>Constants - Scope 3</v>
      </c>
      <c r="D55" s="246" t="s">
        <v>988</v>
      </c>
      <c r="E55" s="35"/>
      <c r="F55" s="35"/>
    </row>
    <row r="56" spans="1:17" ht="20.100000000000001" customHeight="1" x14ac:dyDescent="0.25">
      <c r="A56" s="5" t="str">
        <f>HYPERLINK("#'Constants - Common'!A1", "Constants - Common")</f>
        <v>Constants - Common</v>
      </c>
      <c r="D56" s="1" t="str" cm="1">
        <f t="array" ref="D56:D59">Table_SourceData_Scope3_MixedRations[Product]</f>
        <v>Feed for chickens</v>
      </c>
      <c r="E56" s="86">
        <v>100</v>
      </c>
      <c r="F56" s="26" t="s">
        <v>546</v>
      </c>
    </row>
    <row r="57" spans="1:17" ht="20.100000000000001" customHeight="1" x14ac:dyDescent="0.25">
      <c r="A57" s="5" t="str">
        <f>HYPERLINK("#'Acknowledgements'!A1", "Acknowledgements")</f>
        <v>Acknowledgements</v>
      </c>
      <c r="D57" s="1" t="str">
        <v>Feed for dairy calves</v>
      </c>
      <c r="E57" s="86">
        <v>100</v>
      </c>
      <c r="F57" s="26" t="s">
        <v>546</v>
      </c>
    </row>
    <row r="58" spans="1:17" ht="20.100000000000001" customHeight="1" x14ac:dyDescent="0.25">
      <c r="A58" s="5" t="str">
        <f>HYPERLINK("#'Constants - Solid Waste'!A1", "Constants - Solid Waste")</f>
        <v>Constants - Solid Waste</v>
      </c>
      <c r="D58" s="1" t="str">
        <v>Feed for dairy cows</v>
      </c>
      <c r="E58" s="86">
        <v>100</v>
      </c>
      <c r="F58" s="26" t="s">
        <v>546</v>
      </c>
    </row>
    <row r="59" spans="1:17" ht="20.100000000000001" customHeight="1" x14ac:dyDescent="0.25">
      <c r="A59"/>
      <c r="D59" s="1" t="str">
        <v>Feed for pigs</v>
      </c>
      <c r="E59" s="86">
        <v>100</v>
      </c>
      <c r="F59" s="26" t="s">
        <v>546</v>
      </c>
    </row>
    <row r="60" spans="1:17" ht="20.100000000000001" customHeight="1" x14ac:dyDescent="0.25">
      <c r="A60"/>
      <c r="D60" s="35"/>
      <c r="E60" s="35"/>
      <c r="F60" s="35"/>
    </row>
    <row r="61" spans="1:17" ht="20.100000000000001" customHeight="1" x14ac:dyDescent="0.25">
      <c r="A61"/>
      <c r="D61" s="246" t="s">
        <v>989</v>
      </c>
      <c r="E61" s="35"/>
      <c r="F61" s="35"/>
    </row>
    <row r="62" spans="1:17" ht="20.100000000000001" customHeight="1" x14ac:dyDescent="0.25">
      <c r="A62"/>
      <c r="D62" s="192" t="s">
        <v>990</v>
      </c>
      <c r="E62" s="192" t="s">
        <v>991</v>
      </c>
      <c r="F62" s="192" t="s">
        <v>499</v>
      </c>
      <c r="G62" s="192" t="s">
        <v>992</v>
      </c>
      <c r="H62" s="192" t="s">
        <v>478</v>
      </c>
      <c r="I62" s="192" t="s">
        <v>993</v>
      </c>
      <c r="J62" s="192" t="s">
        <v>994</v>
      </c>
      <c r="K62" s="192" t="s">
        <v>480</v>
      </c>
      <c r="L62" s="192" t="s">
        <v>995</v>
      </c>
      <c r="M62" s="192" t="s">
        <v>996</v>
      </c>
      <c r="N62" s="192" t="s">
        <v>482</v>
      </c>
      <c r="O62" s="192" t="s">
        <v>997</v>
      </c>
      <c r="P62" s="192" t="s">
        <v>998</v>
      </c>
      <c r="Q62" s="192" t="s">
        <v>484</v>
      </c>
    </row>
    <row r="63" spans="1:17" ht="20.100000000000001" customHeight="1" x14ac:dyDescent="0.25">
      <c r="A63"/>
      <c r="D63" s="37"/>
      <c r="E63" s="258">
        <v>1200</v>
      </c>
      <c r="F63" s="23" t="s">
        <v>999</v>
      </c>
      <c r="G63" s="23" t="s">
        <v>409</v>
      </c>
      <c r="H63" s="193">
        <v>0.35</v>
      </c>
      <c r="I63" s="23" t="s">
        <v>1000</v>
      </c>
      <c r="J63" s="23" t="s">
        <v>409</v>
      </c>
      <c r="K63" s="193">
        <v>0.22</v>
      </c>
      <c r="L63" s="23" t="s">
        <v>1001</v>
      </c>
      <c r="M63" s="23" t="s">
        <v>425</v>
      </c>
      <c r="N63" s="193">
        <v>0.12</v>
      </c>
      <c r="O63" s="23" t="s">
        <v>1002</v>
      </c>
      <c r="P63" s="23" t="s">
        <v>421</v>
      </c>
      <c r="Q63" s="193">
        <v>0.05</v>
      </c>
    </row>
    <row r="64" spans="1:17" ht="20.100000000000001" customHeight="1" x14ac:dyDescent="0.25">
      <c r="A64"/>
      <c r="D64" s="37"/>
      <c r="E64" s="258">
        <v>3456</v>
      </c>
      <c r="F64" s="23" t="s">
        <v>1003</v>
      </c>
      <c r="G64" s="23" t="s">
        <v>413</v>
      </c>
      <c r="H64" s="193">
        <v>0.2</v>
      </c>
      <c r="I64" s="23" t="s">
        <v>1003</v>
      </c>
      <c r="J64" s="23" t="s">
        <v>408</v>
      </c>
      <c r="K64" s="193">
        <v>0.2</v>
      </c>
      <c r="L64" s="23"/>
      <c r="M64" s="23"/>
      <c r="N64" s="193"/>
      <c r="O64" s="23"/>
      <c r="P64" s="23"/>
      <c r="Q64" s="193"/>
    </row>
    <row r="65" spans="1:17" ht="20.100000000000001" customHeight="1" x14ac:dyDescent="0.25">
      <c r="A65"/>
      <c r="D65" s="37" t="s">
        <v>1004</v>
      </c>
      <c r="E65" s="258">
        <v>300</v>
      </c>
      <c r="F65" s="23" t="s">
        <v>1005</v>
      </c>
      <c r="G65" s="23" t="s">
        <v>411</v>
      </c>
      <c r="H65" s="193">
        <v>0.8</v>
      </c>
      <c r="I65" s="23" t="s">
        <v>1006</v>
      </c>
      <c r="J65" s="23" t="s">
        <v>1007</v>
      </c>
      <c r="K65" s="193">
        <v>0.2</v>
      </c>
      <c r="L65" s="23"/>
      <c r="M65" s="23"/>
      <c r="N65" s="193"/>
      <c r="O65" s="23"/>
      <c r="P65" s="23"/>
      <c r="Q65" s="193"/>
    </row>
    <row r="66" spans="1:17" ht="20.100000000000001" customHeight="1" x14ac:dyDescent="0.25">
      <c r="A66"/>
      <c r="D66" s="37"/>
      <c r="E66" s="258">
        <v>500</v>
      </c>
      <c r="F66" s="23" t="s">
        <v>1008</v>
      </c>
      <c r="G66" s="23" t="s">
        <v>411</v>
      </c>
      <c r="H66" s="193">
        <v>1</v>
      </c>
      <c r="I66" s="23"/>
      <c r="J66" s="23"/>
      <c r="K66" s="193"/>
      <c r="L66" s="23"/>
      <c r="M66" s="23"/>
      <c r="N66" s="193"/>
      <c r="O66" s="23"/>
      <c r="P66" s="23"/>
      <c r="Q66" s="193"/>
    </row>
    <row r="67" spans="1:17" ht="20.100000000000001" customHeight="1" x14ac:dyDescent="0.25">
      <c r="A67"/>
      <c r="D67" s="37"/>
      <c r="E67" s="258"/>
      <c r="F67" s="23"/>
      <c r="G67" s="23"/>
      <c r="H67" s="193"/>
      <c r="I67" s="23"/>
      <c r="J67" s="23"/>
      <c r="K67" s="193"/>
      <c r="L67" s="23"/>
      <c r="M67" s="23"/>
      <c r="N67" s="193"/>
      <c r="O67" s="23"/>
      <c r="P67" s="23"/>
      <c r="Q67" s="193"/>
    </row>
    <row r="68" spans="1:17" ht="20.100000000000001" customHeight="1" x14ac:dyDescent="0.25">
      <c r="A68"/>
      <c r="D68" s="37"/>
      <c r="E68" s="258"/>
      <c r="F68" s="23"/>
      <c r="G68" s="23"/>
      <c r="H68" s="193"/>
      <c r="I68" s="23"/>
      <c r="J68" s="23"/>
      <c r="K68" s="193"/>
      <c r="L68" s="23"/>
      <c r="M68" s="23"/>
      <c r="N68" s="193"/>
      <c r="O68" s="23"/>
      <c r="P68" s="23"/>
      <c r="Q68" s="193"/>
    </row>
    <row r="69" spans="1:17" ht="20.100000000000001" customHeight="1" x14ac:dyDescent="0.25">
      <c r="A69"/>
      <c r="D69" s="37"/>
      <c r="E69" s="258"/>
      <c r="F69" s="23"/>
      <c r="G69" s="23"/>
      <c r="H69" s="193"/>
      <c r="I69" s="23"/>
      <c r="J69" s="23"/>
      <c r="K69" s="193"/>
      <c r="L69" s="23"/>
      <c r="M69" s="23"/>
      <c r="N69" s="193"/>
      <c r="O69" s="23"/>
      <c r="P69" s="23"/>
      <c r="Q69" s="193"/>
    </row>
    <row r="70" spans="1:17" ht="20.100000000000001" customHeight="1" x14ac:dyDescent="0.25">
      <c r="A70"/>
      <c r="D70" s="37"/>
      <c r="E70" s="258"/>
      <c r="F70" s="23"/>
      <c r="G70" s="23"/>
      <c r="H70" s="193"/>
      <c r="I70" s="23"/>
      <c r="J70" s="23"/>
      <c r="K70" s="193"/>
      <c r="L70" s="23"/>
      <c r="M70" s="23"/>
      <c r="N70" s="193"/>
      <c r="O70" s="23"/>
      <c r="P70" s="23"/>
      <c r="Q70" s="193"/>
    </row>
    <row r="71" spans="1:17" ht="20.100000000000001" customHeight="1" x14ac:dyDescent="0.25">
      <c r="A71"/>
      <c r="D71" s="37"/>
      <c r="E71" s="258"/>
      <c r="F71" s="23"/>
      <c r="G71" s="23"/>
      <c r="H71" s="193"/>
      <c r="I71" s="23"/>
      <c r="J71" s="23"/>
      <c r="K71" s="193"/>
      <c r="L71" s="23"/>
      <c r="M71" s="23"/>
      <c r="N71" s="193"/>
      <c r="O71" s="23"/>
      <c r="P71" s="23"/>
      <c r="Q71" s="193"/>
    </row>
    <row r="72" spans="1:17" ht="20.100000000000001" customHeight="1" x14ac:dyDescent="0.25">
      <c r="A72"/>
      <c r="D72" s="37"/>
      <c r="E72" s="258"/>
      <c r="F72" s="23"/>
      <c r="G72" s="23"/>
      <c r="H72" s="193"/>
      <c r="I72" s="23"/>
      <c r="J72" s="23"/>
      <c r="K72" s="193"/>
      <c r="L72" s="23"/>
      <c r="M72" s="23"/>
      <c r="N72" s="193"/>
      <c r="O72" s="23"/>
      <c r="P72" s="23"/>
      <c r="Q72" s="193"/>
    </row>
    <row r="73" spans="1:17" ht="20.100000000000001" customHeight="1" x14ac:dyDescent="0.25">
      <c r="A73"/>
    </row>
    <row r="74" spans="1:17" ht="20.100000000000001" customHeight="1" x14ac:dyDescent="0.25">
      <c r="A74"/>
      <c r="K74" s="245"/>
    </row>
    <row r="75" spans="1:17" ht="20.100000000000001" customHeight="1" x14ac:dyDescent="0.25">
      <c r="A75"/>
      <c r="D75" s="2" t="s">
        <v>1009</v>
      </c>
    </row>
    <row r="76" spans="1:17" ht="20.100000000000001" customHeight="1" x14ac:dyDescent="0.25">
      <c r="A76"/>
      <c r="D76" s="36"/>
    </row>
    <row r="77" spans="1:17" ht="20.100000000000001" customHeight="1" x14ac:dyDescent="0.25">
      <c r="A77"/>
      <c r="D77" s="259" t="s">
        <v>1010</v>
      </c>
      <c r="E77" s="259" t="s">
        <v>1011</v>
      </c>
      <c r="F77" s="259" t="s">
        <v>1012</v>
      </c>
      <c r="G77" s="259" t="s">
        <v>709</v>
      </c>
    </row>
    <row r="78" spans="1:17" ht="20.100000000000001" customHeight="1" x14ac:dyDescent="0.25">
      <c r="A78"/>
      <c r="D78" s="44" t="s">
        <v>1013</v>
      </c>
      <c r="E78" s="44" t="s">
        <v>1014</v>
      </c>
      <c r="F78" s="86">
        <v>10000</v>
      </c>
      <c r="G78" s="23" t="s">
        <v>1015</v>
      </c>
    </row>
    <row r="79" spans="1:17" ht="20.100000000000001" customHeight="1" x14ac:dyDescent="0.25">
      <c r="A79"/>
      <c r="D79" s="44" t="s">
        <v>1016</v>
      </c>
      <c r="E79" s="44" t="s">
        <v>1017</v>
      </c>
      <c r="F79" s="86">
        <v>1000</v>
      </c>
      <c r="G79" s="23" t="s">
        <v>1018</v>
      </c>
    </row>
    <row r="80" spans="1:17" ht="20.100000000000001" customHeight="1" x14ac:dyDescent="0.25">
      <c r="A80"/>
      <c r="D80" s="44"/>
      <c r="E80" s="44"/>
      <c r="F80" s="86"/>
      <c r="G80" s="23"/>
    </row>
    <row r="81" spans="1:10" ht="20.100000000000001" customHeight="1" x14ac:dyDescent="0.25">
      <c r="A81"/>
      <c r="D81" s="44"/>
      <c r="E81" s="44"/>
      <c r="F81" s="86"/>
      <c r="G81" s="23"/>
    </row>
    <row r="82" spans="1:10" ht="20.100000000000001" customHeight="1" x14ac:dyDescent="0.25">
      <c r="A82"/>
      <c r="D82" s="44"/>
      <c r="E82" s="44"/>
      <c r="F82" s="86"/>
      <c r="G82" s="23"/>
    </row>
    <row r="83" spans="1:10" ht="20.100000000000001" customHeight="1" x14ac:dyDescent="0.25">
      <c r="A83"/>
      <c r="D83" s="44"/>
      <c r="E83" s="44"/>
      <c r="F83" s="86"/>
      <c r="G83" s="23"/>
    </row>
    <row r="84" spans="1:10" ht="20.100000000000001" customHeight="1" x14ac:dyDescent="0.25">
      <c r="A84"/>
      <c r="D84" s="44"/>
      <c r="E84" s="44"/>
      <c r="F84" s="86"/>
      <c r="G84" s="23"/>
    </row>
    <row r="85" spans="1:10" ht="20.100000000000001" customHeight="1" x14ac:dyDescent="0.25">
      <c r="A85"/>
      <c r="D85" s="44"/>
      <c r="E85" s="44"/>
      <c r="F85" s="86"/>
      <c r="G85" s="23"/>
    </row>
    <row r="86" spans="1:10" ht="20.100000000000001" customHeight="1" x14ac:dyDescent="0.25">
      <c r="A86"/>
      <c r="D86" s="44"/>
      <c r="E86" s="44"/>
      <c r="F86" s="86"/>
      <c r="G86" s="23"/>
    </row>
    <row r="87" spans="1:10" ht="20.100000000000001" customHeight="1" x14ac:dyDescent="0.25">
      <c r="A87"/>
      <c r="D87" s="44"/>
      <c r="E87" s="44"/>
      <c r="F87" s="86"/>
      <c r="G87" s="23"/>
    </row>
    <row r="88" spans="1:10" ht="20.100000000000001" customHeight="1" x14ac:dyDescent="0.25">
      <c r="A88"/>
    </row>
    <row r="89" spans="1:10" ht="20.100000000000001" customHeight="1" x14ac:dyDescent="0.25">
      <c r="A89"/>
    </row>
    <row r="90" spans="1:10" ht="20.100000000000001" customHeight="1" x14ac:dyDescent="0.25">
      <c r="A90"/>
      <c r="D90" s="2" t="s">
        <v>1019</v>
      </c>
    </row>
    <row r="91" spans="1:10" ht="20.100000000000001" customHeight="1" x14ac:dyDescent="0.25">
      <c r="A91"/>
    </row>
    <row r="92" spans="1:10" ht="20.100000000000001" customHeight="1" x14ac:dyDescent="0.25">
      <c r="A92"/>
      <c r="D92" s="159" t="s">
        <v>1020</v>
      </c>
      <c r="E92" s="159" t="s">
        <v>1021</v>
      </c>
      <c r="F92" s="159" t="s">
        <v>1022</v>
      </c>
      <c r="G92" s="159" t="s">
        <v>1023</v>
      </c>
      <c r="H92" s="159" t="s">
        <v>1024</v>
      </c>
      <c r="J92" s="35"/>
    </row>
    <row r="93" spans="1:10" ht="20.100000000000001" customHeight="1" x14ac:dyDescent="0.25">
      <c r="A93"/>
      <c r="D93" s="252" t="s">
        <v>1025</v>
      </c>
      <c r="E93" s="86">
        <v>100000</v>
      </c>
      <c r="F93" s="23" t="s">
        <v>1026</v>
      </c>
      <c r="G93" s="86">
        <v>0.02</v>
      </c>
      <c r="H93" s="25">
        <f>Table_Input_Packaging[[#This Row],[Quantity purchased]]*Table_Input_Packaging[[#This Row],[Weight per unit (kg)]]</f>
        <v>2000</v>
      </c>
      <c r="J93" s="35"/>
    </row>
    <row r="94" spans="1:10" ht="20.100000000000001" customHeight="1" x14ac:dyDescent="0.25">
      <c r="A94"/>
      <c r="D94" s="252"/>
      <c r="E94" s="260"/>
      <c r="F94" s="23"/>
      <c r="G94" s="86"/>
      <c r="H94" s="25">
        <f>Table_Input_Packaging[[#This Row],[Quantity purchased]]*Table_Input_Packaging[[#This Row],[Weight per unit (kg)]]</f>
        <v>0</v>
      </c>
      <c r="J94" s="35"/>
    </row>
    <row r="95" spans="1:10" ht="20.100000000000001" customHeight="1" x14ac:dyDescent="0.25">
      <c r="A95"/>
      <c r="D95" s="252"/>
      <c r="E95" s="260"/>
      <c r="F95" s="23"/>
      <c r="G95" s="86"/>
      <c r="H95" s="25">
        <f>Table_Input_Packaging[[#This Row],[Quantity purchased]]*Table_Input_Packaging[[#This Row],[Weight per unit (kg)]]</f>
        <v>0</v>
      </c>
      <c r="J95" s="35"/>
    </row>
    <row r="96" spans="1:10" ht="20.100000000000001" customHeight="1" x14ac:dyDescent="0.25">
      <c r="A96"/>
      <c r="D96" s="252"/>
      <c r="E96" s="260"/>
      <c r="F96" s="23"/>
      <c r="G96" s="86"/>
      <c r="H96" s="25">
        <f>Table_Input_Packaging[[#This Row],[Quantity purchased]]*Table_Input_Packaging[[#This Row],[Weight per unit (kg)]]</f>
        <v>0</v>
      </c>
      <c r="J96" s="35"/>
    </row>
    <row r="97" spans="1:10" ht="20.100000000000001" customHeight="1" x14ac:dyDescent="0.25">
      <c r="A97"/>
      <c r="D97" s="252"/>
      <c r="E97" s="260"/>
      <c r="F97" s="23"/>
      <c r="G97" s="86"/>
      <c r="H97" s="25">
        <f>Table_Input_Packaging[[#This Row],[Quantity purchased]]*Table_Input_Packaging[[#This Row],[Weight per unit (kg)]]</f>
        <v>0</v>
      </c>
      <c r="J97" s="2"/>
    </row>
    <row r="98" spans="1:10" ht="20.100000000000001" customHeight="1" x14ac:dyDescent="0.25">
      <c r="A98"/>
      <c r="D98" s="252"/>
      <c r="E98" s="260"/>
      <c r="F98" s="23"/>
      <c r="G98" s="86"/>
      <c r="H98" s="25">
        <f>Table_Input_Packaging[[#This Row],[Quantity purchased]]*Table_Input_Packaging[[#This Row],[Weight per unit (kg)]]</f>
        <v>0</v>
      </c>
      <c r="J98" s="1"/>
    </row>
    <row r="99" spans="1:10" ht="20.100000000000001" customHeight="1" x14ac:dyDescent="0.25">
      <c r="A99"/>
      <c r="D99" s="252"/>
      <c r="E99" s="260"/>
      <c r="F99" s="23"/>
      <c r="G99" s="86"/>
      <c r="H99" s="25">
        <f>Table_Input_Packaging[[#This Row],[Quantity purchased]]*Table_Input_Packaging[[#This Row],[Weight per unit (kg)]]</f>
        <v>0</v>
      </c>
      <c r="J99" s="1"/>
    </row>
    <row r="100" spans="1:10" ht="20.100000000000001" customHeight="1" x14ac:dyDescent="0.25">
      <c r="A100"/>
      <c r="D100" s="252"/>
      <c r="E100" s="260"/>
      <c r="F100" s="23"/>
      <c r="G100" s="86"/>
      <c r="H100" s="25">
        <f>Table_Input_Packaging[[#This Row],[Quantity purchased]]*Table_Input_Packaging[[#This Row],[Weight per unit (kg)]]</f>
        <v>0</v>
      </c>
      <c r="J100" s="1"/>
    </row>
    <row r="101" spans="1:10" ht="20.100000000000001" customHeight="1" x14ac:dyDescent="0.25">
      <c r="A101"/>
      <c r="D101" s="252"/>
      <c r="E101" s="260"/>
      <c r="F101" s="23"/>
      <c r="G101" s="86"/>
      <c r="H101" s="25">
        <f>Table_Input_Packaging[[#This Row],[Quantity purchased]]*Table_Input_Packaging[[#This Row],[Weight per unit (kg)]]</f>
        <v>0</v>
      </c>
      <c r="J101" s="1"/>
    </row>
    <row r="102" spans="1:10" ht="20.100000000000001" customHeight="1" x14ac:dyDescent="0.25">
      <c r="A102"/>
      <c r="D102" s="252"/>
      <c r="E102" s="260"/>
      <c r="F102" s="23"/>
      <c r="G102" s="86"/>
      <c r="H102" s="25">
        <f>Table_Input_Packaging[[#This Row],[Quantity purchased]]*Table_Input_Packaging[[#This Row],[Weight per unit (kg)]]</f>
        <v>0</v>
      </c>
      <c r="J102" s="1"/>
    </row>
    <row r="103" spans="1:10" ht="20.100000000000001" customHeight="1" x14ac:dyDescent="0.25">
      <c r="A103"/>
    </row>
    <row r="104" spans="1:10" ht="20.100000000000001" customHeight="1" x14ac:dyDescent="0.25">
      <c r="A104"/>
    </row>
    <row r="105" spans="1:10" ht="20.100000000000001" customHeight="1" x14ac:dyDescent="0.25">
      <c r="A105"/>
      <c r="D105" s="2" t="s">
        <v>1027</v>
      </c>
    </row>
    <row r="106" spans="1:10" ht="20.100000000000001" customHeight="1" x14ac:dyDescent="0.25">
      <c r="A106"/>
      <c r="D106" s="36"/>
    </row>
    <row r="107" spans="1:10" ht="20.100000000000001" customHeight="1" x14ac:dyDescent="0.25">
      <c r="A107"/>
      <c r="D107" s="259" t="s">
        <v>1028</v>
      </c>
      <c r="E107" s="259" t="s">
        <v>1012</v>
      </c>
      <c r="F107" s="259" t="s">
        <v>709</v>
      </c>
      <c r="J107" s="1"/>
    </row>
    <row r="108" spans="1:10" ht="20.100000000000001" customHeight="1" x14ac:dyDescent="0.25">
      <c r="A108"/>
      <c r="D108" s="44" t="s">
        <v>1029</v>
      </c>
      <c r="E108" s="86">
        <v>10000</v>
      </c>
      <c r="F108" s="23" t="s">
        <v>546</v>
      </c>
      <c r="J108" s="1"/>
    </row>
    <row r="109" spans="1:10" ht="20.100000000000001" customHeight="1" x14ac:dyDescent="0.25">
      <c r="A109"/>
      <c r="D109" s="44" t="s">
        <v>1030</v>
      </c>
      <c r="E109" s="86">
        <v>100</v>
      </c>
      <c r="F109" s="23" t="s">
        <v>1031</v>
      </c>
      <c r="J109" s="1"/>
    </row>
    <row r="110" spans="1:10" ht="20.100000000000001" customHeight="1" x14ac:dyDescent="0.25">
      <c r="A110"/>
      <c r="D110" s="44" t="s">
        <v>1032</v>
      </c>
      <c r="E110" s="86">
        <v>10000</v>
      </c>
      <c r="F110" s="23" t="s">
        <v>546</v>
      </c>
      <c r="J110" s="1"/>
    </row>
    <row r="111" spans="1:10" ht="20.100000000000001" customHeight="1" x14ac:dyDescent="0.25">
      <c r="A111"/>
      <c r="D111" s="44"/>
      <c r="E111" s="86"/>
      <c r="F111" s="23"/>
      <c r="J111" s="1"/>
    </row>
    <row r="112" spans="1:10" ht="20.100000000000001" customHeight="1" x14ac:dyDescent="0.25">
      <c r="A112"/>
      <c r="D112" s="44"/>
      <c r="E112" s="86"/>
      <c r="F112" s="23"/>
      <c r="J112" s="1"/>
    </row>
    <row r="113" spans="1:16" ht="20.100000000000001" customHeight="1" x14ac:dyDescent="0.25">
      <c r="A113"/>
      <c r="D113" s="44"/>
      <c r="E113" s="86"/>
      <c r="F113" s="23"/>
      <c r="J113" s="1"/>
      <c r="L113" s="35"/>
      <c r="M113" s="35"/>
      <c r="N113" s="35"/>
      <c r="O113" s="35"/>
      <c r="P113" s="35"/>
    </row>
    <row r="114" spans="1:16" ht="20.100000000000001" customHeight="1" x14ac:dyDescent="0.25">
      <c r="A114"/>
      <c r="D114" s="44"/>
      <c r="E114" s="86"/>
      <c r="F114" s="23"/>
      <c r="J114" s="1"/>
      <c r="L114" s="35"/>
      <c r="M114" s="35"/>
      <c r="N114" s="35"/>
      <c r="O114" s="35"/>
      <c r="P114" s="35"/>
    </row>
    <row r="115" spans="1:16" ht="20.100000000000001" customHeight="1" x14ac:dyDescent="0.25">
      <c r="A115"/>
      <c r="D115" s="44"/>
      <c r="E115" s="86"/>
      <c r="F115" s="23"/>
      <c r="J115" s="1"/>
      <c r="L115" s="35"/>
      <c r="M115" s="35"/>
      <c r="N115" s="35"/>
      <c r="O115" s="35"/>
      <c r="P115" s="35"/>
    </row>
    <row r="116" spans="1:16" ht="20.100000000000001" customHeight="1" x14ac:dyDescent="0.25">
      <c r="A116"/>
      <c r="D116" s="44"/>
      <c r="E116" s="86"/>
      <c r="F116" s="23"/>
      <c r="I116" s="35"/>
      <c r="J116" s="1"/>
      <c r="N116" s="35"/>
      <c r="O116" s="35"/>
      <c r="P116" s="35"/>
    </row>
    <row r="117" spans="1:16" ht="20.100000000000001" customHeight="1" x14ac:dyDescent="0.25">
      <c r="A117"/>
      <c r="D117" s="44"/>
      <c r="E117" s="86"/>
      <c r="F117" s="23"/>
      <c r="I117" s="35"/>
      <c r="J117" s="1"/>
      <c r="N117" s="35"/>
      <c r="O117" s="35"/>
      <c r="P117" s="35"/>
    </row>
    <row r="118" spans="1:16" ht="20.100000000000001" customHeight="1" x14ac:dyDescent="0.25">
      <c r="A118"/>
      <c r="J118" s="35"/>
      <c r="N118" s="2"/>
      <c r="O118" s="2"/>
      <c r="P118" s="35"/>
    </row>
    <row r="119" spans="1:16" ht="20.100000000000001" customHeight="1" x14ac:dyDescent="0.25">
      <c r="A119"/>
      <c r="J119" s="35"/>
      <c r="P119" s="249"/>
    </row>
    <row r="120" spans="1:16" ht="20.100000000000001" customHeight="1" x14ac:dyDescent="0.25">
      <c r="A120"/>
      <c r="D120" s="2" t="s">
        <v>1033</v>
      </c>
      <c r="J120" s="35"/>
      <c r="P120" s="249"/>
    </row>
    <row r="121" spans="1:16" ht="20.100000000000001" customHeight="1" x14ac:dyDescent="0.25">
      <c r="A121"/>
      <c r="D121" s="1" t="str">
        <f>'Constants - Scope 3'!E204</f>
        <v>Barley grain (for seed)</v>
      </c>
      <c r="E121" s="86">
        <v>500</v>
      </c>
      <c r="F121" s="26" t="s">
        <v>546</v>
      </c>
      <c r="J121" s="2"/>
      <c r="P121" s="249"/>
    </row>
    <row r="122" spans="1:16" ht="20.100000000000001" customHeight="1" x14ac:dyDescent="0.25">
      <c r="A122"/>
      <c r="D122" s="1" t="str">
        <f>'Constants - Scope 3'!E205</f>
        <v>Maize grain (for seed)</v>
      </c>
      <c r="E122" s="86">
        <v>600</v>
      </c>
      <c r="F122" s="26" t="s">
        <v>546</v>
      </c>
      <c r="G122" s="35"/>
      <c r="H122" s="1"/>
      <c r="J122" s="1"/>
      <c r="P122" s="249"/>
    </row>
    <row r="123" spans="1:16" ht="20.100000000000001" customHeight="1" x14ac:dyDescent="0.25">
      <c r="A123"/>
      <c r="D123" s="1" t="str">
        <f>'Constants - Scope 3'!E207</f>
        <v>Oat grain (for seed)</v>
      </c>
      <c r="E123" s="86">
        <v>700</v>
      </c>
      <c r="F123" s="26" t="s">
        <v>546</v>
      </c>
      <c r="G123" s="35"/>
      <c r="H123" s="1"/>
      <c r="J123" s="1"/>
      <c r="P123" s="249"/>
    </row>
    <row r="124" spans="1:16" ht="20.100000000000001" customHeight="1" x14ac:dyDescent="0.25">
      <c r="A124"/>
      <c r="D124" s="1" t="str">
        <f>'Constants - Scope 3'!E208</f>
        <v>Sorghum grain (for seed)</v>
      </c>
      <c r="E124" s="86">
        <v>800</v>
      </c>
      <c r="F124" s="26" t="s">
        <v>546</v>
      </c>
      <c r="G124" s="35"/>
      <c r="H124" s="35"/>
      <c r="J124" s="1"/>
      <c r="N124" s="35"/>
      <c r="O124" s="35"/>
      <c r="P124" s="35"/>
    </row>
    <row r="125" spans="1:16" ht="20.100000000000001" customHeight="1" x14ac:dyDescent="0.25">
      <c r="A125"/>
      <c r="D125" s="1" t="str">
        <f>'Constants - Scope 3'!E209</f>
        <v>Wheat grain (for seed)</v>
      </c>
      <c r="E125" s="86">
        <v>900</v>
      </c>
      <c r="F125" s="26" t="s">
        <v>546</v>
      </c>
      <c r="G125" s="35"/>
      <c r="H125" s="35"/>
      <c r="I125" s="35"/>
      <c r="J125" s="1"/>
      <c r="N125" s="35"/>
      <c r="O125" s="35"/>
      <c r="P125" s="35"/>
    </row>
    <row r="126" spans="1:16" ht="20.100000000000001" customHeight="1" x14ac:dyDescent="0.25">
      <c r="A126"/>
      <c r="G126" s="35"/>
      <c r="I126" s="35"/>
      <c r="J126" s="1"/>
    </row>
    <row r="127" spans="1:16" ht="20.100000000000001" customHeight="1" x14ac:dyDescent="0.25">
      <c r="A127"/>
      <c r="D127" s="2" t="s">
        <v>1034</v>
      </c>
      <c r="G127" s="1"/>
      <c r="I127" s="35"/>
      <c r="J127" s="35"/>
    </row>
    <row r="128" spans="1:16" ht="20.100000000000001" customHeight="1" x14ac:dyDescent="0.25">
      <c r="A128"/>
      <c r="D128" s="1" t="str">
        <f>'Constants - Scope 3'!E202</f>
        <v>Animal ear tags (large)</v>
      </c>
      <c r="E128" s="86">
        <v>100</v>
      </c>
      <c r="F128" s="26" t="s">
        <v>1035</v>
      </c>
      <c r="G128" s="1"/>
      <c r="I128" s="35"/>
      <c r="J128" s="35"/>
    </row>
    <row r="129" spans="1:13" ht="20.100000000000001" customHeight="1" x14ac:dyDescent="0.25">
      <c r="A129"/>
      <c r="D129" s="1" t="str">
        <f>'Constants - Scope 3'!E203</f>
        <v>Animal ear tags (small)</v>
      </c>
      <c r="E129" s="86">
        <v>200</v>
      </c>
      <c r="F129" s="26" t="s">
        <v>1035</v>
      </c>
      <c r="G129" s="1"/>
      <c r="I129" s="35"/>
      <c r="L129" s="35"/>
      <c r="M129" s="35"/>
    </row>
    <row r="130" spans="1:13" ht="20.100000000000001" customHeight="1" x14ac:dyDescent="0.25">
      <c r="A130"/>
      <c r="D130" s="1" t="str">
        <f>'Constants - Scope 3'!E206</f>
        <v>Nylon netting</v>
      </c>
      <c r="E130" s="86">
        <v>300</v>
      </c>
      <c r="F130" s="26" t="s">
        <v>546</v>
      </c>
      <c r="G130" s="1"/>
      <c r="I130" s="35"/>
      <c r="L130" s="35"/>
      <c r="M130" s="35"/>
    </row>
    <row r="131" spans="1:13" ht="20.100000000000001" customHeight="1" x14ac:dyDescent="0.25">
      <c r="A131"/>
      <c r="G131" s="1"/>
      <c r="I131" s="1"/>
      <c r="L131" s="2"/>
      <c r="M131" s="2"/>
    </row>
    <row r="132" spans="1:13" ht="20.100000000000001" customHeight="1" x14ac:dyDescent="0.25">
      <c r="A132"/>
      <c r="G132" s="35"/>
      <c r="I132" s="1"/>
    </row>
    <row r="133" spans="1:13" ht="20.100000000000001" customHeight="1" x14ac:dyDescent="0.25">
      <c r="A133"/>
      <c r="D133" s="2" t="s">
        <v>1036</v>
      </c>
      <c r="G133" s="35"/>
      <c r="I133" s="1"/>
    </row>
    <row r="134" spans="1:13" ht="20.100000000000001" customHeight="1" x14ac:dyDescent="0.25">
      <c r="A134"/>
      <c r="D134" s="36"/>
      <c r="I134" s="1"/>
    </row>
    <row r="135" spans="1:13" ht="20.100000000000001" customHeight="1" x14ac:dyDescent="0.25">
      <c r="A135"/>
      <c r="D135" s="112" t="s">
        <v>1037</v>
      </c>
      <c r="E135" s="112" t="s">
        <v>801</v>
      </c>
      <c r="F135" s="112" t="s">
        <v>709</v>
      </c>
      <c r="I135" s="1"/>
    </row>
    <row r="136" spans="1:13" ht="20.100000000000001" customHeight="1" x14ac:dyDescent="0.25">
      <c r="A136"/>
      <c r="D136" s="44" t="s">
        <v>1038</v>
      </c>
      <c r="E136" s="86">
        <v>1000</v>
      </c>
      <c r="F136" s="44" t="s">
        <v>546</v>
      </c>
      <c r="I136" s="35"/>
    </row>
    <row r="137" spans="1:13" ht="20.100000000000001" customHeight="1" x14ac:dyDescent="0.25">
      <c r="A137"/>
      <c r="D137" s="44"/>
      <c r="E137" s="86"/>
      <c r="F137" s="44"/>
      <c r="I137" s="35"/>
      <c r="L137" s="35"/>
      <c r="M137" s="35"/>
    </row>
    <row r="138" spans="1:13" ht="20.100000000000001" customHeight="1" x14ac:dyDescent="0.25">
      <c r="A138"/>
      <c r="D138" s="44"/>
      <c r="E138" s="86"/>
      <c r="F138" s="44"/>
      <c r="L138" s="35"/>
      <c r="M138" s="35"/>
    </row>
    <row r="139" spans="1:13" ht="20.100000000000001" customHeight="1" x14ac:dyDescent="0.25">
      <c r="A139"/>
      <c r="D139" s="44"/>
      <c r="E139" s="86"/>
      <c r="F139" s="44"/>
    </row>
    <row r="140" spans="1:13" ht="20.100000000000001" customHeight="1" x14ac:dyDescent="0.25">
      <c r="A140"/>
      <c r="D140" s="44"/>
      <c r="E140" s="86"/>
      <c r="F140" s="44"/>
    </row>
    <row r="141" spans="1:13" ht="20.100000000000001" customHeight="1" x14ac:dyDescent="0.25">
      <c r="A141"/>
      <c r="D141" s="44"/>
      <c r="E141" s="86"/>
      <c r="F141" s="44"/>
    </row>
    <row r="142" spans="1:13" ht="20.100000000000001" customHeight="1" x14ac:dyDescent="0.25">
      <c r="A142"/>
      <c r="D142" s="44"/>
      <c r="E142" s="86"/>
      <c r="F142" s="44"/>
    </row>
    <row r="143" spans="1:13" ht="20.100000000000001" customHeight="1" x14ac:dyDescent="0.25">
      <c r="A143"/>
      <c r="D143" s="44"/>
      <c r="E143" s="86"/>
      <c r="F143" s="44"/>
    </row>
    <row r="144" spans="1:13" ht="20.100000000000001" customHeight="1" x14ac:dyDescent="0.25">
      <c r="A144"/>
      <c r="D144" s="44"/>
      <c r="E144" s="86"/>
      <c r="F144" s="44"/>
    </row>
    <row r="145" spans="1:6" ht="20.100000000000001" customHeight="1" x14ac:dyDescent="0.25">
      <c r="A145"/>
      <c r="D145" s="44"/>
      <c r="E145" s="86"/>
      <c r="F145" s="44"/>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4"/>
    </row>
    <row r="166" spans="11:19" ht="20.100000000000001" customHeight="1" x14ac:dyDescent="0.25">
      <c r="S166" s="94"/>
    </row>
    <row r="167" spans="11:19" ht="20.100000000000001" customHeight="1" x14ac:dyDescent="0.25">
      <c r="S167" s="94"/>
    </row>
    <row r="168" spans="11:19" ht="20.100000000000001" customHeight="1" x14ac:dyDescent="0.25">
      <c r="S168" s="94"/>
    </row>
    <row r="169" spans="11:19" ht="20.100000000000001" customHeight="1" x14ac:dyDescent="0.25">
      <c r="S169" s="94"/>
    </row>
    <row r="170" spans="11:19" ht="20.100000000000001" customHeight="1" x14ac:dyDescent="0.25">
      <c r="S170" s="94"/>
    </row>
    <row r="171" spans="11:19" ht="20.100000000000001" customHeight="1" x14ac:dyDescent="0.25">
      <c r="S171" s="94"/>
    </row>
    <row r="172" spans="11:19" ht="20.100000000000001" customHeight="1" x14ac:dyDescent="0.25">
      <c r="S172" s="94"/>
    </row>
    <row r="173" spans="11:19" ht="20.100000000000001" customHeight="1" x14ac:dyDescent="0.25">
      <c r="S173" s="94"/>
    </row>
    <row r="174" spans="11:19" ht="20.100000000000001" customHeight="1" x14ac:dyDescent="0.25">
      <c r="S174" s="94"/>
    </row>
    <row r="175" spans="11:19" ht="20.100000000000001" customHeight="1" x14ac:dyDescent="0.25">
      <c r="S175" s="94"/>
    </row>
    <row r="176" spans="11:19" ht="20.100000000000001" customHeight="1" x14ac:dyDescent="0.25">
      <c r="K176" s="35"/>
    </row>
    <row r="177" spans="11:19" ht="20.100000000000001" customHeight="1" x14ac:dyDescent="0.25">
      <c r="K177" s="35"/>
    </row>
    <row r="178" spans="11:19" ht="20.100000000000001" customHeight="1" x14ac:dyDescent="0.25"/>
    <row r="179" spans="11:19" ht="20.100000000000001" customHeight="1" x14ac:dyDescent="0.25"/>
    <row r="180" spans="11:19" ht="20.100000000000001" customHeight="1" x14ac:dyDescent="0.25">
      <c r="S180" s="94"/>
    </row>
    <row r="181" spans="11:19" ht="20.100000000000001" customHeight="1" x14ac:dyDescent="0.25">
      <c r="S181" s="94"/>
    </row>
    <row r="182" spans="11:19" ht="20.100000000000001" customHeight="1" x14ac:dyDescent="0.25">
      <c r="S182" s="94"/>
    </row>
    <row r="183" spans="11:19" ht="20.100000000000001" customHeight="1" x14ac:dyDescent="0.25">
      <c r="S183" s="94"/>
    </row>
    <row r="184" spans="11:19" ht="20.100000000000001" customHeight="1" x14ac:dyDescent="0.25">
      <c r="S184" s="94"/>
    </row>
    <row r="185" spans="11:19" ht="20.100000000000001" customHeight="1" x14ac:dyDescent="0.25">
      <c r="S185" s="94"/>
    </row>
    <row r="186" spans="11:19" ht="20.100000000000001" customHeight="1" x14ac:dyDescent="0.25">
      <c r="S186" s="94"/>
    </row>
    <row r="187" spans="11:19" ht="20.100000000000001" customHeight="1" x14ac:dyDescent="0.25">
      <c r="S187" s="94"/>
    </row>
    <row r="188" spans="11:19" ht="20.100000000000001" customHeight="1" x14ac:dyDescent="0.25">
      <c r="S188" s="94"/>
    </row>
    <row r="189" spans="11:19" ht="20.100000000000001" customHeight="1" x14ac:dyDescent="0.25">
      <c r="S189" s="94"/>
    </row>
    <row r="190" spans="11:19" ht="20.100000000000001" customHeight="1" x14ac:dyDescent="0.25">
      <c r="S190" s="94"/>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11">
    <dataValidation type="list" allowBlank="1" showInputMessage="1" showErrorMessage="1" sqref="F108:F117" xr:uid="{8A0FDA11-871B-44BE-9165-E0ED58E90477}">
      <formula1>"kg, m3"</formula1>
    </dataValidation>
    <dataValidation type="list" allowBlank="1" showInputMessage="1" showErrorMessage="1" sqref="N122:N123 H122:H123 J125:J126 L135:L136" xr:uid="{62E95AC8-6E64-4171-B50F-3B378F0F382B}">
      <formula1>INDIRECT("Table_Scope3_AquacultureFeedBait[Feed / Bait ingredient]")</formula1>
    </dataValidation>
    <dataValidation type="list" allowBlank="1" showInputMessage="1" showErrorMessage="1" sqref="F63:F72 I63:I72 L63:L72 O63:O72" xr:uid="{0CB1E262-24D1-41DE-AC81-3091D48C00FF}">
      <formula1>INDIRECT(_xlfn.UNIQUE("Table_SourceData_Scope3_Feed[Product]"))</formula1>
    </dataValidation>
    <dataValidation type="list" allowBlank="1" showInputMessage="1" showErrorMessage="1" sqref="M63:M72 P63:P72 J63:J72 G63:G72" xr:uid="{61BC37D0-6365-4A2A-9505-E09EA2A2D003}">
      <formula1>INDIRECT("Table_ProductRegions_" &amp; SUBSTITUTE(SUBSTITUTE(SUBSTITUTE(SUBSTITUTE(F63, " ", ""), ",", ""), "(", ""), ")", "") &amp; "[Region]")</formula1>
    </dataValidation>
    <dataValidation type="list" allowBlank="1" showInputMessage="1" showErrorMessage="1" sqref="G78:G87" xr:uid="{19378C1F-197F-4ACF-959F-0562505420A1}">
      <formula1>"Hour, Hectare"</formula1>
    </dataValidation>
    <dataValidation type="list" allowBlank="1" showInputMessage="1" showErrorMessage="1" sqref="E37:E46" xr:uid="{3DEE6F53-40C2-412C-9B51-4F91EB65A5D7}">
      <formula1>INDIRECT("Table_SourceData_Scope3_ChemicalsPharmacy[Product]")</formula1>
    </dataValidation>
    <dataValidation type="list" allowBlank="1" showInputMessage="1" showErrorMessage="1" sqref="F11:F20" xr:uid="{E904AEDE-9491-4757-A908-AC0300ACA277}">
      <formula1>"kg / hectare, litre / hectare"</formula1>
    </dataValidation>
    <dataValidation type="list" allowBlank="1" showInputMessage="1" showErrorMessage="1" sqref="I11:I20" xr:uid="{A590B4EA-4810-4889-A686-89F5EC35BB7C}">
      <formula1>"grams/litre or grams/kg, fraction of product"</formula1>
    </dataValidation>
    <dataValidation type="list" allowBlank="1" showInputMessage="1" showErrorMessage="1" sqref="J11:J20 M11:M20 P11:P20" xr:uid="{00EBBAD3-32D2-4652-B9F7-D3A2E25302FB}">
      <formula1>INDIRECT("Table_SourceData_Scope3_Pesticides[Product]")</formula1>
    </dataValidation>
    <dataValidation type="list" allowBlank="1" showInputMessage="1" showErrorMessage="1" sqref="F93:F102" xr:uid="{B94272A2-8E44-484D-8FCB-98524BE6E6CA}">
      <formula1>INDIRECT("Table_SourceData_Scope3_Packaging[Product]")</formula1>
    </dataValidation>
    <dataValidation type="list" allowBlank="1" showInputMessage="1" showErrorMessage="1" sqref="E24:E33" xr:uid="{8A71ACAE-A8D9-4361-9322-4530275BD679}">
      <formula1>INDIRECT("Table_SourceData_Scope3_ChemicalsCleaning[Product]")</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D6170-A9CD-42C3-9DD7-32D76F1785E1}">
  <sheetPr>
    <tabColor theme="5" tint="-0.249977111117893"/>
  </sheetPr>
  <dimension ref="A1:J160"/>
  <sheetViews>
    <sheetView showGridLines="0"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4" width="46.5703125" style="1" customWidth="1"/>
    <col min="5" max="9" width="35" style="1" customWidth="1"/>
    <col min="10" max="10" width="5.28515625" style="1" customWidth="1"/>
    <col min="11" max="16384" width="9.140625" style="244"/>
  </cols>
  <sheetData>
    <row r="1" spans="1:10" s="16" customFormat="1" ht="30" customHeight="1" x14ac:dyDescent="0.35">
      <c r="C1" s="16" t="s">
        <v>1039</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row>
    <row r="6" spans="1:10" ht="20.100000000000001" customHeight="1" x14ac:dyDescent="0.25">
      <c r="A6"/>
      <c r="D6" s="2" t="s">
        <v>1040</v>
      </c>
    </row>
    <row r="7" spans="1:10" ht="20.100000000000001" customHeight="1" x14ac:dyDescent="0.25">
      <c r="A7"/>
    </row>
    <row r="8" spans="1:10" ht="20.100000000000001" customHeight="1" x14ac:dyDescent="0.25">
      <c r="A8" s="7" t="s">
        <v>0</v>
      </c>
      <c r="D8" s="30" t="s">
        <v>1041</v>
      </c>
      <c r="E8" s="30" t="s">
        <v>1042</v>
      </c>
      <c r="F8" s="30" t="s">
        <v>1043</v>
      </c>
      <c r="G8" s="30" t="s">
        <v>1044</v>
      </c>
      <c r="H8" s="30" t="s">
        <v>1045</v>
      </c>
    </row>
    <row r="9" spans="1:10" ht="20.100000000000001" customHeight="1" x14ac:dyDescent="0.25">
      <c r="A9" s="5" t="str">
        <f>HYPERLINK("#'Input - Enterprise'!A1", "Enterprise")</f>
        <v>Enterprise</v>
      </c>
      <c r="D9" s="30" t="s">
        <v>1046</v>
      </c>
      <c r="E9" s="23" t="s">
        <v>1047</v>
      </c>
      <c r="F9" s="30">
        <v>986</v>
      </c>
      <c r="G9" s="30">
        <v>10</v>
      </c>
      <c r="H9" s="30">
        <v>52</v>
      </c>
    </row>
    <row r="10" spans="1:10" ht="20.100000000000001" customHeight="1" x14ac:dyDescent="0.25">
      <c r="A10" s="5" t="str">
        <f>HYPERLINK("#'Input - Site'!A1", "Site")</f>
        <v>Site</v>
      </c>
      <c r="D10" s="30" t="s">
        <v>1048</v>
      </c>
      <c r="E10" s="23" t="s">
        <v>1049</v>
      </c>
      <c r="F10" s="30">
        <v>65</v>
      </c>
      <c r="G10" s="30">
        <v>10</v>
      </c>
      <c r="H10" s="30">
        <v>6</v>
      </c>
    </row>
    <row r="11" spans="1:10" ht="20.100000000000001" customHeight="1" x14ac:dyDescent="0.25">
      <c r="A11" s="5" t="str">
        <f>HYPERLINK("#'Input - Pasture Beef'!A1", "Pasture Beef")</f>
        <v>Pasture Beef</v>
      </c>
      <c r="D11" s="30"/>
      <c r="E11" s="23"/>
      <c r="F11" s="30"/>
      <c r="G11" s="30"/>
      <c r="H11" s="30"/>
    </row>
    <row r="12" spans="1:10" ht="20.100000000000001" customHeight="1" x14ac:dyDescent="0.25">
      <c r="A12" s="5" t="str">
        <f>HYPERLINK("#'Input - Pasture Beef (Enteric)'!A1", "Pasture Beef (Enteric)")</f>
        <v>Pasture Beef (Enteric)</v>
      </c>
      <c r="D12" s="30"/>
      <c r="E12" s="23"/>
      <c r="F12" s="30"/>
      <c r="G12" s="30"/>
      <c r="H12" s="30"/>
    </row>
    <row r="13" spans="1:10" ht="20.100000000000001" customHeight="1" x14ac:dyDescent="0.25">
      <c r="A13" s="5" t="str">
        <f>HYPERLINK("#'Input - Livestock sales'!A1", "Livestock sales")</f>
        <v>Livestock sales</v>
      </c>
      <c r="D13" s="30"/>
      <c r="E13" s="23"/>
      <c r="F13" s="30"/>
      <c r="G13" s="30"/>
      <c r="H13" s="30"/>
    </row>
    <row r="14" spans="1:10" ht="20.100000000000001" customHeight="1" x14ac:dyDescent="0.25">
      <c r="A14" s="5" t="str">
        <f>HYPERLINK("#'Input - Beef cattle purchases'!A1", "Beef cattle purchases")</f>
        <v>Beef cattle purchases</v>
      </c>
      <c r="D14" s="30"/>
      <c r="E14" s="23"/>
      <c r="F14" s="30"/>
      <c r="G14" s="30"/>
      <c r="H14" s="30"/>
    </row>
    <row r="15" spans="1:10" ht="20.100000000000001" customHeight="1" x14ac:dyDescent="0.25">
      <c r="A15" s="5" t="str">
        <f>HYPERLINK("#'Input - Pasture'!A1", "Pasture")</f>
        <v>Pasture</v>
      </c>
      <c r="D15" s="30"/>
      <c r="E15" s="23"/>
      <c r="F15" s="30"/>
      <c r="G15" s="30"/>
      <c r="H15" s="30"/>
    </row>
    <row r="16" spans="1:10" ht="20.100000000000001" customHeight="1" x14ac:dyDescent="0.25">
      <c r="A16" s="5" t="str">
        <f>HYPERLINK("#'Input - Fert Prod System'!A1", "Fert Prod System")</f>
        <v>Fert Prod System</v>
      </c>
      <c r="D16" s="30"/>
      <c r="E16" s="23"/>
      <c r="F16" s="30"/>
      <c r="G16" s="30"/>
      <c r="H16" s="30"/>
    </row>
    <row r="17" spans="1:8" ht="20.100000000000001" customHeight="1" x14ac:dyDescent="0.25">
      <c r="A17" s="5" t="str">
        <f>HYPERLINK("#'Input - Fertiliser'!A1", "Fertiliser")</f>
        <v>Fertiliser</v>
      </c>
      <c r="D17" s="30"/>
      <c r="E17" s="23"/>
      <c r="F17" s="30"/>
      <c r="G17" s="30"/>
      <c r="H17" s="30"/>
    </row>
    <row r="18" spans="1:8" ht="20.100000000000001" customHeight="1" x14ac:dyDescent="0.25">
      <c r="A18" s="5" t="str">
        <f>HYPERLINK("#'Input - Fuel'!A1", "Fuel")</f>
        <v>Fuel</v>
      </c>
      <c r="D18" s="30"/>
      <c r="E18" s="23"/>
      <c r="F18" s="30"/>
      <c r="G18" s="30"/>
      <c r="H18" s="30"/>
    </row>
    <row r="19" spans="1:8" ht="20.100000000000001" customHeight="1" x14ac:dyDescent="0.25">
      <c r="A19" s="5" t="str">
        <f>HYPERLINK("#'Input - Electricity'!A1", "Electricity")</f>
        <v>Electricity</v>
      </c>
    </row>
    <row r="20" spans="1:8" ht="20.100000000000001" customHeight="1" x14ac:dyDescent="0.25">
      <c r="A20" s="5" t="str">
        <f>HYPERLINK("#'Input - Farm Inputs'!A1", "Farm Inputs")</f>
        <v>Farm Inputs</v>
      </c>
    </row>
    <row r="21" spans="1:8" ht="20.100000000000001" customHeight="1" x14ac:dyDescent="0.25">
      <c r="A21" s="95" t="str">
        <f>HYPERLINK("#'Input - Freight'!A1", "Freight")</f>
        <v>Freight</v>
      </c>
    </row>
    <row r="22" spans="1:8" ht="20.100000000000001" customHeight="1" x14ac:dyDescent="0.25">
      <c r="A22" s="5" t="str">
        <f>HYPERLINK("#'Input - Manure sent off-site'!A1", "Manure sent off-site")</f>
        <v>Manure sent off-site</v>
      </c>
      <c r="D22" s="2" t="s">
        <v>1050</v>
      </c>
    </row>
    <row r="23" spans="1:8" ht="20.100000000000001" customHeight="1" x14ac:dyDescent="0.25">
      <c r="A23" s="5" t="str">
        <f>HYPERLINK("#'Input - Solid waste'!A1", "Solid waste")</f>
        <v>Solid waste</v>
      </c>
    </row>
    <row r="24" spans="1:8" ht="20.100000000000001" customHeight="1" x14ac:dyDescent="0.25">
      <c r="A24"/>
      <c r="D24" s="30" t="s">
        <v>1041</v>
      </c>
      <c r="E24" s="30" t="s">
        <v>1042</v>
      </c>
      <c r="F24" s="30" t="s">
        <v>1043</v>
      </c>
      <c r="G24" s="30" t="s">
        <v>1044</v>
      </c>
      <c r="H24" s="30" t="s">
        <v>1045</v>
      </c>
    </row>
    <row r="25" spans="1:8" ht="20.100000000000001" customHeight="1" x14ac:dyDescent="0.25">
      <c r="A25"/>
      <c r="D25" s="30" t="s">
        <v>1051</v>
      </c>
      <c r="E25" s="23" t="s">
        <v>1047</v>
      </c>
      <c r="F25" s="30">
        <v>65</v>
      </c>
      <c r="G25" s="30">
        <v>20</v>
      </c>
      <c r="H25" s="30">
        <v>52</v>
      </c>
    </row>
    <row r="26" spans="1:8" ht="20.100000000000001" customHeight="1" x14ac:dyDescent="0.25">
      <c r="A26" s="6" t="s">
        <v>2</v>
      </c>
      <c r="D26" s="30"/>
      <c r="E26" s="23"/>
      <c r="F26" s="30"/>
      <c r="G26" s="30"/>
      <c r="H26" s="30"/>
    </row>
    <row r="27" spans="1:8" ht="20.100000000000001" customHeight="1" x14ac:dyDescent="0.25">
      <c r="A27" s="5" t="str">
        <f>HYPERLINK("#'3.2.1.1-2 Enteric Methane'!A1", "3.2.1.1-2 Enteric methane")</f>
        <v>3.2.1.1-2 Enteric methane</v>
      </c>
      <c r="D27" s="30"/>
      <c r="E27" s="23"/>
      <c r="F27" s="30"/>
      <c r="G27" s="30"/>
      <c r="H27" s="30"/>
    </row>
    <row r="28" spans="1:8" ht="20.100000000000001" customHeight="1" x14ac:dyDescent="0.25">
      <c r="A28" s="5" t="str">
        <f>HYPERLINK("#'4.2.1.1-2 Methane'!A1", "4.2.1.1-2 Manure methane")</f>
        <v>4.2.1.1-2 Manure methane</v>
      </c>
      <c r="D28" s="30"/>
      <c r="E28" s="23"/>
      <c r="F28" s="30"/>
      <c r="G28" s="30"/>
      <c r="H28" s="30"/>
    </row>
    <row r="29" spans="1:8" ht="20.100000000000001" customHeight="1" x14ac:dyDescent="0.25">
      <c r="A29" s="5" t="str">
        <f>HYPERLINK("#'4.2.1.3-4 Soil direct N20'!A1", "4.2.1.3-4 Soil direct N2O")</f>
        <v>4.2.1.3-4 Soil direct N2O</v>
      </c>
      <c r="D29" s="30"/>
      <c r="E29" s="23"/>
      <c r="F29" s="30"/>
      <c r="G29" s="30"/>
      <c r="H29" s="30"/>
    </row>
    <row r="30" spans="1:8" ht="20.100000000000001" customHeight="1" x14ac:dyDescent="0.25">
      <c r="A30" s="5" t="str">
        <f>HYPERLINK("#'4.2.1.5-6 Soil Atmos Dep'!A1", "4.2.1.5-6 Soil atm. deposition")</f>
        <v>4.2.1.5-6 Soil atm. deposition</v>
      </c>
      <c r="D30" s="30"/>
      <c r="E30" s="23"/>
      <c r="F30" s="30"/>
      <c r="G30" s="30"/>
      <c r="H30" s="30"/>
    </row>
    <row r="31" spans="1:8" ht="20.100000000000001" customHeight="1" x14ac:dyDescent="0.25">
      <c r="A31" s="5" t="str">
        <f>HYPERLINK("#'4.2.1.7-8 Soil leach runoff'!A1", "4.2.1.7-8 Soil leach &amp; runoff")</f>
        <v>4.2.1.7-8 Soil leach &amp; runoff</v>
      </c>
      <c r="D31" s="30"/>
      <c r="E31" s="23"/>
      <c r="F31" s="30"/>
      <c r="G31" s="30"/>
      <c r="H31" s="30"/>
    </row>
    <row r="32" spans="1:8" ht="20.100000000000001" customHeight="1" x14ac:dyDescent="0.25">
      <c r="A32" s="5" t="str">
        <f>HYPERLINK("#'5.1.1.1-2 Inorganic fert N2O'!A1", "5.1.1.1-2 Inorganic fert N2O")</f>
        <v>5.1.1.1-2 Inorganic fert N2O</v>
      </c>
      <c r="D32" s="30"/>
      <c r="E32" s="23"/>
      <c r="F32" s="30"/>
      <c r="G32" s="30"/>
      <c r="H32" s="30"/>
    </row>
    <row r="33" spans="1:8" ht="20.100000000000001" customHeight="1" x14ac:dyDescent="0.25">
      <c r="A33" s="5" t="str">
        <f>HYPERLINK("#'5.1.1.3-4 Inorganic fert CO2'!A1", "5.1.1.3-4 Inorganic fert CO2")</f>
        <v>5.1.1.3-4 Inorganic fert CO2</v>
      </c>
      <c r="D33" s="30"/>
      <c r="E33" s="23"/>
      <c r="F33" s="30"/>
      <c r="G33" s="30"/>
      <c r="H33" s="30"/>
    </row>
    <row r="34" spans="1:8" ht="20.100000000000001" customHeight="1" x14ac:dyDescent="0.25">
      <c r="A34" s="5" t="str">
        <f>HYPERLINK("#'5.2.1.1-2 Organic Fert N2O'!A1", "5.2.1.1-2 Organic fert N2O")</f>
        <v>5.2.1.1-2 Organic fert N2O</v>
      </c>
      <c r="D34" s="30"/>
      <c r="E34" s="23"/>
      <c r="F34" s="30"/>
      <c r="G34" s="30"/>
      <c r="H34" s="30"/>
    </row>
    <row r="35" spans="1:8" ht="20.100000000000001" customHeight="1" x14ac:dyDescent="0.25">
      <c r="A35" s="5" t="str">
        <f>HYPERLINK("#'5.3.1.1-2 Lime CO2'!A1", "5.3.1.1-2 Lime CO2")</f>
        <v>5.3.1.1-2 Lime CO2</v>
      </c>
    </row>
    <row r="36" spans="1:8" ht="20.100000000000001" customHeight="1" x14ac:dyDescent="0.25">
      <c r="A36" s="5" t="str">
        <f>HYPERLINK("#'5.4.1.1-4 Atmos deposition'!A1", "5.4.1.1-4 Atmos. deposition")</f>
        <v>5.4.1.1-4 Atmos. deposition</v>
      </c>
    </row>
    <row r="37" spans="1:8" ht="20.100000000000001" customHeight="1" x14ac:dyDescent="0.25">
      <c r="A37" s="5" t="str">
        <f>HYPERLINK("#'5.5.1.1-2 Leaching and runoff'!A1", "5.5.1.1-2 Leaching &amp; runoff")</f>
        <v>5.5.1.1-2 Leaching &amp; runoff</v>
      </c>
    </row>
    <row r="38" spans="1:8" ht="20.100000000000001" customHeight="1" x14ac:dyDescent="0.25">
      <c r="A38" s="5" t="str">
        <f>HYPERLINK("#'6.2.1.1-2 Pasture residue N2O'!A1", "6.2.1.1-2 Pasture residue N2O")</f>
        <v>6.2.1.1-2 Pasture residue N2O</v>
      </c>
    </row>
    <row r="39" spans="1:8" ht="20.100000000000001" customHeight="1" x14ac:dyDescent="0.25">
      <c r="A39" s="5" t="str">
        <f>HYPERLINK("#'6.3.1.1-2 Leach runoff pasture'!A1", "6.3.1.1-2 Leach &amp; runoff (pasture)")</f>
        <v>6.3.1.1-2 Leach &amp; runoff (pasture)</v>
      </c>
    </row>
    <row r="40" spans="1:8" ht="20.100000000000001" customHeight="1" x14ac:dyDescent="0.25">
      <c r="A40" s="5" t="str">
        <f>HYPERLINK("#'8.1.1.1-2 Transport fuel'!A1", "8.1.1.1-2 Transport fuel")</f>
        <v>8.1.1.1-2 Transport fuel</v>
      </c>
    </row>
    <row r="41" spans="1:8" ht="20.100000000000001" customHeight="1" x14ac:dyDescent="0.25">
      <c r="A41" s="5" t="str">
        <f>HYPERLINK("#'8.2.1.1-2 Stationary fuel'!A1", "8.2.1.1-2 Stationary fuel")</f>
        <v>8.2.1.1-2 Stationary fuel</v>
      </c>
    </row>
    <row r="42" spans="1:8" ht="20.100000000000001" customHeight="1" x14ac:dyDescent="0.25">
      <c r="A42" s="5" t="str">
        <f>HYPERLINK("#'14.1.1-2 Purchased electricity'!A1", "14.1.1-2 Purchased electricity")</f>
        <v>14.1.1-2 Purchased electricity</v>
      </c>
    </row>
    <row r="43" spans="1:8" ht="20.100000000000001" customHeight="1" x14ac:dyDescent="0.25">
      <c r="A43" s="5" t="str">
        <f>HYPERLINK("#'15 Scope 3'!A1", "15 Scope 3")</f>
        <v>15 Scope 3</v>
      </c>
    </row>
    <row r="44" spans="1:8" ht="20.100000000000001" customHeight="1" x14ac:dyDescent="0.25">
      <c r="A44" s="5" t="str">
        <f>HYPERLINK("#'Calcs - Manure sent off-site'!A1", "Calcs - Manure sent off-site")</f>
        <v>Calcs - Manure sent off-site</v>
      </c>
    </row>
    <row r="45" spans="1:8" ht="20.100000000000001" customHeight="1" x14ac:dyDescent="0.25">
      <c r="A45" s="5" t="str">
        <f>HYPERLINK("#'10.1.1-2 Solid waste treatment'!A1", "10.1.1-2 Solid waste treatment")</f>
        <v>10.1.1-2 Solid waste treatment</v>
      </c>
    </row>
    <row r="46" spans="1:8" ht="20.100000000000001" customHeight="1" x14ac:dyDescent="0.25">
      <c r="A46"/>
    </row>
    <row r="47" spans="1:8" ht="20.100000000000001" customHeight="1" x14ac:dyDescent="0.25">
      <c r="A47"/>
    </row>
    <row r="48" spans="1:8"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BEBF1968-8B75-4F83-9B94-CE98E05A6BB9}">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C8F9-41D2-41E1-83CA-DAA310752CE1}">
  <sheetPr>
    <tabColor theme="5" tint="-0.249977111117893"/>
  </sheetPr>
  <dimension ref="A1:K160"/>
  <sheetViews>
    <sheetView showGridLines="0"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10" width="35" style="1" customWidth="1"/>
    <col min="11" max="11" width="5.28515625" style="1" customWidth="1"/>
    <col min="12" max="16384" width="9.140625" style="244"/>
  </cols>
  <sheetData>
    <row r="1" spans="1:11" ht="25.5" x14ac:dyDescent="0.35">
      <c r="A1" s="16" t="e" vm="1">
        <v>#VALUE!</v>
      </c>
      <c r="C1" s="16" t="s">
        <v>1052</v>
      </c>
      <c r="D1" s="16"/>
      <c r="E1" s="16"/>
      <c r="F1" s="16"/>
      <c r="G1" s="16"/>
      <c r="H1" s="16"/>
      <c r="I1" s="16"/>
      <c r="J1" s="16"/>
      <c r="K1" s="16"/>
    </row>
    <row r="2" spans="1:11" s="3" customFormat="1" x14ac:dyDescent="0.25">
      <c r="A2"/>
    </row>
    <row r="3" spans="1:11" ht="20.25" x14ac:dyDescent="0.25">
      <c r="A3" s="5" t="str">
        <f>HYPERLINK("#'Home'!A1", "Home")</f>
        <v>Home</v>
      </c>
      <c r="C3" s="39"/>
      <c r="D3" s="39"/>
      <c r="E3" s="39"/>
      <c r="F3" s="39"/>
      <c r="G3" s="39"/>
      <c r="H3" s="39"/>
      <c r="I3" s="39"/>
      <c r="J3" s="39"/>
      <c r="K3" s="39"/>
    </row>
    <row r="4" spans="1:11" x14ac:dyDescent="0.25">
      <c r="A4" s="5" t="str">
        <f>HYPERLINK("#'Overview'!A1", "Overview")</f>
        <v>Overview</v>
      </c>
    </row>
    <row r="5" spans="1:11" ht="23.25" x14ac:dyDescent="0.25">
      <c r="A5" s="5" t="str">
        <f>HYPERLINK("#'Results'!A1", "Results")</f>
        <v>Results</v>
      </c>
      <c r="D5" s="2" t="s">
        <v>1053</v>
      </c>
    </row>
    <row r="6" spans="1:11" x14ac:dyDescent="0.25">
      <c r="A6"/>
    </row>
    <row r="7" spans="1:11" x14ac:dyDescent="0.25">
      <c r="A7"/>
      <c r="D7" s="1" t="s">
        <v>1054</v>
      </c>
    </row>
    <row r="8" spans="1:11" ht="18.75" x14ac:dyDescent="0.25">
      <c r="A8" s="7" t="s">
        <v>0</v>
      </c>
      <c r="D8" s="1" t="s">
        <v>1055</v>
      </c>
    </row>
    <row r="9" spans="1:11" x14ac:dyDescent="0.25">
      <c r="A9" s="5" t="str">
        <f>HYPERLINK("#'Input - Enterprise'!A1", "Enterprise")</f>
        <v>Enterprise</v>
      </c>
    </row>
    <row r="10" spans="1:11" x14ac:dyDescent="0.25">
      <c r="A10" s="5" t="str">
        <f>HYPERLINK("#'Input - Site'!A1", "Site")</f>
        <v>Site</v>
      </c>
      <c r="D10" s="1" t="s">
        <v>1056</v>
      </c>
      <c r="F10" s="86">
        <v>1000</v>
      </c>
      <c r="G10" s="26" t="s">
        <v>1057</v>
      </c>
    </row>
    <row r="11" spans="1:11" x14ac:dyDescent="0.25">
      <c r="A11" s="5" t="str">
        <f>HYPERLINK("#'Input - Pasture Beef'!A1", "Pasture Beef")</f>
        <v>Pasture Beef</v>
      </c>
      <c r="D11" s="1" t="s">
        <v>1058</v>
      </c>
      <c r="F11" s="86">
        <v>2000</v>
      </c>
      <c r="G11" s="26" t="s">
        <v>1057</v>
      </c>
    </row>
    <row r="12" spans="1:11" x14ac:dyDescent="0.25">
      <c r="A12" s="5" t="str">
        <f>HYPERLINK("#'Input - Pasture Beef (Enteric)'!A1", "Pasture Beef (Enteric)")</f>
        <v>Pasture Beef (Enteric)</v>
      </c>
    </row>
    <row r="13" spans="1:11" x14ac:dyDescent="0.25">
      <c r="A13" s="5" t="str">
        <f>HYPERLINK("#'Input - Livestock sales'!A1", "Livestock sales")</f>
        <v>Livestock sales</v>
      </c>
      <c r="D13" s="1" t="s">
        <v>1059</v>
      </c>
      <c r="F13" s="23" t="s">
        <v>628</v>
      </c>
      <c r="G13" s="26" t="s">
        <v>110</v>
      </c>
    </row>
    <row r="14" spans="1:11" x14ac:dyDescent="0.25">
      <c r="A14" s="5" t="str">
        <f>HYPERLINK("#'Input - Beef cattle purchases'!A1", "Beef cattle purchases")</f>
        <v>Beef cattle purchases</v>
      </c>
      <c r="D14" s="1" t="s">
        <v>1060</v>
      </c>
      <c r="F14" s="23" t="s">
        <v>242</v>
      </c>
      <c r="G14" s="26" t="s">
        <v>110</v>
      </c>
    </row>
    <row r="15" spans="1:11" x14ac:dyDescent="0.25">
      <c r="A15" s="5" t="str">
        <f>HYPERLINK("#'Input - Pasture'!A1", "Pasture")</f>
        <v>Pasture</v>
      </c>
    </row>
    <row r="16" spans="1:11"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Farm Inputs'!A1", "Farm Inputs")</f>
        <v>Farm Inputs</v>
      </c>
    </row>
    <row r="21" spans="1:1" x14ac:dyDescent="0.25">
      <c r="A21" s="5" t="str">
        <f>HYPERLINK("#'Input - Freight'!A1", "Freight")</f>
        <v>Freight</v>
      </c>
    </row>
    <row r="22" spans="1:1" x14ac:dyDescent="0.25">
      <c r="A22" s="95" t="str">
        <f>HYPERLINK("#'Input - Manure sent off-site'!A1", "Manure sent off-site")</f>
        <v>Manure sent off-site</v>
      </c>
    </row>
    <row r="23" spans="1:1" x14ac:dyDescent="0.25">
      <c r="A23" s="5" t="str">
        <f>HYPERLINK("#'Input - Solid waste'!A1", "Solid waste")</f>
        <v>Solid waste</v>
      </c>
    </row>
    <row r="24" spans="1:1" x14ac:dyDescent="0.25">
      <c r="A24"/>
    </row>
    <row r="25" spans="1:1" x14ac:dyDescent="0.25">
      <c r="A25"/>
    </row>
    <row r="26" spans="1:1" x14ac:dyDescent="0.25">
      <c r="A26" s="6" t="s">
        <v>2</v>
      </c>
    </row>
    <row r="27" spans="1:1" x14ac:dyDescent="0.25">
      <c r="A27" s="5" t="str">
        <f>HYPERLINK("#'3.2.1.1-2 Enteric Methane'!A1", "3.2.1.1-2 Enteric methane")</f>
        <v>3.2.1.1-2 Enteric methane</v>
      </c>
    </row>
    <row r="28" spans="1:1" x14ac:dyDescent="0.25">
      <c r="A28" s="5" t="str">
        <f>HYPERLINK("#'4.2.1.1-2 Methane'!A1", "4.2.1.1-2 Manure methane")</f>
        <v>4.2.1.1-2 Manure methane</v>
      </c>
    </row>
    <row r="29" spans="1:1" x14ac:dyDescent="0.25">
      <c r="A29" s="5" t="str">
        <f>HYPERLINK("#'4.2.1.3-4 Soil direct N20'!A1", "4.2.1.3-4 Soil direct N2O")</f>
        <v>4.2.1.3-4 Soil direct N2O</v>
      </c>
    </row>
    <row r="30" spans="1:1" x14ac:dyDescent="0.25">
      <c r="A30" s="5" t="str">
        <f>HYPERLINK("#'4.2.1.5-6 Soil Atmos Dep'!A1", "4.2.1.5-6 Soil atm. deposition")</f>
        <v>4.2.1.5-6 Soil atm. deposition</v>
      </c>
    </row>
    <row r="31" spans="1:1" x14ac:dyDescent="0.25">
      <c r="A31" s="5" t="str">
        <f>HYPERLINK("#'4.2.1.7-8 Soil leach runoff'!A1", "4.2.1.7-8 Soil leach &amp; runoff")</f>
        <v>4.2.1.7-8 Soil leach &amp; runoff</v>
      </c>
    </row>
    <row r="32" spans="1:1" x14ac:dyDescent="0.25">
      <c r="A32" s="5" t="str">
        <f>HYPERLINK("#'5.1.1.1-2 Inorganic fert N2O'!A1", "5.1.1.1-2 Inorganic fert N2O")</f>
        <v>5.1.1.1-2 Inorganic fert N2O</v>
      </c>
    </row>
    <row r="33" spans="1:1" x14ac:dyDescent="0.25">
      <c r="A33" s="5" t="str">
        <f>HYPERLINK("#'5.1.1.3-4 Inorganic fert CO2'!A1", "5.1.1.3-4 Inorganic fert CO2")</f>
        <v>5.1.1.3-4 Inorganic fert CO2</v>
      </c>
    </row>
    <row r="34" spans="1:1" x14ac:dyDescent="0.25">
      <c r="A34" s="5" t="str">
        <f>HYPERLINK("#'5.2.1.1-2 Organic Fert N2O'!A1", "5.2.1.1-2 Organic fert N2O")</f>
        <v>5.2.1.1-2 Organic fert N2O</v>
      </c>
    </row>
    <row r="35" spans="1:1" x14ac:dyDescent="0.25">
      <c r="A35" s="5" t="str">
        <f>HYPERLINK("#'5.3.1.1-2 Lime CO2'!A1", "5.3.1.1-2 Lime CO2")</f>
        <v>5.3.1.1-2 Lime CO2</v>
      </c>
    </row>
    <row r="36" spans="1:1" x14ac:dyDescent="0.25">
      <c r="A36" s="5" t="str">
        <f>HYPERLINK("#'5.4.1.1-4 Atmos deposition'!A1", "5.4.1.1-4 Atmos. deposition")</f>
        <v>5.4.1.1-4 Atmos. deposition</v>
      </c>
    </row>
    <row r="37" spans="1:1" x14ac:dyDescent="0.25">
      <c r="A37" s="5" t="str">
        <f>HYPERLINK("#'5.5.1.1-2 Leaching and runoff'!A1", "5.5.1.1-2 Leaching &amp; runoff")</f>
        <v>5.5.1.1-2 Leaching &amp; runoff</v>
      </c>
    </row>
    <row r="38" spans="1:1" x14ac:dyDescent="0.25">
      <c r="A38" s="5" t="str">
        <f>HYPERLINK("#'6.2.1.1-2 Pasture residue N2O'!A1", "6.2.1.1-2 Pasture residue N2O")</f>
        <v>6.2.1.1-2 Pasture residue N2O</v>
      </c>
    </row>
    <row r="39" spans="1:1" x14ac:dyDescent="0.25">
      <c r="A39" s="5" t="str">
        <f>HYPERLINK("#'6.3.1.1-2 Leach runoff pasture'!A1", "6.3.1.1-2 Leach &amp; runoff (pasture)")</f>
        <v>6.3.1.1-2 Leach &amp; runoff (pasture)</v>
      </c>
    </row>
    <row r="40" spans="1:1" x14ac:dyDescent="0.25">
      <c r="A40" s="5" t="str">
        <f>HYPERLINK("#'8.1.1.1-2 Transport fuel'!A1", "8.1.1.1-2 Transport fuel")</f>
        <v>8.1.1.1-2 Transport fuel</v>
      </c>
    </row>
    <row r="41" spans="1:1" x14ac:dyDescent="0.25">
      <c r="A41" s="5" t="str">
        <f>HYPERLINK("#'8.2.1.1-2 Stationary fuel'!A1", "8.2.1.1-2 Stationary fuel")</f>
        <v>8.2.1.1-2 Stationary fuel</v>
      </c>
    </row>
    <row r="42" spans="1:1" x14ac:dyDescent="0.25">
      <c r="A42" s="5" t="str">
        <f>HYPERLINK("#'14.1.1-2 Purchased electricity'!A1", "14.1.1-2 Purchased electricity")</f>
        <v>14.1.1-2 Purchased electricity</v>
      </c>
    </row>
    <row r="43" spans="1:1" x14ac:dyDescent="0.25">
      <c r="A43" s="5" t="str">
        <f>HYPERLINK("#'15 Scope 3'!A1", "15 Scope 3")</f>
        <v>15 Scope 3</v>
      </c>
    </row>
    <row r="44" spans="1:1" x14ac:dyDescent="0.25">
      <c r="A44" s="5" t="str">
        <f>HYPERLINK("#'Calcs - Manure sent off-site'!A1", "Calcs - Manure sent off-site")</f>
        <v>Calcs - Manure sent off-site</v>
      </c>
    </row>
    <row r="45" spans="1:1" x14ac:dyDescent="0.25">
      <c r="A45" s="5" t="str">
        <f>HYPERLINK("#'10.1.1-2 Solid waste treatment'!A1", "10.1.1-2 Solid waste treatment")</f>
        <v>10.1.1-2 Solid waste treatment</v>
      </c>
    </row>
    <row r="46" spans="1:1" x14ac:dyDescent="0.25">
      <c r="A46"/>
    </row>
    <row r="47" spans="1:1" x14ac:dyDescent="0.25">
      <c r="A47"/>
    </row>
    <row r="48" spans="1:1"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9CCDCCF6-1474-4DBA-9237-11839C5333BF}">
      <formula1>INDIRECT("Table_SourceData_Fertiliser_IrrigationMethods[Irrigation method]")</formula1>
    </dataValidation>
    <dataValidation type="list" allowBlank="1" showInputMessage="1" showErrorMessage="1" sqref="F13" xr:uid="{817C9666-FE23-4F08-8E8D-87FBFB9D30AC}">
      <formula1>INDIRECT("Table_SourceData_Fertiliser_CropProdSystems[Production system]")</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D7275-D5A6-4F3A-B073-1CAFF090497B}">
  <dimension ref="A1:AI274"/>
  <sheetViews>
    <sheetView showGridLines="0" topLeftCell="J133"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457</v>
      </c>
    </row>
    <row r="2" spans="1:35" s="3" customFormat="1" ht="20.100000000000001" customHeight="1" x14ac:dyDescent="0.25">
      <c r="A2"/>
    </row>
    <row r="3" spans="1:35" ht="20.100000000000001" customHeight="1" x14ac:dyDescent="0.25">
      <c r="A3" s="5" t="str">
        <f>HYPERLINK("#'Home'!A1", "Home")</f>
        <v>Home</v>
      </c>
      <c r="C3" s="33"/>
      <c r="D3" s="33" t="s">
        <v>148</v>
      </c>
      <c r="E3" s="33"/>
      <c r="F3" s="33"/>
      <c r="G3" s="33"/>
      <c r="H3" s="33"/>
      <c r="I3" s="33"/>
      <c r="J3" s="33"/>
      <c r="K3" s="33"/>
      <c r="L3" s="33"/>
      <c r="M3" s="33"/>
      <c r="N3" s="33"/>
      <c r="O3" s="33"/>
      <c r="P3" s="33"/>
      <c r="Q3" s="33"/>
      <c r="R3" s="33"/>
      <c r="T3" s="33"/>
      <c r="U3" s="33" t="s">
        <v>149</v>
      </c>
      <c r="V3" s="33"/>
      <c r="W3" s="33"/>
      <c r="X3" s="33"/>
      <c r="Y3" s="33"/>
      <c r="Z3" s="33"/>
      <c r="AA3" s="33"/>
      <c r="AB3" s="33"/>
      <c r="AC3" s="33"/>
      <c r="AD3" s="33"/>
      <c r="AE3" s="33"/>
      <c r="AF3" s="33"/>
      <c r="AG3" s="33"/>
      <c r="AH3" s="33"/>
      <c r="AI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D7" s="100" t="s">
        <v>259</v>
      </c>
      <c r="E7" s="100" t="s">
        <v>260</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88" t="s">
        <v>261</v>
      </c>
      <c r="E10" s="1" t="str" cm="1">
        <f t="array" ref="E10">EntericMethane_PastureBeef_Equations.VEERG_3_2_1_1__4_AdditionalIntakeForMilkProduction_Variable()</f>
        <v>MA_jk45</v>
      </c>
    </row>
    <row r="11" spans="1:35" ht="20.100000000000001" customHeight="1" x14ac:dyDescent="0.25">
      <c r="A11" s="5" t="str">
        <f>HYPERLINK("#'Input - Pasture Beef'!A1", "Pasture Beef")</f>
        <v>Pasture Beef</v>
      </c>
      <c r="D11" s="88" t="s">
        <v>131</v>
      </c>
      <c r="E11" s="15" t="str" cm="1">
        <f t="array" ref="E11">EntericMethane_PastureBeef_Equations.VEERG_3_2_1_1__4_AdditionalIntakeForMilkProduction_Unit()</f>
        <v>fraction</v>
      </c>
    </row>
    <row r="12" spans="1:35" ht="20.100000000000001" customHeight="1" x14ac:dyDescent="0.25">
      <c r="A12" s="5" t="str">
        <f>HYPERLINK("#'Input - Pasture Beef (Enteric)'!A1", "Pasture Beef (Enteric)")</f>
        <v>Pasture Beef (Enteric)</v>
      </c>
    </row>
    <row r="13" spans="1:35" ht="20.100000000000001" customHeight="1" x14ac:dyDescent="0.25">
      <c r="A13" s="5" t="str">
        <f>HYPERLINK("#'Input - Livestock sales'!A1", "Livestock sales")</f>
        <v>Livestock sales</v>
      </c>
      <c r="D13" s="102" t="str" cm="1">
        <f t="array" ref="D13:E16">_xlfn.CHOOSECOLS(EntericMethane_PastureBeef_Equations.VEERG_3_2_1_1__4_AdditionalIntakeForMilkProduction_ArgumentsVariation(), 1, 2)</f>
        <v>LC_jk45</v>
      </c>
      <c r="E13" s="103" t="str">
        <v>proportion of cows greater than 1 year in calf in the season of calving expressed as a fraction</v>
      </c>
      <c r="F13" s="104"/>
      <c r="G13" s="105"/>
      <c r="H13" s="102" t="str" cm="1">
        <f t="array" ref="H13:I16">_xlfn.CHOOSECOLS(EntericMethane_PastureBeef_Equations.VEERG_3_2_1_1__4_AdditionalIntakeForMilkProduction_ArgumentsVariation(), 3,4)</f>
        <v>fraction</v>
      </c>
      <c r="I13" s="106" t="str">
        <v>Input</v>
      </c>
      <c r="J13" s="108" t="str" cm="1">
        <f t="array" aca="1" ref="J13" ca="1">HYPERLINK(Common_InputFunctions.Utility_SourceHyperlink($D$18), $D$18)</f>
        <v>M1_Table_LC_j_k-4-5</v>
      </c>
    </row>
    <row r="14" spans="1:35" ht="20.100000000000001" customHeight="1" x14ac:dyDescent="0.25">
      <c r="A14" s="5" t="str">
        <f>HYPERLINK("#'Input - Beef cattle purchases'!A1", "Beef cattle purchases")</f>
        <v>Beef cattle purchases</v>
      </c>
      <c r="D14" s="102" t="str">
        <v>FA_jk45calv</v>
      </c>
      <c r="E14" s="103" t="str">
        <v>feed adjustment value for lactating cows in the season of calving expressed as a fraction</v>
      </c>
      <c r="F14" s="104"/>
      <c r="G14" s="105"/>
      <c r="H14" s="102" t="str">
        <v>fraction</v>
      </c>
      <c r="I14" s="107" t="str">
        <v>Constant</v>
      </c>
      <c r="J14" s="10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Pasture'!A1", "Pasture")</f>
        <v>Pasture</v>
      </c>
      <c r="D15" s="102" t="str">
        <v>FA_jk45after</v>
      </c>
      <c r="E15" s="103" t="str">
        <v>feed adjustment value for lactating cows in the season immediately after calving expressed as a fraction</v>
      </c>
      <c r="F15" s="104"/>
      <c r="G15" s="105"/>
      <c r="H15" s="102" t="str">
        <v>fraction</v>
      </c>
      <c r="I15" s="107" t="str">
        <v>Constant</v>
      </c>
      <c r="J15" s="10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5" t="str">
        <f>HYPERLINK("#'Input - Fert Prod System'!A1", "Fert Prod System")</f>
        <v>Fert Prod System</v>
      </c>
      <c r="D16" s="102" t="str">
        <v>b</v>
      </c>
      <c r="E16" s="103" t="str">
        <v>breed of cattle</v>
      </c>
      <c r="F16" s="104"/>
      <c r="G16" s="105"/>
      <c r="H16" s="102" t="str">
        <v/>
      </c>
      <c r="I16" s="106" t="str">
        <v>Input</v>
      </c>
      <c r="J16" s="102" t="str">
        <f>X_Cell_PastureBeef_Breed</f>
        <v>Hereford or Shorthorn breeds</v>
      </c>
    </row>
    <row r="17" spans="1:34" ht="20.100000000000001" customHeight="1" x14ac:dyDescent="0.25">
      <c r="A17" s="5" t="str">
        <f>HYPERLINK("#'Input - Fertiliser'!A1", "Fertiliser")</f>
        <v>Fertiliser</v>
      </c>
    </row>
    <row r="18" spans="1:34" ht="20.100000000000001" customHeight="1" x14ac:dyDescent="0.25">
      <c r="A18" s="5" t="str">
        <f>HYPERLINK("#'Input - Fuel'!A1", "Fuel")</f>
        <v>Fuel</v>
      </c>
      <c r="D18" s="109" t="s">
        <v>262</v>
      </c>
    </row>
    <row r="19" spans="1:34" ht="20.100000000000001" customHeight="1" x14ac:dyDescent="0.25">
      <c r="A19" s="5" t="str">
        <f>HYPERLINK("#'Input - Electricity'!A1", "Electricity")</f>
        <v>Electricity</v>
      </c>
      <c r="D19" s="110" t="s">
        <v>264</v>
      </c>
      <c r="U19" s="109" t="s">
        <v>263</v>
      </c>
    </row>
    <row r="20" spans="1:34" ht="20.100000000000001" customHeight="1" x14ac:dyDescent="0.25">
      <c r="A20" s="5" t="str">
        <f>HYPERLINK("#'Input - Farm Inputs'!A1", "Farm Inputs")</f>
        <v>Farm Inputs</v>
      </c>
      <c r="D20" s="111" t="s">
        <v>77</v>
      </c>
      <c r="E20" s="112" t="s">
        <v>213</v>
      </c>
      <c r="F20" s="112" t="s">
        <v>214</v>
      </c>
      <c r="G20" s="112" t="s">
        <v>215</v>
      </c>
      <c r="U20" s="110" t="s">
        <v>265</v>
      </c>
    </row>
    <row r="21" spans="1:34" ht="20.100000000000001" customHeight="1" x14ac:dyDescent="0.25">
      <c r="A21" s="5" t="str">
        <f>HYPERLINK("#'Input - Freight'!A1", "Freight")</f>
        <v>Freight</v>
      </c>
      <c r="D21" s="25">
        <f>'Input - Pasture Beef (Enteric)'!$E$161</f>
        <v>0</v>
      </c>
      <c r="E21" s="25">
        <f>'Input - Pasture Beef (Enteric)'!$E$164</f>
        <v>0</v>
      </c>
      <c r="F21" s="25">
        <f>'Input - Pasture Beef (Enteric)'!$F$164</f>
        <v>0</v>
      </c>
      <c r="G21" s="25">
        <f>'Input - Pasture Beef (Enteric)'!$G$164</f>
        <v>0</v>
      </c>
      <c r="H21" s="26" t="s">
        <v>266</v>
      </c>
      <c r="U21" s="111" t="s">
        <v>76</v>
      </c>
      <c r="V21" s="112" t="s">
        <v>213</v>
      </c>
      <c r="W21" s="112" t="s">
        <v>214</v>
      </c>
      <c r="X21" s="112" t="s">
        <v>215</v>
      </c>
    </row>
    <row r="22" spans="1:34" ht="20.100000000000001" customHeight="1" x14ac:dyDescent="0.25">
      <c r="A22" s="5" t="str">
        <f>HYPERLINK("#'Input - Manure sent off-site'!A1", "Manure sent off-site")</f>
        <v>Manure sent off-site</v>
      </c>
      <c r="U22" s="25" t="e">
        <f>TEXT(EDATE('Input - Pasture Beef (Enteric)'!$D$174,0), "mmmm") &amp; ", " &amp; TEXT(EDATE('Input - Pasture Beef (Enteric)'!$D$175,0), "mmmm") &amp; ", " &amp; TEXT(EDATE('Input - Pasture Beef (Enteric)'!$D$176,0), "mmmm")</f>
        <v>#VALUE!</v>
      </c>
      <c r="V22" s="25" t="str">
        <f>'Input - Pasture Beef (Enteric)'!$E$177</f>
        <v>September 2024</v>
      </c>
      <c r="W22" s="25">
        <f>'Input - Pasture Beef (Enteric)'!$F$177</f>
        <v>0</v>
      </c>
      <c r="X22" s="25">
        <f>'Input - Pasture Beef (Enteric)'!$G$177</f>
        <v>0</v>
      </c>
      <c r="Y22" s="26" t="s">
        <v>266</v>
      </c>
    </row>
    <row r="23" spans="1:34" ht="20.100000000000001" customHeight="1" x14ac:dyDescent="0.25">
      <c r="A23" s="5" t="str">
        <f>HYPERLINK("#'Input - Solid waste'!A1", "Solid waste")</f>
        <v>Solid waste</v>
      </c>
      <c r="D23" s="109" t="s">
        <v>269</v>
      </c>
      <c r="U23" s="25" t="e">
        <f>TEXT(EDATE('Input - Pasture Beef (Enteric)'!$D$176,1), "mmmm") &amp; ", " &amp; TEXT(EDATE('Input - Pasture Beef (Enteric)'!$D$176,2), "mmmm") &amp; ", " &amp; TEXT(EDATE('Input - Pasture Beef (Enteric)'!$D$176,3), "mmmm")</f>
        <v>#VALUE!</v>
      </c>
      <c r="Y23" s="26"/>
    </row>
    <row r="24" spans="1:34" ht="20.100000000000001" customHeight="1" x14ac:dyDescent="0.25">
      <c r="D24" s="110" t="s">
        <v>271</v>
      </c>
      <c r="Y24" s="26"/>
    </row>
    <row r="25" spans="1:34" ht="20.100000000000001" customHeight="1" x14ac:dyDescent="0.25">
      <c r="D25" s="111" t="s">
        <v>77</v>
      </c>
      <c r="E25" s="111" t="s">
        <v>244</v>
      </c>
      <c r="F25" s="111" t="s">
        <v>270</v>
      </c>
      <c r="G25" s="111" t="s">
        <v>211</v>
      </c>
      <c r="H25" s="111" t="s">
        <v>201</v>
      </c>
      <c r="I25" s="111" t="s">
        <v>212</v>
      </c>
      <c r="J25" s="111" t="s">
        <v>213</v>
      </c>
      <c r="K25" s="111" t="s">
        <v>214</v>
      </c>
      <c r="L25" s="111" t="s">
        <v>215</v>
      </c>
      <c r="M25" s="111" t="s">
        <v>216</v>
      </c>
      <c r="N25" s="111" t="s">
        <v>217</v>
      </c>
      <c r="O25" s="111" t="s">
        <v>218</v>
      </c>
      <c r="P25" s="111" t="s">
        <v>219</v>
      </c>
      <c r="U25" s="109" t="s">
        <v>267</v>
      </c>
    </row>
    <row r="26" spans="1:34" ht="20.100000000000001" customHeight="1" x14ac:dyDescent="0.25">
      <c r="A26" s="6" t="s">
        <v>2</v>
      </c>
      <c r="D26" s="25" t="s">
        <v>220</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0" t="s">
        <v>268</v>
      </c>
    </row>
    <row r="27" spans="1:34" ht="20.100000000000001" customHeight="1" x14ac:dyDescent="0.25">
      <c r="A27" s="101" t="str">
        <f>HYPERLINK("#'3.2.1.1-2 Enteric Methane'!A1", "3.2.1.1-2 Enteric methane")</f>
        <v>3.2.1.1-2 Enteric methane</v>
      </c>
      <c r="D27" s="25" t="s">
        <v>221</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1" t="s">
        <v>76</v>
      </c>
      <c r="V27" s="111" t="s">
        <v>244</v>
      </c>
      <c r="W27" s="111" t="s">
        <v>270</v>
      </c>
      <c r="X27" s="111" t="s">
        <v>211</v>
      </c>
      <c r="Y27" s="111" t="s">
        <v>201</v>
      </c>
      <c r="Z27" s="111" t="s">
        <v>212</v>
      </c>
      <c r="AA27" s="111" t="s">
        <v>213</v>
      </c>
      <c r="AB27" s="111" t="s">
        <v>214</v>
      </c>
      <c r="AC27" s="111" t="s">
        <v>215</v>
      </c>
      <c r="AD27" s="111" t="s">
        <v>216</v>
      </c>
      <c r="AE27" s="111" t="s">
        <v>217</v>
      </c>
      <c r="AF27" s="111" t="s">
        <v>218</v>
      </c>
      <c r="AG27" s="111" t="s">
        <v>219</v>
      </c>
    </row>
    <row r="28" spans="1:34" ht="20.100000000000001" customHeight="1" x14ac:dyDescent="0.25">
      <c r="A28" s="5" t="str">
        <f>HYPERLINK("#'4.2.1.1-2 Methane'!A1", "4.2.1.1-2 Manure methane")</f>
        <v>4.2.1.1-2 Manure methane</v>
      </c>
      <c r="D28" s="25" t="s">
        <v>222</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TEXT(X_Cell_Site_StartDate,"mmmm")</f>
        <v>January</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HYPERLINK("#'4.2.1.3-4 Soil direct N20'!A1", "4.2.1.3-4 Soil direct N2O")</f>
        <v>4.2.1.3-4 Soil direct N2O</v>
      </c>
      <c r="D29" s="25" t="s">
        <v>223</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str">
        <f>TEXT(EDATE(X_Cell_Site_StartDate,1), "mmmm")</f>
        <v>February</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HYPERLINK("#'4.2.1.5-6 Soil Atmos Dep'!A1", "4.2.1.5-6 Soil atm. deposition")</f>
        <v>4.2.1.5-6 Soil atm. deposition</v>
      </c>
      <c r="U30" s="25" t="str">
        <f>TEXT(EDATE(X_Cell_Site_StartDate,2), "mmmm")</f>
        <v>March</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HYPERLINK("#'4.2.1.7-8 Soil leach runoff'!A1", "4.2.1.7-8 Soil leach &amp; runoff")</f>
        <v>4.2.1.7-8 Soil leach &amp; runoff</v>
      </c>
      <c r="U31" s="25" t="str">
        <f>TEXT(EDATE(X_Cell_Site_StartDate,3), "mmmm")</f>
        <v>April</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HYPERLINK("#'5.1.1.1-2 Inorganic fert N2O'!A1", "5.1.1.1-2 Inorganic fert N2O")</f>
        <v>5.1.1.1-2 Inorganic fert N2O</v>
      </c>
      <c r="C32" s="114"/>
      <c r="D32" s="114"/>
      <c r="E32" s="114"/>
      <c r="F32" s="114"/>
      <c r="G32" s="114"/>
      <c r="H32" s="114"/>
      <c r="I32" s="114"/>
      <c r="J32" s="114"/>
      <c r="K32" s="114"/>
      <c r="L32" s="114"/>
      <c r="M32" s="114"/>
      <c r="N32" s="114"/>
      <c r="O32" s="114"/>
      <c r="P32" s="114"/>
      <c r="Q32" s="114"/>
      <c r="R32" s="114"/>
      <c r="U32" s="25" t="str">
        <f>TEXT(EDATE(X_Cell_Site_StartDate,4), "mmmm")</f>
        <v>May</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HYPERLINK("#'5.1.1.3-4 Inorganic fert CO2'!A1", "5.1.1.3-4 Inorganic fert CO2")</f>
        <v>5.1.1.3-4 Inorganic fert CO2</v>
      </c>
      <c r="D33" s="2" t="str" cm="1">
        <f t="array" ref="D33">EntericMethane_PastureBeef_Equations.VEERG_3_2_1_1__3_FeedIntakeForGrazingBeef_Title()</f>
        <v>Feed intake for grazing beef cattle</v>
      </c>
      <c r="U33" s="25" t="str">
        <f>TEXT(EDATE(X_Cell_Site_StartDate,5), "mmmm")</f>
        <v>June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HYPERLINK("#'5.2.1.1-2 Organic Fert N2O'!A1", "5.2.1.1-2 Organic fert N2O")</f>
        <v>5.2.1.1-2 Organic fert N2O</v>
      </c>
      <c r="D34" s="27" t="str" cm="1">
        <f t="array" ref="D34">EntericMethane_PastureBeef_Equations.VEERG_3_2_1_1__3_FeedIntakeForGrazingBeef_Source()</f>
        <v>VEERG 2026: 3.2.1.1, Equation (3)</v>
      </c>
      <c r="U34" s="25" t="str">
        <f>TEXT(EDATE(X_Cell_Site_StartDate,6), "mmmm")</f>
        <v>July</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A35" s="5" t="str">
        <f>HYPERLINK("#'5.3.1.1-2 Lime CO2'!A1", "5.3.1.1-2 Lime CO2")</f>
        <v>5.3.1.1-2 Lime CO2</v>
      </c>
      <c r="D35" s="100" t="s">
        <v>259</v>
      </c>
      <c r="E35" s="100" t="str" cm="1">
        <f t="array" aca="1" ref="E35" ca="1">Common_InputFunctions.Utility_DisplayFunctionName($E$64)</f>
        <v>=EntericMethane_PastureBeef_Equations.VEERG_3_2_1_1__3_FeedIntakeForGrazingBeef</v>
      </c>
      <c r="U35" s="25" t="str">
        <f>TEXT(EDATE(X_Cell_Site_StartDate,7), "mmmm")</f>
        <v>August</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A36" s="5" t="str">
        <f>HYPERLINK("#'5.4.1.1-4 Atmos deposition'!A1", "5.4.1.1-4 Atmos. deposition")</f>
        <v>5.4.1.1-4 Atmos. deposition</v>
      </c>
      <c r="U36" s="25" t="str">
        <f>TEXT(EDATE(X_Cell_Site_StartDate,8), "mmmm")</f>
        <v>September</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5" t="str">
        <f>HYPERLINK("#'5.5.1.1-2 Leaching and runoff'!A1", "5.5.1.1-2 Leaching &amp; runoff")</f>
        <v>5.5.1.1-2 Leaching &amp; runoff</v>
      </c>
      <c r="G37" s="2" t="str" cm="1">
        <f t="array" ref="G37">EntericMethane_PastureBeef_Equations.VEERG_3_2_1_1__3_FeedIntakeForGrazingBeef_LatexEquation()</f>
        <v>I_{jkl}=(1.185+0.00454\times W_{jkl}-0.0000026\times W_{jkl}^{2}+0.315\times LWG_{jkl})^2\times MA_{jk=4,5}</v>
      </c>
      <c r="U37" s="25" t="str">
        <f>TEXT(EDATE(X_Cell_Site_StartDate,9), "mmmm")</f>
        <v>October</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HYPERLINK("#'6.2.1.1-2 Pasture residue N2O'!A1", "6.2.1.1-2 Pasture residue N2O")</f>
        <v>6.2.1.1-2 Pasture residue N2O</v>
      </c>
      <c r="D38" s="88" t="s">
        <v>261</v>
      </c>
      <c r="E38" s="1" t="str" cm="1">
        <f t="array" ref="E38">EntericMethane_PastureBeef_Equations.VEERG_3_2_1_1__3_FeedIntakeForGrazingBeef_Variable()</f>
        <v>I_jkl</v>
      </c>
      <c r="U38" s="25" t="str">
        <f>TEXT(EDATE(X_Cell_Site_StartDate,10), "mmmm")</f>
        <v>November</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HYPERLINK("#'6.3.1.1-2 Leach runoff pasture'!A1", "6.3.1.1-2 Leach &amp; runoff (pasture)")</f>
        <v>6.3.1.1-2 Leach &amp; runoff (pasture)</v>
      </c>
      <c r="D39" s="88" t="s">
        <v>131</v>
      </c>
      <c r="E39" s="15" t="str" cm="1">
        <f t="array" ref="E39">EntericMethane_PastureBeef_Equations.VEERG_3_2_1_1__3_FeedIntakeForGrazingBeef_Unit()</f>
        <v>kg DM/head/day</v>
      </c>
      <c r="U39" s="25" t="str">
        <f>TEXT(EDATE(X_Cell_Site_StartDate,11), "mmmm")</f>
        <v>December</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HYPERLINK("#'8.1.1.1-2 Transport fuel'!A1", "8.1.1.1-2 Transport fuel")</f>
        <v>8.1.1.1-2 Transport fuel</v>
      </c>
    </row>
    <row r="41" spans="1:34" ht="20.100000000000001" customHeight="1" x14ac:dyDescent="0.25">
      <c r="A41" s="5" t="str">
        <f>HYPERLINK("#'8.2.1.1-2 Stationary fuel'!A1", "8.2.1.1-2 Stationary fuel")</f>
        <v>8.2.1.1-2 Stationary fuel</v>
      </c>
      <c r="D41" s="102" t="str" cm="1">
        <f t="array" ref="D41:E43">_xlfn.CHOOSECOLS(EntericMethane_PastureBeef_Equations.VEERG_3_2_1_1__3_FeedIntakeForGrazingBeef_Arguments(), 1, 2)</f>
        <v>W_jkl</v>
      </c>
      <c r="E41" s="103" t="str">
        <v>liveweight (kg)</v>
      </c>
      <c r="F41" s="105"/>
      <c r="G41" s="102" t="str" cm="1">
        <f t="array" ref="G41:H43">_xlfn.CHOOSECOLS(EntericMethane_PastureBeef_Equations.VEERG_3_2_1_1__3_FeedIntakeForGrazingBeef_Arguments(), 3,4)</f>
        <v>kg</v>
      </c>
      <c r="H41" s="106" t="str">
        <v>Input</v>
      </c>
      <c r="I41" s="108" t="str" cm="1">
        <f t="array" aca="1" ref="I41" ca="1">HYPERLINK(Common_InputFunctions.Utility_SourceHyperlink($D$45), $D$45)</f>
        <v>M1_Table_W_j_k_l</v>
      </c>
      <c r="U41" s="109" t="s">
        <v>276</v>
      </c>
    </row>
    <row r="42" spans="1:34" ht="20.100000000000001" customHeight="1" x14ac:dyDescent="0.25">
      <c r="A42" s="5" t="str">
        <f>HYPERLINK("#'14.1.1-2 Purchased electricity'!A1", "14.1.1-2 Purchased electricity")</f>
        <v>14.1.1-2 Purchased electricity</v>
      </c>
      <c r="D42" s="102" t="str">
        <v>LWG_jkl</v>
      </c>
      <c r="E42" s="103" t="str">
        <v>live weight gain (kg/head/day)</v>
      </c>
      <c r="F42" s="105"/>
      <c r="G42" s="102" t="str">
        <v>kg/head/day</v>
      </c>
      <c r="H42" s="106" t="str">
        <v>Input</v>
      </c>
      <c r="I42" s="108" t="str" cm="1">
        <f t="array" aca="1" ref="I42" ca="1">HYPERLINK(Common_InputFunctions.Utility_SourceHyperlink($D$53), $D$53)</f>
        <v>M1_Table_LWG_j_k_l</v>
      </c>
      <c r="U42" s="110" t="s">
        <v>277</v>
      </c>
    </row>
    <row r="43" spans="1:34" ht="20.100000000000001" customHeight="1" x14ac:dyDescent="0.25">
      <c r="A43" s="5" t="str">
        <f>HYPERLINK("#'15 Scope 3'!A1", "15 Scope 3")</f>
        <v>15 Scope 3</v>
      </c>
      <c r="D43" s="102" t="str">
        <v>MA_jk45</v>
      </c>
      <c r="E43" s="103" t="str">
        <v>additional intake for milk production in cows greater than 2 years</v>
      </c>
      <c r="F43" s="105"/>
      <c r="G43" s="102" t="str">
        <v>kg/head/day</v>
      </c>
      <c r="H43" s="107" t="str">
        <v>Calculated from 3.2.1.1, (4)</v>
      </c>
      <c r="I43" s="108" t="str" cm="1">
        <f t="array" aca="1" ref="I43" ca="1">HYPERLINK(Common_InputFunctions.Utility_SourceHyperlink($D$23), $D$23)</f>
        <v>M1_Table_MA_j_k-4-5</v>
      </c>
      <c r="U43" s="111" t="s">
        <v>76</v>
      </c>
      <c r="V43" s="112" t="s">
        <v>211</v>
      </c>
      <c r="W43" s="112" t="s">
        <v>201</v>
      </c>
      <c r="X43" s="112" t="s">
        <v>212</v>
      </c>
      <c r="Y43" s="112" t="s">
        <v>213</v>
      </c>
      <c r="Z43" s="112" t="s">
        <v>214</v>
      </c>
      <c r="AA43" s="112" t="s">
        <v>215</v>
      </c>
      <c r="AB43" s="112" t="s">
        <v>216</v>
      </c>
      <c r="AC43" s="112" t="s">
        <v>217</v>
      </c>
      <c r="AD43" s="112" t="s">
        <v>218</v>
      </c>
      <c r="AE43" s="112" t="s">
        <v>219</v>
      </c>
      <c r="AF43" s="26"/>
    </row>
    <row r="44" spans="1:34" ht="20.100000000000001" customHeight="1" x14ac:dyDescent="0.25">
      <c r="A44" s="5" t="str">
        <f>HYPERLINK("#'Calcs - Manure sent off-site'!A1", "Calcs - Manure sent off-site")</f>
        <v>Calcs - Manure sent off-site</v>
      </c>
      <c r="U44" s="25" t="str">
        <f>TEXT(X_Cell_Site_StartDate,"mmmm")</f>
        <v>January</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229</v>
      </c>
    </row>
    <row r="45" spans="1:34" ht="20.100000000000001" customHeight="1" x14ac:dyDescent="0.25">
      <c r="A45" s="5" t="str">
        <f>HYPERLINK("#'10.1.1-2 Solid waste treatment'!A1", "10.1.1-2 Solid waste treatment")</f>
        <v>10.1.1-2 Solid waste treatment</v>
      </c>
      <c r="D45" s="109" t="s">
        <v>278</v>
      </c>
      <c r="U45" s="25" t="str">
        <f>TEXT(EDATE(X_Cell_Site_StartDate,1), "mmmm")</f>
        <v>February</v>
      </c>
      <c r="V45" s="25">
        <f ca="1"/>
        <v>380</v>
      </c>
      <c r="W45" s="25">
        <f ca="1"/>
        <v>780</v>
      </c>
      <c r="X45" s="25">
        <f ca="1"/>
        <v>300</v>
      </c>
      <c r="Y45" s="25">
        <f ca="1"/>
        <v>450</v>
      </c>
      <c r="Z45" s="25">
        <f ca="1"/>
        <v>530</v>
      </c>
      <c r="AA45" s="25">
        <f ca="1"/>
        <v>530</v>
      </c>
      <c r="AB45" s="25">
        <f ca="1"/>
        <v>340</v>
      </c>
      <c r="AC45" s="25">
        <f ca="1"/>
        <v>470</v>
      </c>
      <c r="AD45" s="25">
        <f ca="1"/>
        <v>470</v>
      </c>
      <c r="AE45" s="25">
        <f ca="1"/>
        <v>470</v>
      </c>
      <c r="AF45" s="26" t="s">
        <v>229</v>
      </c>
    </row>
    <row r="46" spans="1:34" ht="20.100000000000001" customHeight="1" x14ac:dyDescent="0.25">
      <c r="D46" s="110" t="s">
        <v>279</v>
      </c>
      <c r="U46" s="25" t="str">
        <f>TEXT(EDATE(X_Cell_Site_StartDate,2), "mmmm")</f>
        <v>March</v>
      </c>
      <c r="V46" s="25">
        <f ca="1"/>
        <v>100</v>
      </c>
      <c r="W46" s="25">
        <f ca="1"/>
        <v>680</v>
      </c>
      <c r="X46" s="25">
        <f ca="1"/>
        <v>80</v>
      </c>
      <c r="Y46" s="25">
        <f ca="1"/>
        <v>320</v>
      </c>
      <c r="Z46" s="25">
        <f ca="1"/>
        <v>480</v>
      </c>
      <c r="AA46" s="25">
        <f ca="1"/>
        <v>480</v>
      </c>
      <c r="AB46" s="25">
        <f ca="1"/>
        <v>100</v>
      </c>
      <c r="AC46" s="25">
        <f ca="1"/>
        <v>340</v>
      </c>
      <c r="AD46" s="25">
        <f ca="1"/>
        <v>340</v>
      </c>
      <c r="AE46" s="25">
        <f ca="1"/>
        <v>340</v>
      </c>
      <c r="AF46" s="26" t="s">
        <v>229</v>
      </c>
    </row>
    <row r="47" spans="1:34" ht="20.100000000000001" customHeight="1" x14ac:dyDescent="0.25">
      <c r="D47" s="111" t="s">
        <v>77</v>
      </c>
      <c r="E47" s="112" t="s">
        <v>211</v>
      </c>
      <c r="F47" s="112" t="s">
        <v>201</v>
      </c>
      <c r="G47" s="112" t="s">
        <v>212</v>
      </c>
      <c r="H47" s="112" t="s">
        <v>213</v>
      </c>
      <c r="I47" s="112" t="s">
        <v>214</v>
      </c>
      <c r="J47" s="112" t="s">
        <v>215</v>
      </c>
      <c r="K47" s="112" t="s">
        <v>216</v>
      </c>
      <c r="L47" s="112" t="s">
        <v>217</v>
      </c>
      <c r="M47" s="112" t="s">
        <v>218</v>
      </c>
      <c r="N47" s="112" t="s">
        <v>219</v>
      </c>
      <c r="U47" s="25" t="str">
        <f>TEXT(EDATE(X_Cell_Site_StartDate,3), "mmmm")</f>
        <v>April</v>
      </c>
      <c r="V47" s="25">
        <f ca="1"/>
        <v>100</v>
      </c>
      <c r="W47" s="25">
        <f ca="1"/>
        <v>680</v>
      </c>
      <c r="X47" s="25">
        <f ca="1"/>
        <v>80</v>
      </c>
      <c r="Y47" s="25">
        <f ca="1"/>
        <v>320</v>
      </c>
      <c r="Z47" s="25">
        <f ca="1"/>
        <v>480</v>
      </c>
      <c r="AA47" s="25">
        <f ca="1"/>
        <v>480</v>
      </c>
      <c r="AB47" s="25">
        <f ca="1"/>
        <v>100</v>
      </c>
      <c r="AC47" s="25">
        <f ca="1"/>
        <v>340</v>
      </c>
      <c r="AD47" s="25">
        <f ca="1"/>
        <v>340</v>
      </c>
      <c r="AE47" s="25">
        <f ca="1"/>
        <v>340</v>
      </c>
      <c r="AF47" s="26" t="s">
        <v>229</v>
      </c>
    </row>
    <row r="48" spans="1:34" ht="20.100000000000001" customHeight="1" x14ac:dyDescent="0.25">
      <c r="A48" s="97" t="s">
        <v>1</v>
      </c>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229</v>
      </c>
      <c r="P48" s="26"/>
      <c r="Q48" s="26"/>
      <c r="U48" s="25" t="str">
        <f>TEXT(EDATE(X_Cell_Site_StartDate,4), "mmmm")</f>
        <v>May</v>
      </c>
      <c r="V48" s="25">
        <f ca="1"/>
        <v>100</v>
      </c>
      <c r="W48" s="25">
        <f ca="1"/>
        <v>680</v>
      </c>
      <c r="X48" s="25">
        <f ca="1"/>
        <v>80</v>
      </c>
      <c r="Y48" s="25">
        <f ca="1"/>
        <v>320</v>
      </c>
      <c r="Z48" s="25">
        <f ca="1"/>
        <v>480</v>
      </c>
      <c r="AA48" s="25">
        <f ca="1"/>
        <v>480</v>
      </c>
      <c r="AB48" s="25">
        <f ca="1"/>
        <v>100</v>
      </c>
      <c r="AC48" s="25">
        <f ca="1"/>
        <v>340</v>
      </c>
      <c r="AD48" s="25">
        <f ca="1"/>
        <v>340</v>
      </c>
      <c r="AE48" s="25">
        <f ca="1"/>
        <v>340</v>
      </c>
      <c r="AF48" s="26" t="s">
        <v>229</v>
      </c>
    </row>
    <row r="49" spans="1:34" ht="20.100000000000001" customHeight="1" x14ac:dyDescent="0.25">
      <c r="A49" s="5" t="str">
        <f>HYPERLINK("#'Constants - Pasture Beef'!A1", "Constants - Pasture Beef")</f>
        <v>Constants - Pasture Beef</v>
      </c>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229</v>
      </c>
      <c r="P49" s="26"/>
      <c r="Q49" s="26"/>
      <c r="U49" s="25" t="str">
        <f>TEXT(EDATE(X_Cell_Site_StartDate,5), "mmmm")</f>
        <v>June</v>
      </c>
      <c r="V49" s="25">
        <f ca="1"/>
        <v>190</v>
      </c>
      <c r="W49" s="25">
        <f ca="1"/>
        <v>700</v>
      </c>
      <c r="X49" s="25">
        <f ca="1"/>
        <v>150</v>
      </c>
      <c r="Y49" s="25">
        <f ca="1"/>
        <v>330</v>
      </c>
      <c r="Z49" s="25">
        <f ca="1"/>
        <v>490</v>
      </c>
      <c r="AA49" s="25">
        <f ca="1"/>
        <v>490</v>
      </c>
      <c r="AB49" s="25">
        <f ca="1"/>
        <v>170</v>
      </c>
      <c r="AC49" s="25">
        <f ca="1"/>
        <v>360</v>
      </c>
      <c r="AD49" s="25">
        <f ca="1"/>
        <v>360</v>
      </c>
      <c r="AE49" s="25">
        <f ca="1"/>
        <v>360</v>
      </c>
      <c r="AF49" s="26" t="s">
        <v>229</v>
      </c>
    </row>
    <row r="50" spans="1:34" ht="20.100000000000001" customHeight="1" x14ac:dyDescent="0.25">
      <c r="A50" s="5" t="str">
        <f>HYPERLINK("#'Constants - Ag Residue'!A1", "Constants - Ag residue")</f>
        <v>Constants - Ag residue</v>
      </c>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229</v>
      </c>
      <c r="P50" s="26"/>
      <c r="Q50" s="26"/>
      <c r="U50" s="25" t="str">
        <f>TEXT(EDATE(X_Cell_Site_StartDate,6), "mmmm")</f>
        <v>July</v>
      </c>
      <c r="V50" s="25">
        <f ca="1"/>
        <v>190</v>
      </c>
      <c r="W50" s="25">
        <f ca="1"/>
        <v>700</v>
      </c>
      <c r="X50" s="25">
        <f ca="1"/>
        <v>150</v>
      </c>
      <c r="Y50" s="25">
        <f ca="1"/>
        <v>330</v>
      </c>
      <c r="Z50" s="25">
        <f ca="1"/>
        <v>490</v>
      </c>
      <c r="AA50" s="25">
        <f ca="1"/>
        <v>490</v>
      </c>
      <c r="AB50" s="25">
        <f ca="1"/>
        <v>170</v>
      </c>
      <c r="AC50" s="25">
        <f ca="1"/>
        <v>360</v>
      </c>
      <c r="AD50" s="25">
        <f ca="1"/>
        <v>360</v>
      </c>
      <c r="AE50" s="25">
        <f ca="1"/>
        <v>360</v>
      </c>
      <c r="AF50" s="26" t="s">
        <v>229</v>
      </c>
    </row>
    <row r="51" spans="1:34" ht="20.100000000000001" customHeight="1" x14ac:dyDescent="0.25">
      <c r="A51" s="5" t="str">
        <f>HYPERLINK("#'Constants - Common Livestock'!A1", "Constants - Common Livestock")</f>
        <v>Constants - Common Livestock</v>
      </c>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229</v>
      </c>
      <c r="P51" s="26"/>
      <c r="Q51" s="26"/>
      <c r="U51" s="25" t="str">
        <f>TEXT(EDATE(X_Cell_Site_StartDate,7), "mmmm")</f>
        <v>August</v>
      </c>
      <c r="V51" s="25">
        <f ca="1"/>
        <v>190</v>
      </c>
      <c r="W51" s="25">
        <f ca="1"/>
        <v>700</v>
      </c>
      <c r="X51" s="25">
        <f ca="1"/>
        <v>150</v>
      </c>
      <c r="Y51" s="25">
        <f ca="1"/>
        <v>330</v>
      </c>
      <c r="Z51" s="25">
        <f ca="1"/>
        <v>490</v>
      </c>
      <c r="AA51" s="25">
        <f ca="1"/>
        <v>490</v>
      </c>
      <c r="AB51" s="25">
        <f ca="1"/>
        <v>170</v>
      </c>
      <c r="AC51" s="25">
        <f ca="1"/>
        <v>360</v>
      </c>
      <c r="AD51" s="25">
        <f ca="1"/>
        <v>360</v>
      </c>
      <c r="AE51" s="25">
        <f ca="1"/>
        <v>360</v>
      </c>
      <c r="AF51" s="26" t="s">
        <v>229</v>
      </c>
      <c r="AG51" s="26"/>
      <c r="AH51" s="26"/>
    </row>
    <row r="52" spans="1:34" ht="20.100000000000001" customHeight="1" x14ac:dyDescent="0.25">
      <c r="A52" s="5" t="str">
        <f>HYPERLINK("#'Constants - Electricity'!A1", "Constants - Electricity")</f>
        <v>Constants - Electricity</v>
      </c>
      <c r="U52" s="25" t="str">
        <f>TEXT(EDATE(X_Cell_Site_StartDate,8), "mmmm")</f>
        <v>September</v>
      </c>
      <c r="V52" s="25">
        <f ca="1"/>
        <v>340</v>
      </c>
      <c r="W52" s="25">
        <f ca="1"/>
        <v>800</v>
      </c>
      <c r="X52" s="25">
        <f ca="1"/>
        <v>260</v>
      </c>
      <c r="Y52" s="25">
        <f ca="1"/>
        <v>420</v>
      </c>
      <c r="Z52" s="25">
        <f ca="1"/>
        <v>550</v>
      </c>
      <c r="AA52" s="25">
        <f ca="1"/>
        <v>550</v>
      </c>
      <c r="AB52" s="25">
        <f ca="1"/>
        <v>300</v>
      </c>
      <c r="AC52" s="25">
        <f ca="1"/>
        <v>480</v>
      </c>
      <c r="AD52" s="25">
        <f ca="1"/>
        <v>480</v>
      </c>
      <c r="AE52" s="25">
        <f ca="1"/>
        <v>480</v>
      </c>
      <c r="AF52" s="26" t="s">
        <v>229</v>
      </c>
      <c r="AG52" s="26"/>
      <c r="AH52" s="26"/>
    </row>
    <row r="53" spans="1:34" ht="20.100000000000001" customHeight="1" x14ac:dyDescent="0.25">
      <c r="A53" s="5" t="str">
        <f>HYPERLINK("#'Constants - Fertiliser'!A1", "Constants - Fertiliser")</f>
        <v>Constants - Fertiliser</v>
      </c>
      <c r="D53" s="109" t="s">
        <v>282</v>
      </c>
      <c r="U53" s="25" t="str">
        <f>TEXT(EDATE(X_Cell_Site_StartDate,9), "mmmm")</f>
        <v>October</v>
      </c>
      <c r="V53" s="25">
        <f ca="1"/>
        <v>340</v>
      </c>
      <c r="W53" s="25">
        <f ca="1"/>
        <v>800</v>
      </c>
      <c r="X53" s="25">
        <f ca="1"/>
        <v>260</v>
      </c>
      <c r="Y53" s="25">
        <f ca="1"/>
        <v>420</v>
      </c>
      <c r="Z53" s="25">
        <f ca="1"/>
        <v>550</v>
      </c>
      <c r="AA53" s="25">
        <f ca="1"/>
        <v>550</v>
      </c>
      <c r="AB53" s="25">
        <f ca="1"/>
        <v>300</v>
      </c>
      <c r="AC53" s="25">
        <f ca="1"/>
        <v>480</v>
      </c>
      <c r="AD53" s="25">
        <f ca="1"/>
        <v>480</v>
      </c>
      <c r="AE53" s="25">
        <f ca="1"/>
        <v>480</v>
      </c>
      <c r="AF53" s="26" t="s">
        <v>229</v>
      </c>
      <c r="AG53" s="26"/>
      <c r="AH53" s="26"/>
    </row>
    <row r="54" spans="1:34" ht="20.100000000000001" customHeight="1" x14ac:dyDescent="0.25">
      <c r="A54" s="5" t="str">
        <f>HYPERLINK("#'Constants - Fuel'!A1", "Constants - Fuel")</f>
        <v>Constants - Fuel</v>
      </c>
      <c r="D54" s="110" t="s">
        <v>283</v>
      </c>
      <c r="U54" s="25" t="str">
        <f>TEXT(EDATE(X_Cell_Site_StartDate,10), "mmmm")</f>
        <v>November</v>
      </c>
      <c r="V54" s="25">
        <f ca="1"/>
        <v>340</v>
      </c>
      <c r="W54" s="25">
        <f ca="1"/>
        <v>800</v>
      </c>
      <c r="X54" s="25">
        <f ca="1"/>
        <v>260</v>
      </c>
      <c r="Y54" s="25">
        <f ca="1"/>
        <v>420</v>
      </c>
      <c r="Z54" s="25">
        <f ca="1"/>
        <v>550</v>
      </c>
      <c r="AA54" s="25">
        <f ca="1"/>
        <v>550</v>
      </c>
      <c r="AB54" s="25">
        <f ca="1"/>
        <v>300</v>
      </c>
      <c r="AC54" s="25">
        <f ca="1"/>
        <v>480</v>
      </c>
      <c r="AD54" s="25">
        <f ca="1"/>
        <v>480</v>
      </c>
      <c r="AE54" s="25">
        <f ca="1"/>
        <v>480</v>
      </c>
      <c r="AF54" s="26" t="s">
        <v>229</v>
      </c>
      <c r="AG54" s="26"/>
      <c r="AH54" s="26"/>
    </row>
    <row r="55" spans="1:34" ht="20.100000000000001" customHeight="1" x14ac:dyDescent="0.25">
      <c r="A55" s="5" t="str">
        <f>HYPERLINK("#'Constants - Scope 3'!A1", "Constants - Scope 3")</f>
        <v>Constants - Scope 3</v>
      </c>
      <c r="D55" s="111" t="s">
        <v>77</v>
      </c>
      <c r="E55" s="112" t="s">
        <v>211</v>
      </c>
      <c r="F55" s="112" t="s">
        <v>201</v>
      </c>
      <c r="G55" s="112" t="s">
        <v>212</v>
      </c>
      <c r="H55" s="112" t="s">
        <v>213</v>
      </c>
      <c r="I55" s="112" t="s">
        <v>214</v>
      </c>
      <c r="J55" s="112" t="s">
        <v>215</v>
      </c>
      <c r="K55" s="112" t="s">
        <v>216</v>
      </c>
      <c r="L55" s="112" t="s">
        <v>217</v>
      </c>
      <c r="M55" s="112" t="s">
        <v>218</v>
      </c>
      <c r="N55" s="112" t="s">
        <v>219</v>
      </c>
      <c r="U55" s="25" t="str">
        <f>TEXT(EDATE(X_Cell_Site_StartDate,11), "mmmm")</f>
        <v>December</v>
      </c>
      <c r="V55" s="25">
        <f ca="1"/>
        <v>380</v>
      </c>
      <c r="W55" s="25">
        <f ca="1"/>
        <v>780</v>
      </c>
      <c r="X55" s="25">
        <f ca="1"/>
        <v>300</v>
      </c>
      <c r="Y55" s="25">
        <f ca="1"/>
        <v>450</v>
      </c>
      <c r="Z55" s="25">
        <f ca="1"/>
        <v>530</v>
      </c>
      <c r="AA55" s="25">
        <f ca="1"/>
        <v>530</v>
      </c>
      <c r="AB55" s="25">
        <f ca="1"/>
        <v>340</v>
      </c>
      <c r="AC55" s="25">
        <f ca="1"/>
        <v>470</v>
      </c>
      <c r="AD55" s="25">
        <f ca="1"/>
        <v>470</v>
      </c>
      <c r="AE55" s="25">
        <f ca="1"/>
        <v>470</v>
      </c>
      <c r="AF55" s="26" t="s">
        <v>229</v>
      </c>
      <c r="AG55" s="26"/>
      <c r="AH55" s="26"/>
    </row>
    <row r="56" spans="1:34" ht="20.100000000000001" customHeight="1" x14ac:dyDescent="0.25">
      <c r="A56" s="5" t="str">
        <f>HYPERLINK("#'Constants - Common'!A1", "Constants - Common")</f>
        <v>Constants - Common</v>
      </c>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229</v>
      </c>
      <c r="P56" s="26"/>
      <c r="Q56" s="26"/>
      <c r="AG56" s="26"/>
      <c r="AH56" s="26"/>
    </row>
    <row r="57" spans="1:34" ht="20.100000000000001" customHeight="1" x14ac:dyDescent="0.25">
      <c r="A57" s="5" t="str">
        <f>HYPERLINK("#'Acknowledgements'!A1", "Acknowledgements")</f>
        <v>Acknowledgements</v>
      </c>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229</v>
      </c>
      <c r="P57" s="26"/>
      <c r="Q57" s="26"/>
      <c r="U57" s="109" t="s">
        <v>280</v>
      </c>
      <c r="AG57" s="26"/>
      <c r="AH57" s="26"/>
    </row>
    <row r="58" spans="1:34" ht="20.100000000000001" customHeight="1" x14ac:dyDescent="0.25">
      <c r="A58" s="5" t="str">
        <f>HYPERLINK("#'Constants - Solid Waste'!A1", "Constants - Solid Waste")</f>
        <v>Constants - Solid Waste</v>
      </c>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229</v>
      </c>
      <c r="P58" s="26"/>
      <c r="Q58" s="26"/>
      <c r="U58" s="110" t="s">
        <v>281</v>
      </c>
      <c r="AG58" s="26"/>
      <c r="AH58" s="26"/>
    </row>
    <row r="59" spans="1: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229</v>
      </c>
      <c r="P59" s="26"/>
      <c r="Q59" s="26"/>
      <c r="U59" s="111" t="s">
        <v>76</v>
      </c>
      <c r="V59" s="112" t="s">
        <v>211</v>
      </c>
      <c r="W59" s="112" t="s">
        <v>201</v>
      </c>
      <c r="X59" s="112" t="s">
        <v>212</v>
      </c>
      <c r="Y59" s="112" t="s">
        <v>213</v>
      </c>
      <c r="Z59" s="112" t="s">
        <v>214</v>
      </c>
      <c r="AA59" s="112" t="s">
        <v>215</v>
      </c>
      <c r="AB59" s="112" t="s">
        <v>216</v>
      </c>
      <c r="AC59" s="112" t="s">
        <v>217</v>
      </c>
      <c r="AD59" s="112" t="s">
        <v>218</v>
      </c>
      <c r="AE59" s="112" t="s">
        <v>219</v>
      </c>
      <c r="AG59" s="26"/>
      <c r="AH59" s="26"/>
    </row>
    <row r="60" spans="1:34" ht="20.100000000000001" customHeight="1" x14ac:dyDescent="0.25">
      <c r="U60" s="25" t="str">
        <f>TEXT(X_Cell_Site_StartDate,"mmmm")</f>
        <v>January</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231</v>
      </c>
      <c r="AG60" s="26"/>
      <c r="AH60" s="26"/>
    </row>
    <row r="61" spans="1:34" ht="20.100000000000001" customHeight="1" x14ac:dyDescent="0.25">
      <c r="D61" s="109" t="s">
        <v>286</v>
      </c>
      <c r="U61" s="25" t="str">
        <f>TEXT(EDATE(X_Cell_Site_StartDate,1), "mmmm")</f>
        <v>February</v>
      </c>
      <c r="V61" s="25">
        <f ca="1"/>
        <v>0.44</v>
      </c>
      <c r="W61" s="25">
        <f ca="1"/>
        <v>-0.22</v>
      </c>
      <c r="X61" s="25">
        <f ca="1"/>
        <v>0.44</v>
      </c>
      <c r="Y61" s="25">
        <f ca="1"/>
        <v>0.33</v>
      </c>
      <c r="Z61" s="25">
        <f ca="1"/>
        <v>-0.22</v>
      </c>
      <c r="AA61" s="25">
        <f ca="1"/>
        <v>-0.22</v>
      </c>
      <c r="AB61" s="25">
        <f ca="1"/>
        <v>0.44</v>
      </c>
      <c r="AC61" s="25">
        <f ca="1"/>
        <v>-0.11</v>
      </c>
      <c r="AD61" s="25">
        <f ca="1"/>
        <v>-0.11</v>
      </c>
      <c r="AE61" s="25">
        <f ca="1"/>
        <v>-0.11</v>
      </c>
      <c r="AF61" s="26" t="s">
        <v>231</v>
      </c>
      <c r="AG61" s="26"/>
      <c r="AH61" s="26"/>
    </row>
    <row r="62" spans="1:34" ht="20.100000000000001" customHeight="1" x14ac:dyDescent="0.25">
      <c r="D62" s="110" t="s">
        <v>287</v>
      </c>
      <c r="U62" s="25" t="str">
        <f>TEXT(EDATE(X_Cell_Site_StartDate,2), "mmmm")</f>
        <v>March</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231</v>
      </c>
      <c r="AG62" s="26"/>
      <c r="AH62" s="26"/>
    </row>
    <row r="63" spans="1:34" ht="20.100000000000001" customHeight="1" x14ac:dyDescent="0.25">
      <c r="D63" s="111" t="s">
        <v>77</v>
      </c>
      <c r="E63" s="111" t="s">
        <v>211</v>
      </c>
      <c r="F63" s="111" t="s">
        <v>201</v>
      </c>
      <c r="G63" s="111" t="s">
        <v>212</v>
      </c>
      <c r="H63" s="111" t="s">
        <v>213</v>
      </c>
      <c r="I63" s="111" t="s">
        <v>214</v>
      </c>
      <c r="J63" s="111" t="s">
        <v>215</v>
      </c>
      <c r="K63" s="111" t="s">
        <v>216</v>
      </c>
      <c r="L63" s="111" t="s">
        <v>217</v>
      </c>
      <c r="M63" s="111" t="s">
        <v>218</v>
      </c>
      <c r="N63" s="111" t="s">
        <v>219</v>
      </c>
      <c r="U63" s="25" t="str">
        <f>TEXT(EDATE(X_Cell_Site_StartDate,3), "mmmm")</f>
        <v>April</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231</v>
      </c>
      <c r="AG63" s="26"/>
      <c r="AH63" s="26"/>
    </row>
    <row r="64" spans="1:34" ht="20.100000000000001" customHeight="1" x14ac:dyDescent="0.25">
      <c r="D64" s="25" t="s">
        <v>220</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str">
        <f>TEXT(EDATE(X_Cell_Site_StartDate,4), "mmmm")</f>
        <v>May</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231</v>
      </c>
    </row>
    <row r="65" spans="3:34" ht="20.100000000000001" customHeight="1" x14ac:dyDescent="0.25">
      <c r="D65" s="25" t="s">
        <v>221</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str">
        <f>TEXT(EDATE(X_Cell_Site_StartDate,5), "mmmm")</f>
        <v>June</v>
      </c>
      <c r="V65" s="25">
        <f ca="1"/>
        <v>0.99</v>
      </c>
      <c r="W65" s="25">
        <f ca="1"/>
        <v>0.22</v>
      </c>
      <c r="X65" s="25">
        <f ca="1"/>
        <v>0.77</v>
      </c>
      <c r="Y65" s="25">
        <f ca="1"/>
        <v>0.11</v>
      </c>
      <c r="Z65" s="25">
        <f ca="1"/>
        <v>0.11</v>
      </c>
      <c r="AA65" s="25">
        <f ca="1"/>
        <v>0.11</v>
      </c>
      <c r="AB65" s="25">
        <f ca="1"/>
        <v>0.77</v>
      </c>
      <c r="AC65" s="25">
        <f ca="1"/>
        <v>0.44</v>
      </c>
      <c r="AD65" s="25">
        <f ca="1"/>
        <v>0.44</v>
      </c>
      <c r="AE65" s="25">
        <f ca="1"/>
        <v>0.44</v>
      </c>
      <c r="AF65" s="26" t="s">
        <v>231</v>
      </c>
    </row>
    <row r="66" spans="3:34" ht="20.100000000000001" customHeight="1" x14ac:dyDescent="0.25">
      <c r="D66" s="25" t="s">
        <v>222</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str">
        <f>TEXT(EDATE(X_Cell_Site_StartDate,6), "mmmm")</f>
        <v>July</v>
      </c>
      <c r="V66" s="25">
        <f ca="1"/>
        <v>0.99</v>
      </c>
      <c r="W66" s="25">
        <f ca="1"/>
        <v>0.22</v>
      </c>
      <c r="X66" s="25">
        <f ca="1"/>
        <v>0.77</v>
      </c>
      <c r="Y66" s="25">
        <f ca="1"/>
        <v>0.11</v>
      </c>
      <c r="Z66" s="25">
        <f ca="1"/>
        <v>0.11</v>
      </c>
      <c r="AA66" s="25">
        <f ca="1"/>
        <v>0.11</v>
      </c>
      <c r="AB66" s="25">
        <f ca="1"/>
        <v>0.77</v>
      </c>
      <c r="AC66" s="25">
        <f ca="1"/>
        <v>0.44</v>
      </c>
      <c r="AD66" s="25">
        <f ca="1"/>
        <v>0.44</v>
      </c>
      <c r="AE66" s="25">
        <f ca="1"/>
        <v>0.44</v>
      </c>
      <c r="AF66" s="26" t="s">
        <v>231</v>
      </c>
    </row>
    <row r="67" spans="3:34" ht="20.100000000000001" customHeight="1" x14ac:dyDescent="0.25">
      <c r="D67" s="25" t="s">
        <v>223</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str">
        <f>TEXT(EDATE(X_Cell_Site_StartDate,7), "mmmm")</f>
        <v>August</v>
      </c>
      <c r="V67" s="25">
        <f ca="1"/>
        <v>0.99</v>
      </c>
      <c r="W67" s="25">
        <f ca="1"/>
        <v>0.22</v>
      </c>
      <c r="X67" s="25">
        <f ca="1"/>
        <v>0.77</v>
      </c>
      <c r="Y67" s="25">
        <f ca="1"/>
        <v>0.11</v>
      </c>
      <c r="Z67" s="25">
        <f ca="1"/>
        <v>0.11</v>
      </c>
      <c r="AA67" s="25">
        <f ca="1"/>
        <v>0.11</v>
      </c>
      <c r="AB67" s="25">
        <f ca="1"/>
        <v>0.77</v>
      </c>
      <c r="AC67" s="25">
        <f ca="1"/>
        <v>0.44</v>
      </c>
      <c r="AD67" s="25">
        <f ca="1"/>
        <v>0.44</v>
      </c>
      <c r="AE67" s="25">
        <f ca="1"/>
        <v>0.44</v>
      </c>
      <c r="AF67" s="26" t="s">
        <v>231</v>
      </c>
    </row>
    <row r="68" spans="3:34" ht="20.100000000000001" customHeight="1" x14ac:dyDescent="0.25">
      <c r="U68" s="25" t="str">
        <f>TEXT(EDATE(X_Cell_Site_StartDate,8), "mmmm")</f>
        <v>September</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231</v>
      </c>
      <c r="AG68" s="26"/>
      <c r="AH68" s="26"/>
    </row>
    <row r="69" spans="3:34" ht="20.100000000000001" customHeight="1" x14ac:dyDescent="0.25">
      <c r="U69" s="25" t="str">
        <f>TEXT(EDATE(X_Cell_Site_StartDate,9), "mmmm")</f>
        <v>October</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231</v>
      </c>
      <c r="AG69" s="26"/>
      <c r="AH69" s="26"/>
    </row>
    <row r="70" spans="3:34" ht="20.100000000000001" customHeight="1" x14ac:dyDescent="0.25">
      <c r="C70" s="114"/>
      <c r="D70" s="114"/>
      <c r="E70" s="114"/>
      <c r="F70" s="114"/>
      <c r="G70" s="114"/>
      <c r="H70" s="114"/>
      <c r="I70" s="114"/>
      <c r="J70" s="114"/>
      <c r="K70" s="114"/>
      <c r="L70" s="114"/>
      <c r="M70" s="114"/>
      <c r="N70" s="114"/>
      <c r="O70" s="114"/>
      <c r="P70" s="114"/>
      <c r="Q70" s="114"/>
      <c r="R70" s="114"/>
      <c r="U70" s="25" t="str">
        <f>TEXT(EDATE(X_Cell_Site_StartDate,10), "mmmm")</f>
        <v>November</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231</v>
      </c>
      <c r="AG70" s="26"/>
      <c r="AH70" s="26"/>
    </row>
    <row r="71" spans="3:34" ht="20.100000000000001" customHeight="1" x14ac:dyDescent="0.25">
      <c r="D71" s="2" t="str" cm="1">
        <f t="array" ref="D71">EntericMethane_PastureBeef_Equations.VEERG_3_2_1_1__2_DailyEntericMethaneProduction_Title()</f>
        <v>Daily production of enteric methane</v>
      </c>
      <c r="U71" s="25" t="str">
        <f>TEXT(EDATE(X_Cell_Site_StartDate,11), "mmmm")</f>
        <v>December</v>
      </c>
      <c r="V71" s="25">
        <f ca="1"/>
        <v>0.44</v>
      </c>
      <c r="W71" s="25">
        <f ca="1"/>
        <v>-0.22</v>
      </c>
      <c r="X71" s="25">
        <f ca="1"/>
        <v>0.44</v>
      </c>
      <c r="Y71" s="25">
        <f ca="1"/>
        <v>0.33</v>
      </c>
      <c r="Z71" s="25">
        <f ca="1"/>
        <v>-0.22</v>
      </c>
      <c r="AA71" s="25">
        <f ca="1"/>
        <v>-0.22</v>
      </c>
      <c r="AB71" s="25">
        <f ca="1"/>
        <v>0.44</v>
      </c>
      <c r="AC71" s="25">
        <f ca="1"/>
        <v>-0.11</v>
      </c>
      <c r="AD71" s="25">
        <f ca="1"/>
        <v>-0.11</v>
      </c>
      <c r="AE71" s="25">
        <f ca="1"/>
        <v>-0.11</v>
      </c>
      <c r="AF71" s="26" t="s">
        <v>231</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0" t="s">
        <v>259</v>
      </c>
      <c r="E73" s="100" t="str" cm="1">
        <f t="array" aca="1" ref="E73" ca="1">Common_InputFunctions.Utility_DisplayFunctionName(E85)</f>
        <v>=EntericMethane_PastureBeef_Equations.VEERG_3_2_1_1__2_DailyEntericMethaneProduction</v>
      </c>
      <c r="U73" s="109" t="s">
        <v>284</v>
      </c>
      <c r="AG73" s="26"/>
      <c r="AH73" s="26"/>
    </row>
    <row r="74" spans="3:34" ht="20.100000000000001" customHeight="1" x14ac:dyDescent="0.25">
      <c r="U74" s="110" t="s">
        <v>285</v>
      </c>
      <c r="AG74" s="26"/>
      <c r="AH74" s="26"/>
    </row>
    <row r="75" spans="3:34" ht="20.100000000000001" customHeight="1" x14ac:dyDescent="0.25">
      <c r="U75" s="111" t="s">
        <v>76</v>
      </c>
      <c r="V75" s="111" t="s">
        <v>211</v>
      </c>
      <c r="W75" s="111" t="s">
        <v>201</v>
      </c>
      <c r="X75" s="111" t="s">
        <v>212</v>
      </c>
      <c r="Y75" s="111" t="s">
        <v>213</v>
      </c>
      <c r="Z75" s="111" t="s">
        <v>214</v>
      </c>
      <c r="AA75" s="111" t="s">
        <v>215</v>
      </c>
      <c r="AB75" s="111" t="s">
        <v>216</v>
      </c>
      <c r="AC75" s="111" t="s">
        <v>217</v>
      </c>
      <c r="AD75" s="111" t="s">
        <v>218</v>
      </c>
      <c r="AE75" s="111" t="s">
        <v>219</v>
      </c>
      <c r="AG75" s="26"/>
      <c r="AH75" s="26"/>
    </row>
    <row r="76" spans="3:34" ht="20.100000000000001" customHeight="1" x14ac:dyDescent="0.25">
      <c r="U76" s="25" t="str">
        <f>TEXT(X_Cell_Site_StartDate,"mmmm")</f>
        <v>January</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261</v>
      </c>
      <c r="E77" s="1" t="str" cm="1">
        <f t="array" ref="E77">EntericMethane_PastureBeef_Equations.VEERG_3_2_1_1__2_DailyEntericMethaneProduction_Variable()</f>
        <v>M_jkl</v>
      </c>
      <c r="U77" s="25" t="str">
        <f>TEXT(EDATE(X_Cell_Site_StartDate,1), "mmmm")</f>
        <v>February</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131</v>
      </c>
      <c r="E78" s="15" t="str" cm="1">
        <f t="array" ref="E78">EntericMethane_PastureBeef_Equations.VEERG_3_2_1_1__2_DailyEntericMethaneProduction_Unit()</f>
        <v>kg CH4/head/day</v>
      </c>
      <c r="U78" s="25" t="str">
        <f>TEXT(EDATE(X_Cell_Site_StartDate,2), "mmmm")</f>
        <v>March</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str">
        <f>TEXT(EDATE(X_Cell_Site_StartDate,3), "mmmm")</f>
        <v>April</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2" t="str" cm="1">
        <f t="array" ref="D80:E80">_xlfn.CHOOSECOLS(EntericMethane_PastureBeef_Equations.VEERG_3_2_1_1__2_DailyEntericMethaneProduction_Arguments(), 1, 2)</f>
        <v>I_jkl</v>
      </c>
      <c r="E80" s="103" t="str">
        <v>dry matter intake</v>
      </c>
      <c r="F80" s="105"/>
      <c r="G80" s="102" t="str" cm="1">
        <f t="array" ref="G80:H80">_xlfn.CHOOSECOLS(EntericMethane_PastureBeef_Equations.VEERG_3_2_1_1__2_DailyEntericMethaneProduction_Arguments(), 3,4)</f>
        <v>kg DM/head/day</v>
      </c>
      <c r="H80" s="107" t="str">
        <v>Calculated from 3.2.1.1, (3)</v>
      </c>
      <c r="I80" s="108" t="str" cm="1">
        <f t="array" aca="1" ref="I80" ca="1">HYPERLINK(Common_InputFunctions.Utility_SourceHyperlink($D$61), $D$61)</f>
        <v>M1_Table_I_j_k_l</v>
      </c>
      <c r="U80" s="25" t="str">
        <f>TEXT(EDATE(X_Cell_Site_StartDate,4), "mmmm")</f>
        <v>May</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str">
        <f>TEXT(EDATE(X_Cell_Site_StartDate,5), "mmmm")</f>
        <v>June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09" t="s">
        <v>458</v>
      </c>
      <c r="U82" s="25" t="str">
        <f>TEXT(EDATE(X_Cell_Site_StartDate,6), "mmmm")</f>
        <v>July</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0" t="s">
        <v>459</v>
      </c>
      <c r="U83" s="25" t="str">
        <f>TEXT(EDATE(X_Cell_Site_StartDate,7), "mmmm")</f>
        <v>August</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1" t="s">
        <v>77</v>
      </c>
      <c r="E84" s="111" t="s">
        <v>211</v>
      </c>
      <c r="F84" s="111" t="s">
        <v>201</v>
      </c>
      <c r="G84" s="111" t="s">
        <v>212</v>
      </c>
      <c r="H84" s="111" t="s">
        <v>213</v>
      </c>
      <c r="I84" s="111" t="s">
        <v>214</v>
      </c>
      <c r="J84" s="111" t="s">
        <v>215</v>
      </c>
      <c r="K84" s="111" t="s">
        <v>216</v>
      </c>
      <c r="L84" s="111" t="s">
        <v>217</v>
      </c>
      <c r="M84" s="111" t="s">
        <v>218</v>
      </c>
      <c r="N84" s="111" t="s">
        <v>219</v>
      </c>
      <c r="U84" s="25" t="str">
        <f>TEXT(EDATE(X_Cell_Site_StartDate,8), "mmmm")</f>
        <v>September</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220</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str">
        <f>TEXT(EDATE(X_Cell_Site_StartDate,9), "mmmm")</f>
        <v>October</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221</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str">
        <f>TEXT(EDATE(X_Cell_Site_StartDate,10), "mmmm")</f>
        <v>November</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222</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str">
        <f>TEXT(EDATE(X_Cell_Site_StartDate,11), "mmmm")</f>
        <v>December</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223</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4"/>
      <c r="D91" s="114"/>
      <c r="E91" s="114"/>
      <c r="F91" s="114"/>
      <c r="G91" s="114"/>
      <c r="H91" s="114"/>
      <c r="I91" s="114"/>
      <c r="J91" s="114"/>
      <c r="K91" s="114"/>
      <c r="L91" s="114"/>
      <c r="M91" s="114"/>
      <c r="N91" s="114"/>
      <c r="O91" s="114"/>
      <c r="P91" s="114"/>
      <c r="Q91" s="114"/>
      <c r="R91" s="114"/>
      <c r="T91" s="114"/>
      <c r="U91" s="114"/>
      <c r="V91" s="114"/>
      <c r="W91" s="114"/>
      <c r="X91" s="114"/>
      <c r="Y91" s="114"/>
      <c r="Z91" s="114"/>
      <c r="AA91" s="114"/>
      <c r="AB91" s="114"/>
      <c r="AC91" s="114"/>
      <c r="AD91" s="114"/>
      <c r="AE91" s="114"/>
      <c r="AF91" s="114"/>
      <c r="AG91" s="114"/>
      <c r="AH91" s="114"/>
      <c r="AI91" s="114"/>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0" t="s">
        <v>259</v>
      </c>
      <c r="E94" s="100" t="str" cm="1">
        <f t="array" aca="1" ref="E94" ca="1">Common_InputFunctions.Utility_DisplayFunctionName(E123)</f>
        <v>=EntericMethane_PastureBeef_Equations.VEERG_3_2_1_1__1_TotalAnnualMethaneFromEntericFermentation</v>
      </c>
      <c r="U94" s="109" t="s">
        <v>460</v>
      </c>
    </row>
    <row r="95" spans="3:35" ht="20.100000000000001" customHeight="1" x14ac:dyDescent="0.25">
      <c r="U95" s="110" t="s">
        <v>461</v>
      </c>
    </row>
    <row r="96" spans="3:35" ht="20.100000000000001" customHeight="1" x14ac:dyDescent="0.25">
      <c r="U96" s="111" t="s">
        <v>76</v>
      </c>
      <c r="V96" s="111" t="s">
        <v>211</v>
      </c>
      <c r="W96" s="111" t="s">
        <v>201</v>
      </c>
      <c r="X96" s="111" t="s">
        <v>212</v>
      </c>
      <c r="Y96" s="111" t="s">
        <v>213</v>
      </c>
      <c r="Z96" s="111" t="s">
        <v>214</v>
      </c>
      <c r="AA96" s="111" t="s">
        <v>215</v>
      </c>
      <c r="AB96" s="111" t="s">
        <v>216</v>
      </c>
      <c r="AC96" s="111" t="s">
        <v>217</v>
      </c>
      <c r="AD96" s="111" t="s">
        <v>218</v>
      </c>
      <c r="AE96" s="111" t="s">
        <v>219</v>
      </c>
    </row>
    <row r="97" spans="4:35" ht="20.100000000000001" customHeight="1" x14ac:dyDescent="0.25">
      <c r="D97" s="88" t="s">
        <v>261</v>
      </c>
      <c r="E97" s="1" t="str" cm="1">
        <f t="array" ref="E97">EntericMethane_PastureBeef_Equations.VEERG_3_2_1_1__1_TotalAnnualMethaneFromEntericFermentation_Variable()</f>
        <v>E_enteric</v>
      </c>
      <c r="U97" s="25" t="str">
        <f>TEXT(X_Cell_Site_StartDate,"mmmm")</f>
        <v>January</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131</v>
      </c>
      <c r="E98" s="15" t="str" cm="1">
        <f t="array" ref="E98">EntericMethane_PastureBeef_Equations.VEERG_3_2_1_1__1_TotalAnnualMethaneFromEntericFermentation_Unit()</f>
        <v>t CH4</v>
      </c>
      <c r="U98" s="25" t="str">
        <f>TEXT(EDATE(X_Cell_Site_StartDate,1), "mmmm")</f>
        <v>February</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str">
        <f>TEXT(EDATE(X_Cell_Site_StartDate,2), "mmmm")</f>
        <v>March</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2" t="str" cm="1">
        <f t="array" ref="D100:E102">_xlfn.CHOOSECOLS(EntericMethane_PastureBeef_Equations.VEERG_3_2_1_1__1_TotalAnnualMethaneFromEntericFermentation_Arguments(), 1, 2)</f>
        <v>D_j</v>
      </c>
      <c r="E100" s="103" t="str">
        <v>number of days the animal is on the farm in each time-period</v>
      </c>
      <c r="F100" s="105"/>
      <c r="G100" s="102" t="str" cm="1">
        <f t="array" ref="G100:H102">_xlfn.CHOOSECOLS(EntericMethane_PastureBeef_Equations.VEERG_3_2_1_1__1_TotalAnnualMethaneFromEntericFermentation_Arguments(), 3,4)</f>
        <v>days</v>
      </c>
      <c r="H100" s="106" t="str">
        <v>Input</v>
      </c>
      <c r="I100" s="108" t="str" cm="1">
        <f t="array" aca="1" ref="I100" ca="1">HYPERLINK(Common_InputFunctions.Utility_SourceHyperlink($D$112), $D$112)</f>
        <v>M1_Table_D_j</v>
      </c>
      <c r="U100" s="25" t="str">
        <f>TEXT(EDATE(X_Cell_Site_StartDate,3), "mmmm")</f>
        <v>April</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2" t="str">
        <v>M_jkl</v>
      </c>
      <c r="E101" s="103" t="str">
        <v>daily production of enteric methane in each time-period, class and subclass</v>
      </c>
      <c r="F101" s="105"/>
      <c r="G101" s="102" t="str">
        <v>kg CH4/head/day</v>
      </c>
      <c r="H101" s="107" t="str">
        <v>Calculated from 3.2.1.1, (2)</v>
      </c>
      <c r="I101" s="108" t="str" cm="1">
        <f t="array" aca="1" ref="I101" ca="1">HYPERLINK(Common_InputFunctions.Utility_SourceHyperlink($D$82), $D$82)</f>
        <v>M1_Table_M_j_k_l</v>
      </c>
      <c r="U101" s="25" t="str">
        <f>TEXT(EDATE(X_Cell_Site_StartDate,4), "mmmm")</f>
        <v>May</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2" t="str">
        <v>N_jkl</v>
      </c>
      <c r="E102" s="103" t="str">
        <v>number of beef cattle in each time-period, class and subclass</v>
      </c>
      <c r="F102" s="105"/>
      <c r="G102" s="102" t="str">
        <v>head</v>
      </c>
      <c r="H102" s="106" t="str">
        <v>Input</v>
      </c>
      <c r="I102" s="108" t="str" cm="1">
        <f t="array" aca="1" ref="I102" ca="1">HYPERLINK(Common_InputFunctions.Utility_SourceHyperlink($D$104), $D$104)</f>
        <v>M1_Table_N_j_k_l</v>
      </c>
      <c r="U102" s="25" t="str">
        <f>TEXT(EDATE(X_Cell_Site_StartDate,5), "mmmm")</f>
        <v>June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str">
        <f>TEXT(EDATE(X_Cell_Site_StartDate,6), "mmmm")</f>
        <v>July</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09" t="s">
        <v>309</v>
      </c>
      <c r="U104" s="25" t="str">
        <f>TEXT(EDATE(X_Cell_Site_StartDate,7), "mmmm")</f>
        <v>August</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0" t="s">
        <v>311</v>
      </c>
      <c r="U105" s="25" t="str">
        <f>TEXT(EDATE(X_Cell_Site_StartDate,8), "mmmm")</f>
        <v>September</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1" t="s">
        <v>77</v>
      </c>
      <c r="E106" s="112" t="s">
        <v>211</v>
      </c>
      <c r="F106" s="112" t="s">
        <v>201</v>
      </c>
      <c r="G106" s="112" t="s">
        <v>212</v>
      </c>
      <c r="H106" s="112" t="s">
        <v>213</v>
      </c>
      <c r="I106" s="112" t="s">
        <v>214</v>
      </c>
      <c r="J106" s="112" t="s">
        <v>215</v>
      </c>
      <c r="K106" s="112" t="s">
        <v>216</v>
      </c>
      <c r="L106" s="112" t="s">
        <v>217</v>
      </c>
      <c r="M106" s="112" t="s">
        <v>218</v>
      </c>
      <c r="N106" s="112" t="s">
        <v>219</v>
      </c>
      <c r="U106" s="25" t="str">
        <f>TEXT(EDATE(X_Cell_Site_StartDate,9), "mmmm")</f>
        <v>October</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220</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str">
        <f>TEXT(EDATE(X_Cell_Site_StartDate,10), "mmmm")</f>
        <v>November</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221</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str">
        <f>TEXT(EDATE(X_Cell_Site_StartDate,11), "mmmm")</f>
        <v>December</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222</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223</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4"/>
      <c r="U111" s="114"/>
      <c r="V111" s="114"/>
      <c r="W111" s="114"/>
      <c r="X111" s="114"/>
      <c r="Y111" s="114"/>
      <c r="Z111" s="114"/>
      <c r="AA111" s="114"/>
      <c r="AB111" s="114"/>
      <c r="AC111" s="114"/>
      <c r="AD111" s="114"/>
      <c r="AE111" s="114"/>
      <c r="AF111" s="114"/>
      <c r="AG111" s="114"/>
      <c r="AH111" s="114"/>
      <c r="AI111" s="114"/>
    </row>
    <row r="112" spans="4:35" ht="20.100000000000001" customHeight="1" x14ac:dyDescent="0.25">
      <c r="D112" s="109" t="s">
        <v>314</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0" t="s">
        <v>315</v>
      </c>
    </row>
    <row r="114" spans="4:34" ht="20.100000000000001" customHeight="1" x14ac:dyDescent="0.25">
      <c r="D114" s="111" t="s">
        <v>77</v>
      </c>
      <c r="E114" s="112" t="s">
        <v>211</v>
      </c>
      <c r="F114" s="112" t="s">
        <v>201</v>
      </c>
      <c r="G114" s="112" t="s">
        <v>212</v>
      </c>
      <c r="H114" s="112" t="s">
        <v>213</v>
      </c>
      <c r="I114" s="112" t="s">
        <v>214</v>
      </c>
      <c r="J114" s="112" t="s">
        <v>215</v>
      </c>
      <c r="K114" s="112" t="s">
        <v>216</v>
      </c>
      <c r="L114" s="112" t="s">
        <v>217</v>
      </c>
      <c r="M114" s="112" t="s">
        <v>218</v>
      </c>
      <c r="N114" s="112" t="s">
        <v>219</v>
      </c>
      <c r="U114" s="109" t="s">
        <v>310</v>
      </c>
    </row>
    <row r="115" spans="4:34" ht="20.100000000000001" customHeight="1" x14ac:dyDescent="0.25">
      <c r="D115" s="25" t="s">
        <v>220</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0" t="s">
        <v>312</v>
      </c>
      <c r="AH115" s="26"/>
    </row>
    <row r="116" spans="4:34" ht="20.100000000000001" customHeight="1" x14ac:dyDescent="0.25">
      <c r="D116" s="25" t="s">
        <v>221</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1" t="s">
        <v>76</v>
      </c>
      <c r="V116" s="112" t="s">
        <v>211</v>
      </c>
      <c r="W116" s="112" t="s">
        <v>201</v>
      </c>
      <c r="X116" s="112" t="s">
        <v>212</v>
      </c>
      <c r="Y116" s="112" t="s">
        <v>213</v>
      </c>
      <c r="Z116" s="112" t="s">
        <v>214</v>
      </c>
      <c r="AA116" s="112" t="s">
        <v>215</v>
      </c>
      <c r="AB116" s="112" t="s">
        <v>216</v>
      </c>
      <c r="AC116" s="112" t="s">
        <v>217</v>
      </c>
      <c r="AD116" s="112" t="s">
        <v>218</v>
      </c>
      <c r="AE116" s="112" t="s">
        <v>219</v>
      </c>
      <c r="AF116" s="26"/>
      <c r="AH116" s="26"/>
    </row>
    <row r="117" spans="4:34" ht="20.100000000000001" customHeight="1" x14ac:dyDescent="0.25">
      <c r="D117" s="25" t="s">
        <v>222</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TEXT(X_Cell_Site_StartDate,"mmmm")</f>
        <v>January</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223</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str">
        <f>TEXT(EDATE(X_Cell_Site_StartDate,1), "mmmm")</f>
        <v>February</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str">
        <f>TEXT(EDATE(X_Cell_Site_StartDate,2), "mmmm")</f>
        <v>March</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09" t="s">
        <v>462</v>
      </c>
      <c r="U120" s="25" t="str">
        <f>TEXT(EDATE(X_Cell_Site_StartDate,3), "mmmm")</f>
        <v>April</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0" t="s">
        <v>463</v>
      </c>
      <c r="U121" s="25" t="str">
        <f>TEXT(EDATE(X_Cell_Site_StartDate,4), "mmmm")</f>
        <v>May</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1" t="s">
        <v>77</v>
      </c>
      <c r="E122" s="111" t="s">
        <v>211</v>
      </c>
      <c r="F122" s="111" t="s">
        <v>201</v>
      </c>
      <c r="G122" s="111" t="s">
        <v>212</v>
      </c>
      <c r="H122" s="111" t="s">
        <v>213</v>
      </c>
      <c r="I122" s="111" t="s">
        <v>214</v>
      </c>
      <c r="J122" s="111" t="s">
        <v>215</v>
      </c>
      <c r="K122" s="111" t="s">
        <v>216</v>
      </c>
      <c r="L122" s="111" t="s">
        <v>217</v>
      </c>
      <c r="M122" s="111" t="s">
        <v>218</v>
      </c>
      <c r="N122" s="111" t="s">
        <v>219</v>
      </c>
      <c r="U122" s="25" t="str">
        <f>TEXT(EDATE(X_Cell_Site_StartDate,5), "mmmm")</f>
        <v>June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220</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str">
        <f>TEXT(EDATE(X_Cell_Site_StartDate,6), "mmmm")</f>
        <v>July</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221</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str">
        <f>TEXT(EDATE(X_Cell_Site_StartDate,7), "mmmm")</f>
        <v>August</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222</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str">
        <f>TEXT(EDATE(X_Cell_Site_StartDate,8), "mmmm")</f>
        <v>September</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223</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str">
        <f>TEXT(EDATE(X_Cell_Site_StartDate,9), "mmmm")</f>
        <v>October</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str">
        <f>TEXT(EDATE(X_Cell_Site_StartDate,10), "mmmm")</f>
        <v>November</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5" t="s">
        <v>321</v>
      </c>
      <c r="E128" s="116">
        <f ca="1">SUM(E123:N126)</f>
        <v>54.595755432192263</v>
      </c>
      <c r="F128" s="117" t="str">
        <f>$E$98</f>
        <v>t CH4</v>
      </c>
      <c r="Q128" s="26"/>
      <c r="U128" s="25" t="str">
        <f>TEXT(EDATE(X_Cell_Site_StartDate,11), "mmmm")</f>
        <v>December</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18" t="str" cm="1">
        <f t="array" ref="D130:E131">Common_Equations.Common_ConvertCH4ToCO2e_Arguments()</f>
        <v>ECH4</v>
      </c>
      <c r="E130" s="119" t="str">
        <v>Methane emissions (t CH4)</v>
      </c>
      <c r="F130" s="120"/>
      <c r="G130" s="25">
        <f ca="1">VEERG_3_2_1_1__1_TotalAnnualMethaneFromEntericFermentation_Result_Method1</f>
        <v>54.595755432192263</v>
      </c>
      <c r="Q130" s="26"/>
      <c r="U130" s="109" t="s">
        <v>318</v>
      </c>
    </row>
    <row r="131" spans="4:34" ht="20.100000000000001" customHeight="1" x14ac:dyDescent="0.25">
      <c r="D131" s="118" t="str">
        <v>GWPCH4</v>
      </c>
      <c r="E131" s="119" t="str">
        <v>Global warming potential for methane (t CO2-e / t CH4)</v>
      </c>
      <c r="F131" s="120"/>
      <c r="G131" s="25">
        <f>Common_InputFunctions.Utility_LookupValueInTableNumber("CH4",Table_GWPData[Gas],Table_GWPData[CO2-e factor])</f>
        <v>28</v>
      </c>
      <c r="U131" s="110" t="s">
        <v>320</v>
      </c>
      <c r="AH131" s="26"/>
    </row>
    <row r="132" spans="4:34" ht="20.100000000000001" customHeight="1" x14ac:dyDescent="0.25">
      <c r="U132" s="111" t="s">
        <v>76</v>
      </c>
      <c r="V132" s="112" t="s">
        <v>211</v>
      </c>
      <c r="W132" s="112" t="s">
        <v>201</v>
      </c>
      <c r="X132" s="112" t="s">
        <v>212</v>
      </c>
      <c r="Y132" s="112" t="s">
        <v>213</v>
      </c>
      <c r="Z132" s="112" t="s">
        <v>214</v>
      </c>
      <c r="AA132" s="112" t="s">
        <v>215</v>
      </c>
      <c r="AB132" s="112" t="s">
        <v>216</v>
      </c>
      <c r="AC132" s="112" t="s">
        <v>217</v>
      </c>
      <c r="AD132" s="112" t="s">
        <v>218</v>
      </c>
      <c r="AE132" s="112" t="s">
        <v>219</v>
      </c>
      <c r="AF132" s="26"/>
      <c r="AH132" s="26"/>
    </row>
    <row r="133" spans="4:34" ht="20.100000000000001" customHeight="1" x14ac:dyDescent="0.25">
      <c r="D133" s="114" t="s">
        <v>323</v>
      </c>
      <c r="E133" s="114" cm="1">
        <f t="array" aca="1" ref="E133" ca="1">Common_Equations.Common_ConvertN2OToCO2e(G130,G131)</f>
        <v>1528.6811521013833</v>
      </c>
      <c r="F133" s="121" t="str" cm="1">
        <f t="array" ref="F133">Common_Equations.Common_ConvertN2OToCO2e_Unit()</f>
        <v>t CO2e</v>
      </c>
      <c r="U133" s="25" t="str">
        <f>TEXT(X_Cell_Site_StartDate,"mmmm")</f>
        <v>January</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str">
        <f>TEXT(EDATE(X_Cell_Site_StartDate,1), "mmmm")</f>
        <v>February</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str">
        <f>TEXT(EDATE(X_Cell_Site_StartDate,2), "mmmm")</f>
        <v>March</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str">
        <f>TEXT(EDATE(X_Cell_Site_StartDate,3), "mmmm")</f>
        <v>April</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str">
        <f>TEXT(EDATE(X_Cell_Site_StartDate,4), "mmmm")</f>
        <v>May</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str">
        <f>TEXT(EDATE(X_Cell_Site_StartDate,5), "mmmm")</f>
        <v>June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str">
        <f>TEXT(EDATE(X_Cell_Site_StartDate,6), "mmmm")</f>
        <v>July</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str">
        <f>TEXT(EDATE(X_Cell_Site_StartDate,7), "mmmm")</f>
        <v>August</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str">
        <f>TEXT(EDATE(X_Cell_Site_StartDate,8), "mmmm")</f>
        <v>September</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str">
        <f>TEXT(EDATE(X_Cell_Site_StartDate,9), "mmmm")</f>
        <v>October</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str">
        <f>TEXT(EDATE(X_Cell_Site_StartDate,10), "mmmm")</f>
        <v>November</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str">
        <f>TEXT(EDATE(X_Cell_Site_StartDate,11), "mmmm")</f>
        <v>December</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09" t="s">
        <v>464</v>
      </c>
    </row>
    <row r="147" spans="21:32" ht="20.100000000000001" customHeight="1" x14ac:dyDescent="0.25">
      <c r="U147" s="110" t="s">
        <v>465</v>
      </c>
    </row>
    <row r="148" spans="21:32" ht="20.100000000000001" customHeight="1" x14ac:dyDescent="0.25">
      <c r="U148" s="111" t="s">
        <v>76</v>
      </c>
      <c r="V148" s="111" t="s">
        <v>211</v>
      </c>
      <c r="W148" s="111" t="s">
        <v>201</v>
      </c>
      <c r="X148" s="111" t="s">
        <v>212</v>
      </c>
      <c r="Y148" s="111" t="s">
        <v>213</v>
      </c>
      <c r="Z148" s="111" t="s">
        <v>214</v>
      </c>
      <c r="AA148" s="111" t="s">
        <v>215</v>
      </c>
      <c r="AB148" s="111" t="s">
        <v>216</v>
      </c>
      <c r="AC148" s="111" t="s">
        <v>217</v>
      </c>
      <c r="AD148" s="111" t="s">
        <v>218</v>
      </c>
      <c r="AE148" s="111" t="s">
        <v>219</v>
      </c>
    </row>
    <row r="149" spans="21:32" ht="20.100000000000001" customHeight="1" x14ac:dyDescent="0.25">
      <c r="U149" s="25" t="str">
        <f t="shared" ref="U149:U160" si="3">U133</f>
        <v>January</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str">
        <f t="shared" si="3"/>
        <v>February</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str">
        <f t="shared" si="3"/>
        <v>March</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str">
        <f t="shared" si="3"/>
        <v>April</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str">
        <f t="shared" si="3"/>
        <v>May</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str">
        <f t="shared" si="3"/>
        <v>June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str">
        <f t="shared" si="3"/>
        <v>July</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str">
        <f t="shared" si="3"/>
        <v>August</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str">
        <f t="shared" si="3"/>
        <v>September</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str">
        <f t="shared" si="3"/>
        <v>October</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str">
        <f t="shared" si="3"/>
        <v>November</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str">
        <f t="shared" si="3"/>
        <v>December</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5" t="s">
        <v>321</v>
      </c>
      <c r="V161" s="116">
        <f ca="1">SUM(V149:AE160)</f>
        <v>54.699181903674365</v>
      </c>
      <c r="W161" s="117">
        <f ca="1">V140</f>
        <v>31</v>
      </c>
    </row>
    <row r="162" spans="21:24" ht="20.100000000000001" customHeight="1" x14ac:dyDescent="0.25"/>
    <row r="163" spans="21:24" ht="20.100000000000001" customHeight="1" x14ac:dyDescent="0.25">
      <c r="U163" s="118" t="str" cm="1">
        <f t="array" ref="U163:V164">Common_Equations.Common_ConvertCH4ToCO2e_Arguments()</f>
        <v>ECH4</v>
      </c>
      <c r="V163" s="119" t="str">
        <v>Methane emissions (t CH4)</v>
      </c>
      <c r="W163" s="120"/>
      <c r="X163" s="25">
        <f ca="1">VEERG_3_2_1_1__1_TotalAnnualMethaneFromEntericFermentation_Result_Method2</f>
        <v>54.699181903674365</v>
      </c>
    </row>
    <row r="164" spans="21:24" ht="20.100000000000001" customHeight="1" x14ac:dyDescent="0.25">
      <c r="U164" s="118" t="str">
        <v>GWPCH4</v>
      </c>
      <c r="V164" s="119" t="str">
        <v>Global warming potential for methane (t CO2-e / t CH4)</v>
      </c>
      <c r="W164" s="120"/>
      <c r="X164" s="25">
        <f>Common_InputFunctions.Utility_LookupValueInTableNumber("CH4",Table_GWPData[Gas],Table_GWPData[CO2-e factor])</f>
        <v>28</v>
      </c>
    </row>
    <row r="165" spans="21:24" ht="20.100000000000001" customHeight="1" x14ac:dyDescent="0.25"/>
    <row r="166" spans="21:24" ht="20.100000000000001" customHeight="1" x14ac:dyDescent="0.25">
      <c r="U166" s="114" t="s">
        <v>323</v>
      </c>
      <c r="V166" s="114" cm="1">
        <f t="array" aca="1" ref="V166" ca="1">Common_Equations.Common_ConvertN2OToCO2e(X163,X164)</f>
        <v>1531.5770933028823</v>
      </c>
      <c r="W166" s="12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D4830133-59B5-4FCD-9AAE-6F13318A5F52}"/>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6B81-9C69-4EBF-BEDB-C794A27490B6}">
  <dimension ref="A1:AK281"/>
  <sheetViews>
    <sheetView showGridLines="0" topLeftCell="A209"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258</v>
      </c>
    </row>
    <row r="2" spans="1:37" s="3" customFormat="1" ht="20.100000000000001" customHeight="1" x14ac:dyDescent="0.25">
      <c r="A2"/>
    </row>
    <row r="3" spans="1:37" ht="20.100000000000001" customHeight="1" x14ac:dyDescent="0.25">
      <c r="A3" s="5" t="str">
        <f>HYPERLINK("#'Home'!A1", "Home")</f>
        <v>Home</v>
      </c>
      <c r="C3" s="33"/>
      <c r="D3" s="33" t="s">
        <v>148</v>
      </c>
      <c r="E3" s="33"/>
      <c r="F3" s="33"/>
      <c r="G3" s="33"/>
      <c r="H3" s="33"/>
      <c r="I3" s="33"/>
      <c r="J3" s="33"/>
      <c r="K3" s="33"/>
      <c r="L3" s="33"/>
      <c r="M3" s="33"/>
      <c r="N3" s="33"/>
      <c r="O3" s="33"/>
      <c r="P3" s="33"/>
      <c r="Q3" s="33"/>
      <c r="R3" s="33"/>
      <c r="S3" s="33"/>
      <c r="T3" s="33"/>
      <c r="V3" s="33"/>
      <c r="W3" s="33" t="s">
        <v>149</v>
      </c>
      <c r="X3" s="33"/>
      <c r="Y3" s="33"/>
      <c r="Z3" s="33"/>
      <c r="AA3" s="33"/>
      <c r="AB3" s="33"/>
      <c r="AC3" s="33"/>
      <c r="AD3" s="33"/>
      <c r="AE3" s="33"/>
      <c r="AF3" s="33"/>
      <c r="AG3" s="33"/>
      <c r="AH3" s="33"/>
      <c r="AI3" s="33"/>
      <c r="AJ3" s="33"/>
      <c r="AK3" s="33"/>
    </row>
    <row r="4" spans="1:37" ht="20.100000000000001" customHeight="1" x14ac:dyDescent="0.25">
      <c r="A4" s="5" t="str">
        <f>HYPERLINK("#'Overview'!A1", "Overview")</f>
        <v>Overview</v>
      </c>
    </row>
    <row r="5" spans="1:37" ht="20.100000000000001" customHeight="1" x14ac:dyDescent="0.25">
      <c r="A5" s="5" t="str">
        <f>HYPERLINK("#'Results'!A1", "Results")</f>
        <v>Results</v>
      </c>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D7" s="100" t="s">
        <v>259</v>
      </c>
      <c r="E7" s="100" t="s">
        <v>260</v>
      </c>
    </row>
    <row r="8" spans="1:37" ht="20.100000000000001" customHeight="1" x14ac:dyDescent="0.25">
      <c r="A8" s="7" t="s">
        <v>0</v>
      </c>
    </row>
    <row r="9" spans="1:37" ht="20.100000000000001" customHeight="1" x14ac:dyDescent="0.25">
      <c r="A9" s="5" t="str">
        <f>HYPERLINK("#'Input - Enterprise'!A1", "Enterprise")</f>
        <v>Enterprise</v>
      </c>
    </row>
    <row r="10" spans="1:37" ht="20.100000000000001" customHeight="1" x14ac:dyDescent="0.25">
      <c r="A10" s="5" t="str">
        <f>HYPERLINK("#'Input - Site'!A1", "Site")</f>
        <v>Site</v>
      </c>
      <c r="D10" s="88" t="s">
        <v>261</v>
      </c>
      <c r="E10" s="1" t="str" cm="1">
        <f t="array" ref="E10">EntericMethane_PastureBeef_Equations.VEERG_3_2_1_1__4_AdditionalIntakeForMilkProduction_Variable()</f>
        <v>MA_jk45</v>
      </c>
    </row>
    <row r="11" spans="1:37" ht="20.100000000000001" customHeight="1" x14ac:dyDescent="0.25">
      <c r="A11" s="5" t="str">
        <f>HYPERLINK("#'Input - Pasture Beef'!A1", "Pasture Beef")</f>
        <v>Pasture Beef</v>
      </c>
      <c r="D11" s="88" t="s">
        <v>131</v>
      </c>
      <c r="E11" s="15" t="str" cm="1">
        <f t="array" ref="E11">EntericMethane_PastureBeef_Equations.VEERG_3_2_1_1__4_AdditionalIntakeForMilkProduction_Unit()</f>
        <v>fraction</v>
      </c>
    </row>
    <row r="12" spans="1:37" ht="20.100000000000001" customHeight="1" x14ac:dyDescent="0.25">
      <c r="A12" s="5" t="str">
        <f>HYPERLINK("#'Input - Pasture Beef (Enteric)'!A1", "Pasture Beef (Enteric)")</f>
        <v>Pasture Beef (Enteric)</v>
      </c>
    </row>
    <row r="13" spans="1:37" ht="20.100000000000001" customHeight="1" x14ac:dyDescent="0.25">
      <c r="A13" s="5" t="str">
        <f>HYPERLINK("#'Input - Livestock sales'!A1", "Livestock sales")</f>
        <v>Livestock sales</v>
      </c>
      <c r="D13" s="102" t="str" cm="1">
        <f t="array" ref="D13:E16">_xlfn.CHOOSECOLS(EntericMethane_PastureBeef_Equations.VEERG_3_2_1_1__4_AdditionalIntakeForMilkProduction_ArgumentsVariation(), 1, 2)</f>
        <v>LC_jk45</v>
      </c>
      <c r="E13" s="103" t="str">
        <v>proportion of cows greater than 1 year in calf in the season of calving expressed as a fraction</v>
      </c>
      <c r="F13" s="104"/>
      <c r="G13" s="105"/>
      <c r="H13" s="102" t="str" cm="1">
        <f t="array" ref="H13:I16">_xlfn.CHOOSECOLS(EntericMethane_PastureBeef_Equations.VEERG_3_2_1_1__4_AdditionalIntakeForMilkProduction_ArgumentsVariation(), 3,4)</f>
        <v>fraction</v>
      </c>
      <c r="I13" s="106" t="str">
        <v>Input</v>
      </c>
      <c r="J13" s="108" t="str" cm="1">
        <f t="array" aca="1" ref="J13" ca="1">HYPERLINK(Common_InputFunctions.Utility_SourceHyperlink($D$19), $D$19)</f>
        <v>M1_Table_LC_j_k-4-5</v>
      </c>
    </row>
    <row r="14" spans="1:37" ht="20.100000000000001" customHeight="1" x14ac:dyDescent="0.25">
      <c r="A14" s="5" t="str">
        <f>HYPERLINK("#'Input - Beef cattle purchases'!A1", "Beef cattle purchases")</f>
        <v>Beef cattle purchases</v>
      </c>
      <c r="D14" s="102" t="str">
        <v>FA_jk45calv</v>
      </c>
      <c r="E14" s="103" t="str">
        <v>feed adjustment value for lactating cows in the season of calving expressed as a fraction</v>
      </c>
      <c r="F14" s="104"/>
      <c r="G14" s="105"/>
      <c r="H14" s="102" t="str">
        <v>fraction</v>
      </c>
      <c r="I14" s="107" t="str">
        <v>Constant</v>
      </c>
      <c r="J14" s="10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Pasture'!A1", "Pasture")</f>
        <v>Pasture</v>
      </c>
      <c r="D15" s="102" t="str">
        <v>FA_jk45after</v>
      </c>
      <c r="E15" s="103" t="str">
        <v>feed adjustment value for lactating cows in the season immediately after calving expressed as a fraction</v>
      </c>
      <c r="F15" s="104"/>
      <c r="G15" s="105"/>
      <c r="H15" s="102" t="str">
        <v>fraction</v>
      </c>
      <c r="I15" s="107" t="str">
        <v>Constant</v>
      </c>
      <c r="J15" s="10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5" t="str">
        <f>HYPERLINK("#'Input - Fert Prod System'!A1", "Fert Prod System")</f>
        <v>Fert Prod System</v>
      </c>
      <c r="D16" s="102" t="str">
        <v>b</v>
      </c>
      <c r="E16" s="103" t="str">
        <v>breed of cattle</v>
      </c>
      <c r="F16" s="104"/>
      <c r="G16" s="105"/>
      <c r="H16" s="102" t="str">
        <v/>
      </c>
      <c r="I16" s="106" t="str">
        <v>Input</v>
      </c>
      <c r="J16" s="102" t="str">
        <f>X_Cell_PastureBeef_Breed</f>
        <v>Hereford or Shorthorn breeds</v>
      </c>
    </row>
    <row r="17" spans="1:36" ht="20.100000000000001" customHeight="1" x14ac:dyDescent="0.25">
      <c r="A17" s="5" t="str">
        <f>HYPERLINK("#'Input - Fertiliser'!A1", "Fertiliser")</f>
        <v>Fertiliser</v>
      </c>
    </row>
    <row r="18" spans="1:36" ht="20.100000000000001" customHeight="1" x14ac:dyDescent="0.25">
      <c r="A18" s="5" t="str">
        <f>HYPERLINK("#'Input - Fuel'!A1", "Fuel")</f>
        <v>Fuel</v>
      </c>
    </row>
    <row r="19" spans="1:36" ht="20.100000000000001" customHeight="1" x14ac:dyDescent="0.25">
      <c r="A19" s="5" t="str">
        <f>HYPERLINK("#'Input - Electricity'!A1", "Electricity")</f>
        <v>Electricity</v>
      </c>
      <c r="D19" s="109" t="s">
        <v>262</v>
      </c>
      <c r="W19" s="109" t="s">
        <v>263</v>
      </c>
    </row>
    <row r="20" spans="1:36" ht="20.100000000000001" customHeight="1" x14ac:dyDescent="0.25">
      <c r="A20" s="5" t="str">
        <f>HYPERLINK("#'Input - Farm Inputs'!A1", "Farm Inputs")</f>
        <v>Farm Inputs</v>
      </c>
      <c r="D20" s="110" t="s">
        <v>264</v>
      </c>
      <c r="W20" s="110" t="s">
        <v>265</v>
      </c>
    </row>
    <row r="21" spans="1:36" ht="20.100000000000001" customHeight="1" x14ac:dyDescent="0.25">
      <c r="A21" s="5" t="str">
        <f>HYPERLINK("#'Input - Freight'!A1", "Freight")</f>
        <v>Freight</v>
      </c>
      <c r="D21" s="111" t="s">
        <v>77</v>
      </c>
      <c r="E21" s="112" t="s">
        <v>244</v>
      </c>
      <c r="F21" s="112" t="s">
        <v>213</v>
      </c>
      <c r="G21" s="112" t="s">
        <v>214</v>
      </c>
      <c r="H21" s="112" t="s">
        <v>215</v>
      </c>
      <c r="W21" s="111" t="s">
        <v>76</v>
      </c>
      <c r="X21" s="112" t="s">
        <v>213</v>
      </c>
      <c r="Y21" s="112" t="s">
        <v>214</v>
      </c>
      <c r="Z21" s="112" t="s">
        <v>215</v>
      </c>
    </row>
    <row r="22" spans="1:36" ht="20.100000000000001" customHeight="1" x14ac:dyDescent="0.25">
      <c r="A22" s="5" t="str">
        <f>HYPERLINK("#'Input - Manure sent off-site'!A1", "Manure sent off-site")</f>
        <v>Manure sent off-site</v>
      </c>
      <c r="D22" s="25" t="s">
        <v>220</v>
      </c>
      <c r="E22" s="25" t="str">
        <f>'Input - Pasture Beef'!$E169</f>
        <v>Yes</v>
      </c>
      <c r="F22" s="172">
        <f>'Input - Pasture Beef'!$F169</f>
        <v>0.1</v>
      </c>
      <c r="G22" s="172">
        <f>'Input - Pasture Beef'!$G169</f>
        <v>0.4</v>
      </c>
      <c r="H22" s="172">
        <f>'Input - Pasture Beef'!$H169</f>
        <v>0.4</v>
      </c>
      <c r="I22" s="26" t="s">
        <v>266</v>
      </c>
      <c r="W22" s="25" t="str">
        <f>TEXT(EDATE('Input - Pasture Beef'!$D$182,0), "mmmm") &amp; ", " &amp; TEXT(EDATE('Input - Pasture Beef'!$D$183,0), "mmmm") &amp; ", " &amp; TEXT(EDATE('Input - Pasture Beef'!$D$184,0), "mmmm")</f>
        <v>August, September, October</v>
      </c>
      <c r="X22" s="172">
        <f>'Input - Pasture Beef'!$E$185</f>
        <v>0.75</v>
      </c>
      <c r="Y22" s="172">
        <f>'Input - Pasture Beef'!$F$185</f>
        <v>0.75</v>
      </c>
      <c r="Z22" s="172">
        <f>'Input - Pasture Beef'!$G$185</f>
        <v>0.75</v>
      </c>
      <c r="AA22" s="26" t="s">
        <v>266</v>
      </c>
    </row>
    <row r="23" spans="1:36" ht="20.100000000000001" customHeight="1" x14ac:dyDescent="0.25">
      <c r="A23" s="5" t="str">
        <f>HYPERLINK("#'Input - Solid waste'!A1", "Solid waste")</f>
        <v>Solid waste</v>
      </c>
      <c r="D23" s="25" t="s">
        <v>221</v>
      </c>
      <c r="E23" s="25" t="str">
        <f>'Input - Pasture Beef'!$E170</f>
        <v>Yes</v>
      </c>
      <c r="F23" s="172">
        <f>'Input - Pasture Beef'!$F170</f>
        <v>0.1</v>
      </c>
      <c r="G23" s="172">
        <f>'Input - Pasture Beef'!$G170</f>
        <v>0</v>
      </c>
      <c r="H23" s="172">
        <f>'Input - Pasture Beef'!$H170</f>
        <v>0</v>
      </c>
      <c r="W23" s="25" t="str">
        <f>TEXT(EDATE('Input - Pasture Beef'!$D$184,1), "mmmm") &amp; ", " &amp; TEXT(EDATE('Input - Pasture Beef'!$D$184,2), "mmmm") &amp; ", " &amp; TEXT(EDATE('Input - Pasture Beef'!$D$184,3), "mmmm")</f>
        <v>November, December, January</v>
      </c>
      <c r="AA23" s="26"/>
    </row>
    <row r="24" spans="1:36" ht="20.100000000000001" customHeight="1" x14ac:dyDescent="0.25">
      <c r="D24" s="25" t="s">
        <v>222</v>
      </c>
      <c r="E24" s="25" t="str">
        <f>'Input - Pasture Beef'!$E171</f>
        <v>No</v>
      </c>
      <c r="F24" s="172">
        <f>'Input - Pasture Beef'!$F171</f>
        <v>0</v>
      </c>
      <c r="G24" s="172">
        <f>'Input - Pasture Beef'!$G171</f>
        <v>0</v>
      </c>
      <c r="H24" s="172">
        <f>'Input - Pasture Beef'!$H171</f>
        <v>0</v>
      </c>
      <c r="AA24" s="26"/>
    </row>
    <row r="25" spans="1:36" ht="20.100000000000001" customHeight="1" x14ac:dyDescent="0.25">
      <c r="D25" s="25" t="s">
        <v>223</v>
      </c>
      <c r="E25" s="25" t="str">
        <f>'Input - Pasture Beef'!$E169</f>
        <v>Yes</v>
      </c>
      <c r="F25" s="172">
        <f>'Input - Pasture Beef'!$F$168</f>
        <v>0.7</v>
      </c>
      <c r="G25" s="172">
        <f>'Input - Pasture Beef'!$G$168</f>
        <v>0.5</v>
      </c>
      <c r="H25" s="172">
        <f>'Input - Pasture Beef'!$H$168</f>
        <v>0.5</v>
      </c>
      <c r="W25" s="109" t="s">
        <v>267</v>
      </c>
    </row>
    <row r="26" spans="1:36" ht="20.100000000000001" customHeight="1" x14ac:dyDescent="0.25">
      <c r="A26" s="6" t="s">
        <v>2</v>
      </c>
      <c r="W26" s="110" t="s">
        <v>268</v>
      </c>
    </row>
    <row r="27" spans="1:36" ht="20.100000000000001" customHeight="1" x14ac:dyDescent="0.25">
      <c r="A27" s="5" t="str">
        <f>HYPERLINK("#'3.2.1.1-2 Enteric Methane'!A1", "3.2.1.1-2 Enteric methane")</f>
        <v>3.2.1.1-2 Enteric methane</v>
      </c>
      <c r="D27" s="109" t="s">
        <v>269</v>
      </c>
      <c r="W27" s="111" t="s">
        <v>76</v>
      </c>
      <c r="X27" s="111" t="s">
        <v>244</v>
      </c>
      <c r="Y27" s="111" t="s">
        <v>270</v>
      </c>
      <c r="Z27" s="111" t="s">
        <v>211</v>
      </c>
      <c r="AA27" s="111" t="s">
        <v>201</v>
      </c>
      <c r="AB27" s="111" t="s">
        <v>212</v>
      </c>
      <c r="AC27" s="111" t="s">
        <v>213</v>
      </c>
      <c r="AD27" s="111" t="s">
        <v>214</v>
      </c>
      <c r="AE27" s="111" t="s">
        <v>215</v>
      </c>
      <c r="AF27" s="111" t="s">
        <v>216</v>
      </c>
      <c r="AG27" s="111" t="s">
        <v>217</v>
      </c>
      <c r="AH27" s="111" t="s">
        <v>218</v>
      </c>
      <c r="AI27" s="111" t="s">
        <v>219</v>
      </c>
    </row>
    <row r="28" spans="1:36" ht="20.100000000000001" customHeight="1" x14ac:dyDescent="0.25">
      <c r="A28" s="101" t="str">
        <f>HYPERLINK("#'4.2.1.1-2 Methane'!A1", "4.2.1.1-2 Manure methane")</f>
        <v>4.2.1.1-2 Manure methane</v>
      </c>
      <c r="D28" s="110" t="s">
        <v>271</v>
      </c>
      <c r="W28" s="25" t="str">
        <f>TEXT(X_Cell_Site_StartDate,"mmmm")</f>
        <v>January</v>
      </c>
      <c r="X28" s="25" t="str" cm="1">
        <f t="array" ref="X28">IFERROR(_xlfn.IFS(SUMPRODUCT(ISNUMBER(SEARCH(TRIM(_xlfn.TEXTSPLIT($W$22,",")),W28))*1)&gt;0,"Calving season",SUMPRODUCT(ISNUMBER(SEARCH(TRIM(_xlfn.TEXTSPLIT($W$23,",")),W28))*1)&gt;0,"Season after calving"), "")</f>
        <v>Season after calving</v>
      </c>
      <c r="Y28" s="25" cm="1">
        <f t="array" ref="Y28">_xlfn.IFS(X28="Calving season", $J$14, X28="Season after calving", $J$15, X28="", "")</f>
        <v>1.1000000000000001</v>
      </c>
      <c r="Z28" s="25">
        <v>1</v>
      </c>
      <c r="AA28" s="25">
        <v>1</v>
      </c>
      <c r="AB28" s="25">
        <v>1</v>
      </c>
      <c r="AC28" s="25" cm="1">
        <f t="array" ref="AC28">IFERROR(EntericMethane_PastureBeef_Equations.VEERG_3_2_1_1__4_AdditionalIntakeForMilkProduction(X$22,$Y28), 1)</f>
        <v>1.0750000000000002</v>
      </c>
      <c r="AD28" s="25" cm="1">
        <f t="array" ref="AD28">IFERROR(EntericMethane_PastureBeef_Equations.VEERG_3_2_1_1__4_AdditionalIntakeForMilkProduction(Y$22,$Y28), 1)</f>
        <v>1.0750000000000002</v>
      </c>
      <c r="AE28" s="25" cm="1">
        <f t="array" ref="AE28">IFERROR(EntericMethane_PastureBeef_Equations.VEERG_3_2_1_1__4_AdditionalIntakeForMilkProduction(Z$22,$Y28), 1)</f>
        <v>1.0750000000000002</v>
      </c>
      <c r="AF28" s="25">
        <v>1</v>
      </c>
      <c r="AG28" s="25">
        <v>1</v>
      </c>
      <c r="AH28" s="25">
        <v>1</v>
      </c>
      <c r="AI28" s="25">
        <v>1</v>
      </c>
      <c r="AJ28" s="26" t="str">
        <f>$E$11</f>
        <v>fraction</v>
      </c>
    </row>
    <row r="29" spans="1:36" ht="20.100000000000001" customHeight="1" x14ac:dyDescent="0.25">
      <c r="A29" s="5" t="str">
        <f>HYPERLINK("#'4.2.1.3-4 Soil direct N20'!A1", "4.2.1.3-4 Soil direct N2O")</f>
        <v>4.2.1.3-4 Soil direct N2O</v>
      </c>
      <c r="D29" s="111" t="s">
        <v>77</v>
      </c>
      <c r="E29" s="111" t="s">
        <v>244</v>
      </c>
      <c r="F29" s="111" t="s">
        <v>272</v>
      </c>
      <c r="G29" s="111" t="s">
        <v>270</v>
      </c>
      <c r="H29" s="111" t="s">
        <v>270</v>
      </c>
      <c r="I29" s="111" t="s">
        <v>211</v>
      </c>
      <c r="J29" s="111" t="s">
        <v>201</v>
      </c>
      <c r="K29" s="111" t="s">
        <v>212</v>
      </c>
      <c r="L29" s="111" t="s">
        <v>213</v>
      </c>
      <c r="M29" s="111" t="s">
        <v>214</v>
      </c>
      <c r="N29" s="111" t="s">
        <v>215</v>
      </c>
      <c r="O29" s="111" t="s">
        <v>216</v>
      </c>
      <c r="P29" s="111" t="s">
        <v>217</v>
      </c>
      <c r="Q29" s="111" t="s">
        <v>218</v>
      </c>
      <c r="R29" s="111" t="s">
        <v>219</v>
      </c>
      <c r="W29" s="25" t="str">
        <f>TEXT(EDATE(X_Cell_Site_StartDate,1), "mmmm")</f>
        <v>February</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HYPERLINK("#'4.2.1.5-6 Soil Atmos Dep'!A1", "4.2.1.5-6 Soil atm. deposition")</f>
        <v>4.2.1.5-6 Soil atm. deposition</v>
      </c>
      <c r="D30" s="25" t="s">
        <v>220</v>
      </c>
      <c r="E30" s="25" t="str">
        <f>IF('Input - Pasture Beef'!E169="Yes", "Calving season", "")</f>
        <v>Calving season</v>
      </c>
      <c r="F30" s="25" t="str">
        <f>IF('Input - Pasture Beef'!E168="Yes", "Season after calving","")</f>
        <v>Season after calving</v>
      </c>
      <c r="G30" s="25">
        <f>IF(E30="Calving season", $J$14, 1)</f>
        <v>1.3</v>
      </c>
      <c r="H30" s="25">
        <f>IF(F30="Season after calving", $J$15, 1)</f>
        <v>1.1000000000000001</v>
      </c>
      <c r="I30" s="25">
        <v>1</v>
      </c>
      <c r="J30" s="25">
        <v>1</v>
      </c>
      <c r="K30" s="25">
        <v>1</v>
      </c>
      <c r="L30" s="113" cm="1">
        <f t="array" ref="L30">EntericMethane_PastureBeef_Equations.VEERG_3_2_1_1__4_AdditionalIntakeForMilkProductionVariation(F22,F25,$G30,$H30)</f>
        <v>1.1000000000000001</v>
      </c>
      <c r="M30" s="113" cm="1">
        <f t="array" ref="M30">EntericMethane_PastureBeef_Equations.VEERG_3_2_1_1__4_AdditionalIntakeForMilkProductionVariation(G22,G25,$G30,$H30)</f>
        <v>1.17</v>
      </c>
      <c r="N30" s="113" cm="1">
        <f t="array" ref="N30">EntericMethane_PastureBeef_Equations.VEERG_3_2_1_1__4_AdditionalIntakeForMilkProductionVariation(H22,H25,$G30,$H30)</f>
        <v>1.17</v>
      </c>
      <c r="O30" s="25">
        <v>1</v>
      </c>
      <c r="P30" s="25">
        <v>1</v>
      </c>
      <c r="Q30" s="25">
        <v>1</v>
      </c>
      <c r="R30" s="25">
        <v>1</v>
      </c>
      <c r="S30" s="26" t="str">
        <f>$E$11</f>
        <v>fraction</v>
      </c>
      <c r="W30" s="25" t="str">
        <f>TEXT(EDATE(X_Cell_Site_StartDate,2), "mmmm")</f>
        <v>March</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HYPERLINK("#'4.2.1.7-8 Soil leach runoff'!A1", "4.2.1.7-8 Soil leach &amp; runoff")</f>
        <v>4.2.1.7-8 Soil leach &amp; runoff</v>
      </c>
      <c r="D31" s="25" t="s">
        <v>221</v>
      </c>
      <c r="E31" s="25" t="str">
        <f>IF('Input - Pasture Beef'!E170="Yes", "Calving season", "")</f>
        <v>Calving season</v>
      </c>
      <c r="F31" s="25" t="str">
        <f>IF('Input - Pasture Beef'!E169="Yes", "Season after calving","")</f>
        <v>Season after calving</v>
      </c>
      <c r="G31" s="25">
        <f>IF(E31="Calving season", $J$14, 1)</f>
        <v>1.3</v>
      </c>
      <c r="H31" s="25">
        <f>IF(F31="Season after calving", $J$15, 1)</f>
        <v>1.1000000000000001</v>
      </c>
      <c r="I31" s="25">
        <v>1</v>
      </c>
      <c r="J31" s="25">
        <v>1</v>
      </c>
      <c r="K31" s="25">
        <v>1</v>
      </c>
      <c r="L31" s="113" cm="1">
        <f t="array" ref="L31">EntericMethane_PastureBeef_Equations.VEERG_3_2_1_1__4_AdditionalIntakeForMilkProductionVariation(F23,F22,$G31,$H31)</f>
        <v>1.04</v>
      </c>
      <c r="M31" s="113" cm="1">
        <f t="array" ref="M31">EntericMethane_PastureBeef_Equations.VEERG_3_2_1_1__4_AdditionalIntakeForMilkProductionVariation(G23,G22,$G31,$H31)</f>
        <v>1.04</v>
      </c>
      <c r="N31" s="113" cm="1">
        <f t="array" ref="N31">EntericMethane_PastureBeef_Equations.VEERG_3_2_1_1__4_AdditionalIntakeForMilkProductionVariation(H23,H22,$G31,$H31)</f>
        <v>1.04</v>
      </c>
      <c r="O31" s="25">
        <v>1</v>
      </c>
      <c r="P31" s="25">
        <v>1</v>
      </c>
      <c r="Q31" s="25">
        <v>1</v>
      </c>
      <c r="R31" s="25">
        <v>1</v>
      </c>
      <c r="S31" s="26" t="str">
        <f t="shared" ref="S31:S33" si="1">$E$11</f>
        <v>fraction</v>
      </c>
      <c r="W31" s="25" t="str">
        <f>TEXT(EDATE(X_Cell_Site_StartDate,3), "mmmm")</f>
        <v>April</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HYPERLINK("#'5.1.1.1-2 Inorganic fert N2O'!A1", "5.1.1.1-2 Inorganic fert N2O")</f>
        <v>5.1.1.1-2 Inorganic fert N2O</v>
      </c>
      <c r="D32" s="25" t="s">
        <v>222</v>
      </c>
      <c r="E32" s="25" t="str">
        <f>IF('Input - Pasture Beef'!E171="Yes", "Calving season", "")</f>
        <v/>
      </c>
      <c r="F32" s="25" t="str">
        <f>IF('Input - Pasture Beef'!E170="Yes", "Season after calving","")</f>
        <v>Season after calving</v>
      </c>
      <c r="G32" s="25">
        <f>IF(E32="Calving season", $J$14, 1)</f>
        <v>1</v>
      </c>
      <c r="H32" s="25">
        <f>IF(F32="Season after calving", $J$15, 1)</f>
        <v>1.1000000000000001</v>
      </c>
      <c r="I32" s="25">
        <v>1</v>
      </c>
      <c r="J32" s="25">
        <v>1</v>
      </c>
      <c r="K32" s="25">
        <v>1</v>
      </c>
      <c r="L32" s="113" cm="1">
        <f t="array" ref="L32">EntericMethane_PastureBeef_Equations.VEERG_3_2_1_1__4_AdditionalIntakeForMilkProductionVariation(F24,F23,$G32,$H32)</f>
        <v>1.01</v>
      </c>
      <c r="M32" s="113" cm="1">
        <f t="array" ref="M32">EntericMethane_PastureBeef_Equations.VEERG_3_2_1_1__4_AdditionalIntakeForMilkProductionVariation(G24,G23,$G32,$H32)</f>
        <v>1</v>
      </c>
      <c r="N32" s="113" cm="1">
        <f t="array" ref="N32">EntericMethane_PastureBeef_Equations.VEERG_3_2_1_1__4_AdditionalIntakeForMilkProductionVariation(H24,H23,$G32,$H32)</f>
        <v>1</v>
      </c>
      <c r="O32" s="25">
        <v>1</v>
      </c>
      <c r="P32" s="25">
        <v>1</v>
      </c>
      <c r="Q32" s="25">
        <v>1</v>
      </c>
      <c r="R32" s="25">
        <v>1</v>
      </c>
      <c r="S32" s="26" t="str">
        <f t="shared" si="1"/>
        <v>fraction</v>
      </c>
      <c r="W32" s="25" t="str">
        <f>TEXT(EDATE(X_Cell_Site_StartDate,4), "mmmm")</f>
        <v>May</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HYPERLINK("#'5.1.1.3-4 Inorganic fert CO2'!A1", "5.1.1.3-4 Inorganic fert CO2")</f>
        <v>5.1.1.3-4 Inorganic fert CO2</v>
      </c>
      <c r="D33" s="25" t="s">
        <v>223</v>
      </c>
      <c r="E33" s="25" t="str">
        <f>IF('Input - Pasture Beef'!E168="Yes", "Calving season", "")</f>
        <v>Calving season</v>
      </c>
      <c r="F33" s="25" t="str">
        <f>IF('Input - Pasture Beef'!E171="Yes", "Season after calving","")</f>
        <v/>
      </c>
      <c r="G33" s="25">
        <f>IF(E33="Calving season", $J$14, 1)</f>
        <v>1.3</v>
      </c>
      <c r="H33" s="25">
        <f>IF(F33="Season after calving", $J$15, 1)</f>
        <v>1</v>
      </c>
      <c r="I33" s="25">
        <v>1</v>
      </c>
      <c r="J33" s="25">
        <v>1</v>
      </c>
      <c r="K33" s="25">
        <v>1</v>
      </c>
      <c r="L33" s="113" cm="1">
        <f t="array" ref="L33">EntericMethane_PastureBeef_Equations.VEERG_3_2_1_1__4_AdditionalIntakeForMilkProductionVariation(F25,F24,$G33,$H33)</f>
        <v>1.21</v>
      </c>
      <c r="M33" s="113" cm="1">
        <f t="array" ref="M33">EntericMethane_PastureBeef_Equations.VEERG_3_2_1_1__4_AdditionalIntakeForMilkProductionVariation(G25,G24,$G33,$H33)</f>
        <v>1.1499999999999999</v>
      </c>
      <c r="N33" s="113" cm="1">
        <f t="array" ref="N33">EntericMethane_PastureBeef_Equations.VEERG_3_2_1_1__4_AdditionalIntakeForMilkProductionVariation(H25,H24,$G33,$H33)</f>
        <v>1.1499999999999999</v>
      </c>
      <c r="O33" s="25">
        <v>1</v>
      </c>
      <c r="P33" s="25">
        <v>1</v>
      </c>
      <c r="Q33" s="25">
        <v>1</v>
      </c>
      <c r="R33" s="25">
        <v>1</v>
      </c>
      <c r="S33" s="26" t="str">
        <f t="shared" si="1"/>
        <v>fraction</v>
      </c>
      <c r="W33" s="25" t="str">
        <f>TEXT(EDATE(X_Cell_Site_StartDate,5), "mmmm")</f>
        <v>June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HYPERLINK("#'5.2.1.1-2 Organic Fert N2O'!A1", "5.2.1.1-2 Organic fert N2O")</f>
        <v>5.2.1.1-2 Organic fert N2O</v>
      </c>
      <c r="W34" s="25" t="str">
        <f>TEXT(EDATE(X_Cell_Site_StartDate,6), "mmmm")</f>
        <v>July</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A35" s="5" t="str">
        <f>HYPERLINK("#'5.3.1.1-2 Lime CO2'!A1", "5.3.1.1-2 Lime CO2")</f>
        <v>5.3.1.1-2 Lime CO2</v>
      </c>
      <c r="W35" s="25" t="str">
        <f>TEXT(EDATE(X_Cell_Site_StartDate,7), "mmmm")</f>
        <v>August</v>
      </c>
      <c r="X35" s="25" t="str" cm="1">
        <f t="array" ref="X35">IFERROR(_xlfn.IFS(SUMPRODUCT(ISNUMBER(SEARCH(TRIM(_xlfn.TEXTSPLIT($W$22,",")),W35))*1)&gt;0,"Calving season",SUMPRODUCT(ISNUMBER(SEARCH(TRIM(_xlfn.TEXTSPLIT($W$23,",")),W35))*1)&gt;0,"Season after calving"), "")</f>
        <v>Calving season</v>
      </c>
      <c r="Y35" s="25" cm="1">
        <f t="array" ref="Y35">_xlfn.IFS(X35="Calving season", $J$14, X35="Season after calving", $J$15, X35="", "")</f>
        <v>1.3</v>
      </c>
      <c r="Z35" s="25">
        <v>1</v>
      </c>
      <c r="AA35" s="25">
        <v>1</v>
      </c>
      <c r="AB35" s="25">
        <v>1</v>
      </c>
      <c r="AC35" s="25" cm="1">
        <f t="array" ref="AC35">IFERROR(EntericMethane_PastureBeef_Equations.VEERG_3_2_1_1__4_AdditionalIntakeForMilkProduction(X$22,$Y35), 1)</f>
        <v>1.2250000000000001</v>
      </c>
      <c r="AD35" s="25" cm="1">
        <f t="array" ref="AD35">IFERROR(EntericMethane_PastureBeef_Equations.VEERG_3_2_1_1__4_AdditionalIntakeForMilkProduction(Y$22,$Y35), 1)</f>
        <v>1.2250000000000001</v>
      </c>
      <c r="AE35" s="25" cm="1">
        <f t="array" ref="AE35">IFERROR(EntericMethane_PastureBeef_Equations.VEERG_3_2_1_1__4_AdditionalIntakeForMilkProduction(Z$22,$Y35), 1)</f>
        <v>1.2250000000000001</v>
      </c>
      <c r="AF35" s="25">
        <v>1</v>
      </c>
      <c r="AG35" s="25">
        <v>1</v>
      </c>
      <c r="AH35" s="25">
        <v>1</v>
      </c>
      <c r="AI35" s="25">
        <v>1</v>
      </c>
      <c r="AJ35" s="26" t="str">
        <f t="shared" si="0"/>
        <v>fraction</v>
      </c>
    </row>
    <row r="36" spans="1:36" ht="20.100000000000001" customHeight="1" x14ac:dyDescent="0.25">
      <c r="A36" s="5" t="str">
        <f>HYPERLINK("#'5.4.1.1-4 Atmos deposition'!A1", "5.4.1.1-4 Atmos. deposition")</f>
        <v>5.4.1.1-4 Atmos. deposition</v>
      </c>
      <c r="C36" s="114"/>
      <c r="D36" s="114"/>
      <c r="E36" s="114"/>
      <c r="F36" s="114"/>
      <c r="G36" s="114"/>
      <c r="H36" s="114"/>
      <c r="I36" s="114"/>
      <c r="J36" s="114"/>
      <c r="K36" s="114"/>
      <c r="L36" s="114"/>
      <c r="M36" s="114"/>
      <c r="N36" s="114"/>
      <c r="O36" s="114"/>
      <c r="P36" s="114"/>
      <c r="Q36" s="114"/>
      <c r="R36" s="114"/>
      <c r="S36" s="114"/>
      <c r="T36" s="114"/>
      <c r="W36" s="25" t="str">
        <f>TEXT(EDATE(X_Cell_Site_StartDate,8), "mmmm")</f>
        <v>September</v>
      </c>
      <c r="X36" s="25" t="str" cm="1">
        <f t="array" ref="X36">IFERROR(_xlfn.IFS(SUMPRODUCT(ISNUMBER(SEARCH(TRIM(_xlfn.TEXTSPLIT($W$22,",")),W36))*1)&gt;0,"Calving season",SUMPRODUCT(ISNUMBER(SEARCH(TRIM(_xlfn.TEXTSPLIT($W$23,",")),W36))*1)&gt;0,"Season after calving"), "")</f>
        <v>Calving season</v>
      </c>
      <c r="Y36" s="25" cm="1">
        <f t="array" ref="Y36">_xlfn.IFS(X36="Calving season", $J$14, X36="Season after calving", $J$15, X36="", "")</f>
        <v>1.3</v>
      </c>
      <c r="Z36" s="25">
        <v>1</v>
      </c>
      <c r="AA36" s="25">
        <v>1</v>
      </c>
      <c r="AB36" s="25">
        <v>1</v>
      </c>
      <c r="AC36" s="25" cm="1">
        <f t="array" ref="AC36">IFERROR(EntericMethane_PastureBeef_Equations.VEERG_3_2_1_1__4_AdditionalIntakeForMilkProduction(X$22,$Y36), 1)</f>
        <v>1.2250000000000001</v>
      </c>
      <c r="AD36" s="25" cm="1">
        <f t="array" ref="AD36">IFERROR(EntericMethane_PastureBeef_Equations.VEERG_3_2_1_1__4_AdditionalIntakeForMilkProduction(Y$22,$Y36), 1)</f>
        <v>1.2250000000000001</v>
      </c>
      <c r="AE36" s="25" cm="1">
        <f t="array" ref="AE36">IFERROR(EntericMethane_PastureBeef_Equations.VEERG_3_2_1_1__4_AdditionalIntakeForMilkProduction(Z$22,$Y36), 1)</f>
        <v>1.2250000000000001</v>
      </c>
      <c r="AF36" s="25">
        <v>1</v>
      </c>
      <c r="AG36" s="25">
        <v>1</v>
      </c>
      <c r="AH36" s="25">
        <v>1</v>
      </c>
      <c r="AI36" s="25">
        <v>1</v>
      </c>
      <c r="AJ36" s="26" t="str">
        <f t="shared" si="0"/>
        <v>fraction</v>
      </c>
    </row>
    <row r="37" spans="1:36" ht="20.100000000000001" customHeight="1" x14ac:dyDescent="0.25">
      <c r="A37" s="5" t="str">
        <f>HYPERLINK("#'5.5.1.1-2 Leaching and runoff'!A1", "5.5.1.1-2 Leaching &amp; runoff")</f>
        <v>5.5.1.1-2 Leaching &amp; runoff</v>
      </c>
      <c r="D37" s="2" t="str" cm="1">
        <f t="array" ref="D37">EntericMethane_PastureBeef_Equations.VEERG_3_2_1_1__3_FeedIntakeForGrazingBeef_Title()</f>
        <v>Feed intake for grazing beef cattle</v>
      </c>
      <c r="W37" s="25" t="str">
        <f>TEXT(EDATE(X_Cell_Site_StartDate,9), "mmmm")</f>
        <v>October</v>
      </c>
      <c r="X37" s="25" t="str" cm="1">
        <f t="array" ref="X37">IFERROR(_xlfn.IFS(SUMPRODUCT(ISNUMBER(SEARCH(TRIM(_xlfn.TEXTSPLIT($W$22,",")),W37))*1)&gt;0,"Calving season",SUMPRODUCT(ISNUMBER(SEARCH(TRIM(_xlfn.TEXTSPLIT($W$23,",")),W37))*1)&gt;0,"Season after calving"), "")</f>
        <v>Calving season</v>
      </c>
      <c r="Y37" s="25" cm="1">
        <f t="array" ref="Y37">_xlfn.IFS(X37="Calving season", $J$14, X37="Season after calving", $J$15, X37="", "")</f>
        <v>1.3</v>
      </c>
      <c r="Z37" s="25">
        <v>1</v>
      </c>
      <c r="AA37" s="25">
        <v>1</v>
      </c>
      <c r="AB37" s="25">
        <v>1</v>
      </c>
      <c r="AC37" s="25" cm="1">
        <f t="array" ref="AC37">IFERROR(EntericMethane_PastureBeef_Equations.VEERG_3_2_1_1__4_AdditionalIntakeForMilkProduction(X$22,$Y37), 1)</f>
        <v>1.2250000000000001</v>
      </c>
      <c r="AD37" s="25" cm="1">
        <f t="array" ref="AD37">IFERROR(EntericMethane_PastureBeef_Equations.VEERG_3_2_1_1__4_AdditionalIntakeForMilkProduction(Y$22,$Y37), 1)</f>
        <v>1.2250000000000001</v>
      </c>
      <c r="AE37" s="25" cm="1">
        <f t="array" ref="AE37">IFERROR(EntericMethane_PastureBeef_Equations.VEERG_3_2_1_1__4_AdditionalIntakeForMilkProduction(Z$22,$Y37), 1)</f>
        <v>1.2250000000000001</v>
      </c>
      <c r="AF37" s="25">
        <v>1</v>
      </c>
      <c r="AG37" s="25">
        <v>1</v>
      </c>
      <c r="AH37" s="25">
        <v>1</v>
      </c>
      <c r="AI37" s="25">
        <v>1</v>
      </c>
      <c r="AJ37" s="26" t="str">
        <f t="shared" si="0"/>
        <v>fraction</v>
      </c>
    </row>
    <row r="38" spans="1:36" ht="20.100000000000001" customHeight="1" x14ac:dyDescent="0.25">
      <c r="A38" s="5" t="str">
        <f>HYPERLINK("#'6.2.1.1-2 Pasture residue N2O'!A1", "6.2.1.1-2 Pasture residue N2O")</f>
        <v>6.2.1.1-2 Pasture residue N2O</v>
      </c>
      <c r="D38" s="27" t="str" cm="1">
        <f t="array" ref="D38">EntericMethane_PastureBeef_Equations.VEERG_3_2_1_1__3_FeedIntakeForGrazingBeef_Source()</f>
        <v>VEERG 2026: 3.2.1.1, Equation (3)</v>
      </c>
      <c r="K38" s="1" t="s">
        <v>273</v>
      </c>
      <c r="L38" s="1" t="s">
        <v>274</v>
      </c>
      <c r="M38" s="1" t="s">
        <v>275</v>
      </c>
      <c r="W38" s="25" t="str">
        <f>TEXT(EDATE(X_Cell_Site_StartDate,10), "mmmm")</f>
        <v>November</v>
      </c>
      <c r="X38" s="25" t="str" cm="1">
        <f t="array" ref="X38">IFERROR(_xlfn.IFS(SUMPRODUCT(ISNUMBER(SEARCH(TRIM(_xlfn.TEXTSPLIT($W$22,",")),W38))*1)&gt;0,"Calving season",SUMPRODUCT(ISNUMBER(SEARCH(TRIM(_xlfn.TEXTSPLIT($W$23,",")),W38))*1)&gt;0,"Season after calving"), "")</f>
        <v>Season after calving</v>
      </c>
      <c r="Y38" s="25" cm="1">
        <f t="array" ref="Y38">_xlfn.IFS(X38="Calving season", $J$14, X38="Season after calving", $J$15, X38="", "")</f>
        <v>1.1000000000000001</v>
      </c>
      <c r="Z38" s="25">
        <v>1</v>
      </c>
      <c r="AA38" s="25">
        <v>1</v>
      </c>
      <c r="AB38" s="25">
        <v>1</v>
      </c>
      <c r="AC38" s="25" cm="1">
        <f t="array" ref="AC38">IFERROR(EntericMethane_PastureBeef_Equations.VEERG_3_2_1_1__4_AdditionalIntakeForMilkProduction(X$22,$Y38), 1)</f>
        <v>1.0750000000000002</v>
      </c>
      <c r="AD38" s="25" cm="1">
        <f t="array" ref="AD38">IFERROR(EntericMethane_PastureBeef_Equations.VEERG_3_2_1_1__4_AdditionalIntakeForMilkProduction(Y$22,$Y38), 1)</f>
        <v>1.0750000000000002</v>
      </c>
      <c r="AE38" s="25" cm="1">
        <f t="array" ref="AE38">IFERROR(EntericMethane_PastureBeef_Equations.VEERG_3_2_1_1__4_AdditionalIntakeForMilkProduction(Z$22,$Y38), 1)</f>
        <v>1.0750000000000002</v>
      </c>
      <c r="AF38" s="25">
        <v>1</v>
      </c>
      <c r="AG38" s="25">
        <v>1</v>
      </c>
      <c r="AH38" s="25">
        <v>1</v>
      </c>
      <c r="AI38" s="25">
        <v>1</v>
      </c>
      <c r="AJ38" s="26" t="str">
        <f t="shared" si="0"/>
        <v>fraction</v>
      </c>
    </row>
    <row r="39" spans="1:36" ht="20.100000000000001" customHeight="1" x14ac:dyDescent="0.25">
      <c r="A39" s="5" t="str">
        <f>HYPERLINK("#'6.3.1.1-2 Leach runoff pasture'!A1", "6.3.1.1-2 Leach &amp; runoff (pasture)")</f>
        <v>6.3.1.1-2 Leach &amp; runoff (pasture)</v>
      </c>
      <c r="D39" s="100" t="s">
        <v>259</v>
      </c>
      <c r="E39" s="100" t="str" cm="1">
        <f t="array" aca="1" ref="E39" ca="1">Common_InputFunctions.Utility_DisplayFunctionName($E$84)</f>
        <v>=EntericMethane_PastureBeef_Equations.VEERG_3_2_1_1__3_FeedIntakeForGrazingBeef</v>
      </c>
      <c r="W39" s="25" t="str">
        <f>TEXT(EDATE(X_Cell_Site_StartDate,11), "mmmm")</f>
        <v>December</v>
      </c>
      <c r="X39" s="25" t="str" cm="1">
        <f t="array" ref="X39">IFERROR(_xlfn.IFS(SUMPRODUCT(ISNUMBER(SEARCH(TRIM(_xlfn.TEXTSPLIT($W$22,",")),W39))*1)&gt;0,"Calving season",SUMPRODUCT(ISNUMBER(SEARCH(TRIM(_xlfn.TEXTSPLIT($W$23,",")),W39))*1)&gt;0,"Season after calving"), "")</f>
        <v>Season after calving</v>
      </c>
      <c r="Y39" s="25" cm="1">
        <f t="array" ref="Y39">_xlfn.IFS(X39="Calving season", $J$14, X39="Season after calving", $J$15, X39="", "")</f>
        <v>1.1000000000000001</v>
      </c>
      <c r="Z39" s="25">
        <v>1</v>
      </c>
      <c r="AA39" s="25">
        <v>1</v>
      </c>
      <c r="AB39" s="25">
        <v>1</v>
      </c>
      <c r="AC39" s="25" cm="1">
        <f t="array" ref="AC39">IFERROR(EntericMethane_PastureBeef_Equations.VEERG_3_2_1_1__4_AdditionalIntakeForMilkProduction(X$22,$Y39), 1)</f>
        <v>1.0750000000000002</v>
      </c>
      <c r="AD39" s="25" cm="1">
        <f t="array" ref="AD39">IFERROR(EntericMethane_PastureBeef_Equations.VEERG_3_2_1_1__4_AdditionalIntakeForMilkProduction(Y$22,$Y39), 1)</f>
        <v>1.0750000000000002</v>
      </c>
      <c r="AE39" s="25" cm="1">
        <f t="array" ref="AE39">IFERROR(EntericMethane_PastureBeef_Equations.VEERG_3_2_1_1__4_AdditionalIntakeForMilkProduction(Z$22,$Y39), 1)</f>
        <v>1.0750000000000002</v>
      </c>
      <c r="AF39" s="25">
        <v>1</v>
      </c>
      <c r="AG39" s="25">
        <v>1</v>
      </c>
      <c r="AH39" s="25">
        <v>1</v>
      </c>
      <c r="AI39" s="25">
        <v>1</v>
      </c>
      <c r="AJ39" s="26" t="str">
        <f t="shared" si="0"/>
        <v>fraction</v>
      </c>
    </row>
    <row r="40" spans="1:36" ht="20.100000000000001" customHeight="1" x14ac:dyDescent="0.25">
      <c r="A40" s="5" t="str">
        <f>HYPERLINK("#'8.1.1.1-2 Transport fuel'!A1", "8.1.1.1-2 Transport fuel")</f>
        <v>8.1.1.1-2 Transport fuel</v>
      </c>
    </row>
    <row r="41" spans="1:36" ht="20.100000000000001" customHeight="1" x14ac:dyDescent="0.25">
      <c r="A41" s="5" t="str">
        <f>HYPERLINK("#'8.2.1.1-2 Stationary fuel'!A1", "8.2.1.1-2 Stationary fuel")</f>
        <v>8.2.1.1-2 Stationary fuel</v>
      </c>
      <c r="W41" s="109" t="s">
        <v>276</v>
      </c>
    </row>
    <row r="42" spans="1:36" ht="20.100000000000001" customHeight="1" x14ac:dyDescent="0.25">
      <c r="A42" s="5" t="str">
        <f>HYPERLINK("#'14.1.1-2 Purchased electricity'!A1", "14.1.1-2 Purchased electricity")</f>
        <v>14.1.1-2 Purchased electricity</v>
      </c>
      <c r="D42" s="88" t="s">
        <v>261</v>
      </c>
      <c r="E42" s="1" t="str" cm="1">
        <f t="array" ref="E42">EntericMethane_PastureBeef_Equations.VEERG_3_2_1_1__3_FeedIntakeForGrazingBeef_Variable()</f>
        <v>I_jkl</v>
      </c>
      <c r="W42" s="110" t="s">
        <v>277</v>
      </c>
    </row>
    <row r="43" spans="1:36" ht="20.100000000000001" customHeight="1" x14ac:dyDescent="0.25">
      <c r="A43" s="5" t="str">
        <f>HYPERLINK("#'15 Scope 3'!A1", "15 Scope 3")</f>
        <v>15 Scope 3</v>
      </c>
      <c r="D43" s="88" t="s">
        <v>131</v>
      </c>
      <c r="E43" s="15" t="str" cm="1">
        <f t="array" ref="E43">EntericMethane_PastureBeef_Equations.VEERG_3_2_1_1__3_FeedIntakeForGrazingBeef_Unit()</f>
        <v>kg DM/head/day</v>
      </c>
      <c r="W43" s="111" t="s">
        <v>76</v>
      </c>
      <c r="X43" s="112" t="s">
        <v>211</v>
      </c>
      <c r="Y43" s="112" t="s">
        <v>201</v>
      </c>
      <c r="Z43" s="112" t="s">
        <v>212</v>
      </c>
      <c r="AA43" s="112" t="s">
        <v>213</v>
      </c>
      <c r="AB43" s="112" t="s">
        <v>214</v>
      </c>
      <c r="AC43" s="112" t="s">
        <v>215</v>
      </c>
      <c r="AD43" s="112" t="s">
        <v>216</v>
      </c>
      <c r="AE43" s="112" t="s">
        <v>217</v>
      </c>
      <c r="AF43" s="112" t="s">
        <v>218</v>
      </c>
      <c r="AG43" s="112" t="s">
        <v>219</v>
      </c>
      <c r="AH43" s="26"/>
    </row>
    <row r="44" spans="1:36" ht="20.100000000000001" customHeight="1" x14ac:dyDescent="0.25">
      <c r="A44" s="5" t="str">
        <f>HYPERLINK("#'Calcs - Manure sent off-site'!A1", "Calcs - Manure sent off-site")</f>
        <v>Calcs - Manure sent off-site</v>
      </c>
      <c r="W44" s="25" t="str">
        <f>TEXT(X_Cell_Site_StartDate,"mmmm")</f>
        <v>January</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229</v>
      </c>
    </row>
    <row r="45" spans="1:36" ht="20.100000000000001" customHeight="1" x14ac:dyDescent="0.25">
      <c r="A45" s="5" t="str">
        <f>HYPERLINK("#'10.1.1-2 Solid waste treatment'!A1", "10.1.1-2 Solid waste treatment")</f>
        <v>10.1.1-2 Solid waste treatment</v>
      </c>
      <c r="D45" s="102" t="str" cm="1">
        <f t="array" ref="D45:E47">_xlfn.CHOOSECOLS(EntericMethane_PastureBeef_Equations.VEERG_3_2_1_1__3_FeedIntakeForGrazingBeef_Arguments(), 1, 2)</f>
        <v>W_jkl</v>
      </c>
      <c r="E45" s="103" t="str">
        <v>liveweight (kg)</v>
      </c>
      <c r="F45" s="105"/>
      <c r="G45" s="102" t="str" cm="1">
        <f t="array" ref="G45:H47">_xlfn.CHOOSECOLS(EntericMethane_PastureBeef_Equations.VEERG_3_2_1_1__3_FeedIntakeForGrazingBeef_Arguments(), 3,4)</f>
        <v>kg</v>
      </c>
      <c r="H45" s="106" t="str">
        <v>Input</v>
      </c>
      <c r="I45" s="108" t="str" cm="1">
        <f t="array" aca="1" ref="I45" ca="1">HYPERLINK(Common_InputFunctions.Utility_SourceHyperlink($D$49), $D$49)</f>
        <v>M1_Table_W_j_k_l</v>
      </c>
      <c r="W45" s="25" t="str">
        <f>TEXT(EDATE(X_Cell_Site_StartDate,1), "mmmm")</f>
        <v>February</v>
      </c>
      <c r="X45" s="25">
        <f ca="1"/>
        <v>380</v>
      </c>
      <c r="Y45" s="25">
        <f ca="1"/>
        <v>780</v>
      </c>
      <c r="Z45" s="25">
        <f ca="1"/>
        <v>300</v>
      </c>
      <c r="AA45" s="25">
        <f ca="1"/>
        <v>450</v>
      </c>
      <c r="AB45" s="25">
        <f ca="1"/>
        <v>530</v>
      </c>
      <c r="AC45" s="25">
        <f ca="1"/>
        <v>530</v>
      </c>
      <c r="AD45" s="25">
        <f ca="1"/>
        <v>340</v>
      </c>
      <c r="AE45" s="25">
        <f ca="1"/>
        <v>470</v>
      </c>
      <c r="AF45" s="25">
        <f ca="1"/>
        <v>470</v>
      </c>
      <c r="AG45" s="25">
        <f ca="1"/>
        <v>470</v>
      </c>
      <c r="AH45" s="26" t="s">
        <v>229</v>
      </c>
    </row>
    <row r="46" spans="1:36" ht="20.100000000000001" customHeight="1" x14ac:dyDescent="0.25">
      <c r="D46" s="102" t="str">
        <v>LWG_jkl</v>
      </c>
      <c r="E46" s="103" t="str">
        <v>live weight gain (kg/head/day)</v>
      </c>
      <c r="F46" s="105"/>
      <c r="G46" s="102" t="str">
        <v>kg/head/day</v>
      </c>
      <c r="H46" s="106" t="str">
        <v>Input</v>
      </c>
      <c r="I46" s="108" t="str" cm="1">
        <f t="array" aca="1" ref="I46" ca="1">HYPERLINK(Common_InputFunctions.Utility_SourceHyperlink($D$65), $D$65)</f>
        <v>M1_Table_LWG_j_k_l</v>
      </c>
      <c r="W46" s="25" t="str">
        <f>TEXT(EDATE(X_Cell_Site_StartDate,2), "mmmm")</f>
        <v>March</v>
      </c>
      <c r="X46" s="25">
        <f ca="1"/>
        <v>100</v>
      </c>
      <c r="Y46" s="25">
        <f ca="1"/>
        <v>680</v>
      </c>
      <c r="Z46" s="25">
        <f ca="1"/>
        <v>80</v>
      </c>
      <c r="AA46" s="25">
        <f ca="1"/>
        <v>320</v>
      </c>
      <c r="AB46" s="25">
        <f ca="1"/>
        <v>480</v>
      </c>
      <c r="AC46" s="25">
        <f ca="1"/>
        <v>480</v>
      </c>
      <c r="AD46" s="25">
        <f ca="1"/>
        <v>100</v>
      </c>
      <c r="AE46" s="25">
        <f ca="1"/>
        <v>340</v>
      </c>
      <c r="AF46" s="25">
        <f ca="1"/>
        <v>340</v>
      </c>
      <c r="AG46" s="25">
        <f ca="1"/>
        <v>340</v>
      </c>
      <c r="AH46" s="26" t="s">
        <v>229</v>
      </c>
    </row>
    <row r="47" spans="1:36" ht="20.100000000000001" customHeight="1" x14ac:dyDescent="0.25">
      <c r="D47" s="102" t="str">
        <v>MA_jk45</v>
      </c>
      <c r="E47" s="103" t="str">
        <v>additional intake for milk production in cows greater than 2 years</v>
      </c>
      <c r="F47" s="105"/>
      <c r="G47" s="102" t="str">
        <v>kg/head/day</v>
      </c>
      <c r="H47" s="107" t="str">
        <v>Calculated from 3.2.1.1, (4)</v>
      </c>
      <c r="I47" s="108" t="str" cm="1">
        <f t="array" aca="1" ref="I47" ca="1">HYPERLINK(Common_InputFunctions.Utility_SourceHyperlink($D$27), $D$27)</f>
        <v>M1_Table_MA_j_k-4-5</v>
      </c>
      <c r="W47" s="25" t="str">
        <f>TEXT(EDATE(X_Cell_Site_StartDate,3), "mmmm")</f>
        <v>April</v>
      </c>
      <c r="X47" s="25">
        <f ca="1"/>
        <v>100</v>
      </c>
      <c r="Y47" s="25">
        <f ca="1"/>
        <v>680</v>
      </c>
      <c r="Z47" s="25">
        <f ca="1"/>
        <v>80</v>
      </c>
      <c r="AA47" s="25">
        <f ca="1"/>
        <v>320</v>
      </c>
      <c r="AB47" s="25">
        <f ca="1"/>
        <v>480</v>
      </c>
      <c r="AC47" s="25">
        <f ca="1"/>
        <v>480</v>
      </c>
      <c r="AD47" s="25">
        <f ca="1"/>
        <v>100</v>
      </c>
      <c r="AE47" s="25">
        <f ca="1"/>
        <v>340</v>
      </c>
      <c r="AF47" s="25">
        <f ca="1"/>
        <v>340</v>
      </c>
      <c r="AG47" s="25">
        <f ca="1"/>
        <v>340</v>
      </c>
      <c r="AH47" s="26" t="s">
        <v>229</v>
      </c>
    </row>
    <row r="48" spans="1:36" ht="20.100000000000001" customHeight="1" x14ac:dyDescent="0.25">
      <c r="A48" s="97" t="s">
        <v>1</v>
      </c>
      <c r="W48" s="25" t="str">
        <f>TEXT(EDATE(X_Cell_Site_StartDate,4), "mmmm")</f>
        <v>May</v>
      </c>
      <c r="X48" s="25">
        <f ca="1"/>
        <v>100</v>
      </c>
      <c r="Y48" s="25">
        <f ca="1"/>
        <v>680</v>
      </c>
      <c r="Z48" s="25">
        <f ca="1"/>
        <v>80</v>
      </c>
      <c r="AA48" s="25">
        <f ca="1"/>
        <v>320</v>
      </c>
      <c r="AB48" s="25">
        <f ca="1"/>
        <v>480</v>
      </c>
      <c r="AC48" s="25">
        <f ca="1"/>
        <v>480</v>
      </c>
      <c r="AD48" s="25">
        <f ca="1"/>
        <v>100</v>
      </c>
      <c r="AE48" s="25">
        <f ca="1"/>
        <v>340</v>
      </c>
      <c r="AF48" s="25">
        <f ca="1"/>
        <v>340</v>
      </c>
      <c r="AG48" s="25">
        <f ca="1"/>
        <v>340</v>
      </c>
      <c r="AH48" s="26" t="s">
        <v>229</v>
      </c>
    </row>
    <row r="49" spans="1:36" ht="20.100000000000001" customHeight="1" x14ac:dyDescent="0.25">
      <c r="A49" s="5" t="str">
        <f>HYPERLINK("#'Constants - Pasture Beef'!A1", "Constants - Pasture Beef")</f>
        <v>Constants - Pasture Beef</v>
      </c>
      <c r="D49" s="109" t="s">
        <v>278</v>
      </c>
      <c r="W49" s="25" t="str">
        <f>TEXT(EDATE(X_Cell_Site_StartDate,5), "mmmm")</f>
        <v>June</v>
      </c>
      <c r="X49" s="25">
        <f ca="1"/>
        <v>190</v>
      </c>
      <c r="Y49" s="25">
        <f ca="1"/>
        <v>700</v>
      </c>
      <c r="Z49" s="25">
        <f ca="1"/>
        <v>150</v>
      </c>
      <c r="AA49" s="25">
        <f ca="1"/>
        <v>330</v>
      </c>
      <c r="AB49" s="25">
        <f ca="1"/>
        <v>490</v>
      </c>
      <c r="AC49" s="25">
        <f ca="1"/>
        <v>490</v>
      </c>
      <c r="AD49" s="25">
        <f ca="1"/>
        <v>170</v>
      </c>
      <c r="AE49" s="25">
        <f ca="1"/>
        <v>360</v>
      </c>
      <c r="AF49" s="25">
        <f ca="1"/>
        <v>360</v>
      </c>
      <c r="AG49" s="25">
        <f ca="1"/>
        <v>360</v>
      </c>
      <c r="AH49" s="26" t="s">
        <v>229</v>
      </c>
    </row>
    <row r="50" spans="1:36" ht="20.100000000000001" customHeight="1" x14ac:dyDescent="0.25">
      <c r="A50" s="5" t="str">
        <f>HYPERLINK("#'Constants - Ag Residue'!A1", "Constants - Ag residue")</f>
        <v>Constants - Ag residue</v>
      </c>
      <c r="D50" s="110" t="s">
        <v>279</v>
      </c>
      <c r="W50" s="25" t="str">
        <f>TEXT(EDATE(X_Cell_Site_StartDate,6), "mmmm")</f>
        <v>July</v>
      </c>
      <c r="X50" s="25">
        <f ca="1"/>
        <v>190</v>
      </c>
      <c r="Y50" s="25">
        <f ca="1"/>
        <v>700</v>
      </c>
      <c r="Z50" s="25">
        <f ca="1"/>
        <v>150</v>
      </c>
      <c r="AA50" s="25">
        <f ca="1"/>
        <v>330</v>
      </c>
      <c r="AB50" s="25">
        <f ca="1"/>
        <v>490</v>
      </c>
      <c r="AC50" s="25">
        <f ca="1"/>
        <v>490</v>
      </c>
      <c r="AD50" s="25">
        <f ca="1"/>
        <v>170</v>
      </c>
      <c r="AE50" s="25">
        <f ca="1"/>
        <v>360</v>
      </c>
      <c r="AF50" s="25">
        <f ca="1"/>
        <v>360</v>
      </c>
      <c r="AG50" s="25">
        <f ca="1"/>
        <v>360</v>
      </c>
      <c r="AH50" s="26" t="s">
        <v>229</v>
      </c>
    </row>
    <row r="51" spans="1:36" ht="20.100000000000001" customHeight="1" x14ac:dyDescent="0.25">
      <c r="A51" s="5" t="str">
        <f>HYPERLINK("#'Constants - Common Livestock'!A1", "Constants - Common Livestock")</f>
        <v>Constants - Common Livestock</v>
      </c>
      <c r="D51" s="111" t="s">
        <v>77</v>
      </c>
      <c r="E51" s="112" t="s">
        <v>211</v>
      </c>
      <c r="F51" s="112" t="s">
        <v>201</v>
      </c>
      <c r="G51" s="112" t="s">
        <v>212</v>
      </c>
      <c r="H51" s="112" t="s">
        <v>213</v>
      </c>
      <c r="I51" s="112" t="s">
        <v>214</v>
      </c>
      <c r="J51" s="112" t="s">
        <v>215</v>
      </c>
      <c r="K51" s="112" t="s">
        <v>216</v>
      </c>
      <c r="L51" s="112" t="s">
        <v>217</v>
      </c>
      <c r="M51" s="112" t="s">
        <v>218</v>
      </c>
      <c r="N51" s="112" t="s">
        <v>219</v>
      </c>
      <c r="W51" s="25" t="str">
        <f>TEXT(EDATE(X_Cell_Site_StartDate,7), "mmmm")</f>
        <v>August</v>
      </c>
      <c r="X51" s="25">
        <f ca="1"/>
        <v>190</v>
      </c>
      <c r="Y51" s="25">
        <f ca="1"/>
        <v>700</v>
      </c>
      <c r="Z51" s="25">
        <f ca="1"/>
        <v>150</v>
      </c>
      <c r="AA51" s="25">
        <f ca="1"/>
        <v>330</v>
      </c>
      <c r="AB51" s="25">
        <f ca="1"/>
        <v>490</v>
      </c>
      <c r="AC51" s="25">
        <f ca="1"/>
        <v>490</v>
      </c>
      <c r="AD51" s="25">
        <f ca="1"/>
        <v>170</v>
      </c>
      <c r="AE51" s="25">
        <f ca="1"/>
        <v>360</v>
      </c>
      <c r="AF51" s="25">
        <f ca="1"/>
        <v>360</v>
      </c>
      <c r="AG51" s="25">
        <f ca="1"/>
        <v>360</v>
      </c>
      <c r="AH51" s="26" t="s">
        <v>229</v>
      </c>
      <c r="AI51" s="26"/>
      <c r="AJ51" s="26"/>
    </row>
    <row r="52" spans="1:36" ht="20.100000000000001" customHeight="1" x14ac:dyDescent="0.25">
      <c r="A52" s="5" t="str">
        <f>HYPERLINK("#'Constants - Electricity'!A1", "Constants - Electricity")</f>
        <v>Constants - Electricity</v>
      </c>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229</v>
      </c>
      <c r="P52" s="26"/>
      <c r="Q52" s="26"/>
      <c r="R52" s="26"/>
      <c r="S52" s="26"/>
      <c r="W52" s="25" t="str">
        <f>TEXT(EDATE(X_Cell_Site_StartDate,8), "mmmm")</f>
        <v>September</v>
      </c>
      <c r="X52" s="25">
        <f ca="1"/>
        <v>340</v>
      </c>
      <c r="Y52" s="25">
        <f ca="1"/>
        <v>800</v>
      </c>
      <c r="Z52" s="25">
        <f ca="1"/>
        <v>260</v>
      </c>
      <c r="AA52" s="25">
        <f ca="1"/>
        <v>420</v>
      </c>
      <c r="AB52" s="25">
        <f ca="1"/>
        <v>550</v>
      </c>
      <c r="AC52" s="25">
        <f ca="1"/>
        <v>550</v>
      </c>
      <c r="AD52" s="25">
        <f ca="1"/>
        <v>300</v>
      </c>
      <c r="AE52" s="25">
        <f ca="1"/>
        <v>480</v>
      </c>
      <c r="AF52" s="25">
        <f ca="1"/>
        <v>480</v>
      </c>
      <c r="AG52" s="25">
        <f ca="1"/>
        <v>480</v>
      </c>
      <c r="AH52" s="26" t="s">
        <v>229</v>
      </c>
      <c r="AI52" s="26"/>
      <c r="AJ52" s="26"/>
    </row>
    <row r="53" spans="1:36" ht="20.100000000000001" customHeight="1" x14ac:dyDescent="0.25">
      <c r="A53" s="5" t="str">
        <f>HYPERLINK("#'Constants - Fertiliser'!A1", "Constants - Fertiliser")</f>
        <v>Constants - Fertiliser</v>
      </c>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229</v>
      </c>
      <c r="P53" s="26"/>
      <c r="Q53" s="26"/>
      <c r="R53" s="26"/>
      <c r="S53" s="26"/>
      <c r="W53" s="25" t="str">
        <f>TEXT(EDATE(X_Cell_Site_StartDate,9), "mmmm")</f>
        <v>October</v>
      </c>
      <c r="X53" s="25">
        <f ca="1"/>
        <v>340</v>
      </c>
      <c r="Y53" s="25">
        <f ca="1"/>
        <v>800</v>
      </c>
      <c r="Z53" s="25">
        <f ca="1"/>
        <v>260</v>
      </c>
      <c r="AA53" s="25">
        <f ca="1"/>
        <v>420</v>
      </c>
      <c r="AB53" s="25">
        <f ca="1"/>
        <v>550</v>
      </c>
      <c r="AC53" s="25">
        <f ca="1"/>
        <v>550</v>
      </c>
      <c r="AD53" s="25">
        <f ca="1"/>
        <v>300</v>
      </c>
      <c r="AE53" s="25">
        <f ca="1"/>
        <v>480</v>
      </c>
      <c r="AF53" s="25">
        <f ca="1"/>
        <v>480</v>
      </c>
      <c r="AG53" s="25">
        <f ca="1"/>
        <v>480</v>
      </c>
      <c r="AH53" s="26" t="s">
        <v>229</v>
      </c>
      <c r="AI53" s="26"/>
      <c r="AJ53" s="26"/>
    </row>
    <row r="54" spans="1:36" ht="20.100000000000001" customHeight="1" x14ac:dyDescent="0.25">
      <c r="A54" s="5" t="str">
        <f>HYPERLINK("#'Constants - Fuel'!A1", "Constants - Fuel")</f>
        <v>Constants - Fuel</v>
      </c>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229</v>
      </c>
      <c r="P54" s="26"/>
      <c r="Q54" s="26"/>
      <c r="R54" s="26"/>
      <c r="S54" s="26"/>
      <c r="W54" s="25" t="str">
        <f>TEXT(EDATE(X_Cell_Site_StartDate,10), "mmmm")</f>
        <v>November</v>
      </c>
      <c r="X54" s="25">
        <f ca="1"/>
        <v>340</v>
      </c>
      <c r="Y54" s="25">
        <f ca="1"/>
        <v>800</v>
      </c>
      <c r="Z54" s="25">
        <f ca="1"/>
        <v>260</v>
      </c>
      <c r="AA54" s="25">
        <f ca="1"/>
        <v>420</v>
      </c>
      <c r="AB54" s="25">
        <f ca="1"/>
        <v>550</v>
      </c>
      <c r="AC54" s="25">
        <f ca="1"/>
        <v>550</v>
      </c>
      <c r="AD54" s="25">
        <f ca="1"/>
        <v>300</v>
      </c>
      <c r="AE54" s="25">
        <f ca="1"/>
        <v>480</v>
      </c>
      <c r="AF54" s="25">
        <f ca="1"/>
        <v>480</v>
      </c>
      <c r="AG54" s="25">
        <f ca="1"/>
        <v>480</v>
      </c>
      <c r="AH54" s="26" t="s">
        <v>229</v>
      </c>
      <c r="AI54" s="26"/>
      <c r="AJ54" s="26"/>
    </row>
    <row r="55" spans="1:36" ht="20.100000000000001" customHeight="1" x14ac:dyDescent="0.25">
      <c r="A55" s="5" t="str">
        <f>HYPERLINK("#'Constants - Scope 3'!A1", "Constants - Scope 3")</f>
        <v>Constants - Scope 3</v>
      </c>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229</v>
      </c>
      <c r="P55" s="26"/>
      <c r="Q55" s="26"/>
      <c r="R55" s="26"/>
      <c r="S55" s="26"/>
      <c r="W55" s="25" t="str">
        <f>TEXT(EDATE(X_Cell_Site_StartDate,11), "mmmm")</f>
        <v>December</v>
      </c>
      <c r="X55" s="25">
        <f ca="1"/>
        <v>380</v>
      </c>
      <c r="Y55" s="25">
        <f ca="1"/>
        <v>780</v>
      </c>
      <c r="Z55" s="25">
        <f ca="1"/>
        <v>300</v>
      </c>
      <c r="AA55" s="25">
        <f ca="1"/>
        <v>450</v>
      </c>
      <c r="AB55" s="25">
        <f ca="1"/>
        <v>530</v>
      </c>
      <c r="AC55" s="25">
        <f ca="1"/>
        <v>530</v>
      </c>
      <c r="AD55" s="25">
        <f ca="1"/>
        <v>340</v>
      </c>
      <c r="AE55" s="25">
        <f ca="1"/>
        <v>470</v>
      </c>
      <c r="AF55" s="25">
        <f ca="1"/>
        <v>470</v>
      </c>
      <c r="AG55" s="25">
        <f ca="1"/>
        <v>470</v>
      </c>
      <c r="AH55" s="26" t="s">
        <v>229</v>
      </c>
      <c r="AI55" s="26"/>
      <c r="AJ55" s="26"/>
    </row>
    <row r="56" spans="1:36" ht="20.100000000000001" customHeight="1" x14ac:dyDescent="0.25">
      <c r="A56" s="5" t="str">
        <f>HYPERLINK("#'Constants - Common'!A1", "Constants - Common")</f>
        <v>Constants - Common</v>
      </c>
      <c r="AI56" s="26"/>
      <c r="AJ56" s="26"/>
    </row>
    <row r="57" spans="1:36" ht="20.100000000000001" customHeight="1" x14ac:dyDescent="0.25">
      <c r="A57" s="5" t="str">
        <f>HYPERLINK("#'Acknowledgements'!A1", "Acknowledgements")</f>
        <v>Acknowledgements</v>
      </c>
      <c r="W57" s="109" t="s">
        <v>280</v>
      </c>
      <c r="AI57" s="26"/>
      <c r="AJ57" s="26"/>
    </row>
    <row r="58" spans="1:36" ht="20.100000000000001" customHeight="1" x14ac:dyDescent="0.25">
      <c r="A58" s="5" t="str">
        <f>HYPERLINK("#'Constants - Solid Waste'!A1", "Constants - Solid Waste")</f>
        <v>Constants - Solid Waste</v>
      </c>
      <c r="W58" s="110" t="s">
        <v>281</v>
      </c>
      <c r="AI58" s="26"/>
      <c r="AJ58" s="26"/>
    </row>
    <row r="59" spans="1:36" ht="20.100000000000001" customHeight="1" x14ac:dyDescent="0.25">
      <c r="W59" s="111" t="s">
        <v>76</v>
      </c>
      <c r="X59" s="112" t="s">
        <v>211</v>
      </c>
      <c r="Y59" s="112" t="s">
        <v>201</v>
      </c>
      <c r="Z59" s="112" t="s">
        <v>212</v>
      </c>
      <c r="AA59" s="112" t="s">
        <v>213</v>
      </c>
      <c r="AB59" s="112" t="s">
        <v>214</v>
      </c>
      <c r="AC59" s="112" t="s">
        <v>215</v>
      </c>
      <c r="AD59" s="112" t="s">
        <v>216</v>
      </c>
      <c r="AE59" s="112" t="s">
        <v>217</v>
      </c>
      <c r="AF59" s="112" t="s">
        <v>218</v>
      </c>
      <c r="AG59" s="112" t="s">
        <v>219</v>
      </c>
      <c r="AI59" s="26"/>
      <c r="AJ59" s="26"/>
    </row>
    <row r="60" spans="1:36" ht="20.100000000000001" customHeight="1" x14ac:dyDescent="0.25">
      <c r="W60" s="25" t="str">
        <f>TEXT(X_Cell_Site_StartDate,"mmmm")</f>
        <v>January</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231</v>
      </c>
      <c r="AI60" s="26"/>
      <c r="AJ60" s="26"/>
    </row>
    <row r="61" spans="1:36" ht="20.100000000000001" customHeight="1" x14ac:dyDescent="0.25">
      <c r="W61" s="25" t="str">
        <f>TEXT(EDATE(X_Cell_Site_StartDate,1), "mmmm")</f>
        <v>February</v>
      </c>
      <c r="X61" s="25">
        <f ca="1"/>
        <v>0.44</v>
      </c>
      <c r="Y61" s="25">
        <f ca="1"/>
        <v>-0.22</v>
      </c>
      <c r="Z61" s="25">
        <f ca="1"/>
        <v>0.44</v>
      </c>
      <c r="AA61" s="25">
        <f ca="1"/>
        <v>0.33</v>
      </c>
      <c r="AB61" s="25">
        <f ca="1"/>
        <v>-0.22</v>
      </c>
      <c r="AC61" s="25">
        <f ca="1"/>
        <v>-0.22</v>
      </c>
      <c r="AD61" s="25">
        <f ca="1"/>
        <v>0.44</v>
      </c>
      <c r="AE61" s="25">
        <f ca="1"/>
        <v>-0.11</v>
      </c>
      <c r="AF61" s="25">
        <f ca="1"/>
        <v>-0.11</v>
      </c>
      <c r="AG61" s="25">
        <f ca="1"/>
        <v>-0.11</v>
      </c>
      <c r="AH61" s="26" t="s">
        <v>231</v>
      </c>
      <c r="AI61" s="26"/>
      <c r="AJ61" s="26"/>
    </row>
    <row r="62" spans="1:36" ht="20.100000000000001" customHeight="1" x14ac:dyDescent="0.25">
      <c r="W62" s="25" t="str">
        <f>TEXT(EDATE(X_Cell_Site_StartDate,2), "mmmm")</f>
        <v>March</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231</v>
      </c>
      <c r="AI62" s="26"/>
      <c r="AJ62" s="26"/>
    </row>
    <row r="63" spans="1:36" ht="20.100000000000001" customHeight="1" x14ac:dyDescent="0.25">
      <c r="W63" s="25" t="str">
        <f>TEXT(EDATE(X_Cell_Site_StartDate,3), "mmmm")</f>
        <v>April</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231</v>
      </c>
      <c r="AI63" s="26"/>
      <c r="AJ63" s="26"/>
    </row>
    <row r="64" spans="1:36" ht="20.100000000000001" customHeight="1" x14ac:dyDescent="0.25">
      <c r="W64" s="25" t="str">
        <f>TEXT(EDATE(X_Cell_Site_StartDate,4), "mmmm")</f>
        <v>May</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231</v>
      </c>
    </row>
    <row r="65" spans="4:36" ht="20.100000000000001" customHeight="1" x14ac:dyDescent="0.25">
      <c r="D65" s="109" t="s">
        <v>282</v>
      </c>
      <c r="W65" s="25" t="str">
        <f>TEXT(EDATE(X_Cell_Site_StartDate,5), "mmmm")</f>
        <v>June</v>
      </c>
      <c r="X65" s="25">
        <f ca="1"/>
        <v>0.99</v>
      </c>
      <c r="Y65" s="25">
        <f ca="1"/>
        <v>0.22</v>
      </c>
      <c r="Z65" s="25">
        <f ca="1"/>
        <v>0.77</v>
      </c>
      <c r="AA65" s="25">
        <f ca="1"/>
        <v>0.11</v>
      </c>
      <c r="AB65" s="25">
        <f ca="1"/>
        <v>0.11</v>
      </c>
      <c r="AC65" s="25">
        <f ca="1"/>
        <v>0.11</v>
      </c>
      <c r="AD65" s="25">
        <f ca="1"/>
        <v>0.77</v>
      </c>
      <c r="AE65" s="25">
        <f ca="1"/>
        <v>0.44</v>
      </c>
      <c r="AF65" s="25">
        <f ca="1"/>
        <v>0.44</v>
      </c>
      <c r="AG65" s="25">
        <f ca="1"/>
        <v>0.44</v>
      </c>
      <c r="AH65" s="26" t="s">
        <v>231</v>
      </c>
    </row>
    <row r="66" spans="4:36" ht="20.100000000000001" customHeight="1" x14ac:dyDescent="0.25">
      <c r="D66" s="110" t="s">
        <v>283</v>
      </c>
      <c r="W66" s="25" t="str">
        <f>TEXT(EDATE(X_Cell_Site_StartDate,6), "mmmm")</f>
        <v>July</v>
      </c>
      <c r="X66" s="25">
        <f ca="1"/>
        <v>0.99</v>
      </c>
      <c r="Y66" s="25">
        <f ca="1"/>
        <v>0.22</v>
      </c>
      <c r="Z66" s="25">
        <f ca="1"/>
        <v>0.77</v>
      </c>
      <c r="AA66" s="25">
        <f ca="1"/>
        <v>0.11</v>
      </c>
      <c r="AB66" s="25">
        <f ca="1"/>
        <v>0.11</v>
      </c>
      <c r="AC66" s="25">
        <f ca="1"/>
        <v>0.11</v>
      </c>
      <c r="AD66" s="25">
        <f ca="1"/>
        <v>0.77</v>
      </c>
      <c r="AE66" s="25">
        <f ca="1"/>
        <v>0.44</v>
      </c>
      <c r="AF66" s="25">
        <f ca="1"/>
        <v>0.44</v>
      </c>
      <c r="AG66" s="25">
        <f ca="1"/>
        <v>0.44</v>
      </c>
      <c r="AH66" s="26" t="s">
        <v>231</v>
      </c>
    </row>
    <row r="67" spans="4:36" ht="20.100000000000001" customHeight="1" x14ac:dyDescent="0.25">
      <c r="D67" s="111" t="s">
        <v>77</v>
      </c>
      <c r="E67" s="112" t="s">
        <v>211</v>
      </c>
      <c r="F67" s="112" t="s">
        <v>201</v>
      </c>
      <c r="G67" s="112" t="s">
        <v>212</v>
      </c>
      <c r="H67" s="112" t="s">
        <v>213</v>
      </c>
      <c r="I67" s="112" t="s">
        <v>214</v>
      </c>
      <c r="J67" s="112" t="s">
        <v>215</v>
      </c>
      <c r="K67" s="112" t="s">
        <v>216</v>
      </c>
      <c r="L67" s="112" t="s">
        <v>217</v>
      </c>
      <c r="M67" s="112" t="s">
        <v>218</v>
      </c>
      <c r="N67" s="112" t="s">
        <v>219</v>
      </c>
      <c r="W67" s="25" t="str">
        <f>TEXT(EDATE(X_Cell_Site_StartDate,7), "mmmm")</f>
        <v>August</v>
      </c>
      <c r="X67" s="25">
        <f ca="1"/>
        <v>0.99</v>
      </c>
      <c r="Y67" s="25">
        <f ca="1"/>
        <v>0.22</v>
      </c>
      <c r="Z67" s="25">
        <f ca="1"/>
        <v>0.77</v>
      </c>
      <c r="AA67" s="25">
        <f ca="1"/>
        <v>0.11</v>
      </c>
      <c r="AB67" s="25">
        <f ca="1"/>
        <v>0.11</v>
      </c>
      <c r="AC67" s="25">
        <f ca="1"/>
        <v>0.11</v>
      </c>
      <c r="AD67" s="25">
        <f ca="1"/>
        <v>0.77</v>
      </c>
      <c r="AE67" s="25">
        <f ca="1"/>
        <v>0.44</v>
      </c>
      <c r="AF67" s="25">
        <f ca="1"/>
        <v>0.44</v>
      </c>
      <c r="AG67" s="25">
        <f ca="1"/>
        <v>0.44</v>
      </c>
      <c r="AH67" s="26" t="s">
        <v>231</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229</v>
      </c>
      <c r="P68" s="26"/>
      <c r="Q68" s="26"/>
      <c r="R68" s="26"/>
      <c r="S68" s="26"/>
      <c r="W68" s="25" t="str">
        <f>TEXT(EDATE(X_Cell_Site_StartDate,8), "mmmm")</f>
        <v>September</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231</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229</v>
      </c>
      <c r="P69" s="26"/>
      <c r="Q69" s="26"/>
      <c r="R69" s="26"/>
      <c r="S69" s="26"/>
      <c r="W69" s="25" t="str">
        <f>TEXT(EDATE(X_Cell_Site_StartDate,9), "mmmm")</f>
        <v>October</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231</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229</v>
      </c>
      <c r="P70" s="26"/>
      <c r="Q70" s="26"/>
      <c r="R70" s="26"/>
      <c r="S70" s="26"/>
      <c r="W70" s="25" t="str">
        <f>TEXT(EDATE(X_Cell_Site_StartDate,10), "mmmm")</f>
        <v>November</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231</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229</v>
      </c>
      <c r="P71" s="26"/>
      <c r="Q71" s="26"/>
      <c r="R71" s="26"/>
      <c r="S71" s="26"/>
      <c r="W71" s="25" t="str">
        <f>TEXT(EDATE(X_Cell_Site_StartDate,11), "mmmm")</f>
        <v>December</v>
      </c>
      <c r="X71" s="25">
        <f ca="1"/>
        <v>0.44</v>
      </c>
      <c r="Y71" s="25">
        <f ca="1"/>
        <v>-0.22</v>
      </c>
      <c r="Z71" s="25">
        <f ca="1"/>
        <v>0.44</v>
      </c>
      <c r="AA71" s="25">
        <f ca="1"/>
        <v>0.33</v>
      </c>
      <c r="AB71" s="25">
        <f ca="1"/>
        <v>-0.22</v>
      </c>
      <c r="AC71" s="25">
        <f ca="1"/>
        <v>-0.22</v>
      </c>
      <c r="AD71" s="25">
        <f ca="1"/>
        <v>0.44</v>
      </c>
      <c r="AE71" s="25">
        <f ca="1"/>
        <v>-0.11</v>
      </c>
      <c r="AF71" s="25">
        <f ca="1"/>
        <v>-0.11</v>
      </c>
      <c r="AG71" s="25">
        <f ca="1"/>
        <v>-0.11</v>
      </c>
      <c r="AH71" s="26" t="s">
        <v>231</v>
      </c>
      <c r="AI71" s="26"/>
      <c r="AJ71" s="26"/>
    </row>
    <row r="72" spans="4:36" ht="20.100000000000001" customHeight="1" x14ac:dyDescent="0.25">
      <c r="AI72" s="26"/>
      <c r="AJ72" s="26"/>
    </row>
    <row r="73" spans="4:36" ht="20.100000000000001" customHeight="1" x14ac:dyDescent="0.25">
      <c r="W73" s="109" t="s">
        <v>284</v>
      </c>
      <c r="AI73" s="26"/>
      <c r="AJ73" s="26"/>
    </row>
    <row r="74" spans="4:36" ht="20.100000000000001" customHeight="1" x14ac:dyDescent="0.25">
      <c r="W74" s="110" t="s">
        <v>285</v>
      </c>
      <c r="AI74" s="26"/>
      <c r="AJ74" s="26"/>
    </row>
    <row r="75" spans="4:36" ht="20.100000000000001" customHeight="1" x14ac:dyDescent="0.25">
      <c r="W75" s="111" t="s">
        <v>76</v>
      </c>
      <c r="X75" s="111" t="s">
        <v>211</v>
      </c>
      <c r="Y75" s="111" t="s">
        <v>201</v>
      </c>
      <c r="Z75" s="111" t="s">
        <v>212</v>
      </c>
      <c r="AA75" s="111" t="s">
        <v>213</v>
      </c>
      <c r="AB75" s="111" t="s">
        <v>214</v>
      </c>
      <c r="AC75" s="111" t="s">
        <v>215</v>
      </c>
      <c r="AD75" s="111" t="s">
        <v>216</v>
      </c>
      <c r="AE75" s="111" t="s">
        <v>217</v>
      </c>
      <c r="AF75" s="111" t="s">
        <v>218</v>
      </c>
      <c r="AG75" s="111" t="s">
        <v>219</v>
      </c>
      <c r="AI75" s="26"/>
      <c r="AJ75" s="26"/>
    </row>
    <row r="76" spans="4:36" ht="20.100000000000001" customHeight="1" x14ac:dyDescent="0.25">
      <c r="W76" s="25" t="str">
        <f>TEXT(X_Cell_Site_StartDate,"mmmm")</f>
        <v>January</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8.4608409301875014</v>
      </c>
      <c r="AB76" s="25" cm="1">
        <f t="array" aca="1" ref="AB76" ca="1">EntericMethane_PastureBeef_Equations.VEERG_3_2_1_1__3_FeedIntakeForGrazingBeef(AB44,AB60,AD28)</f>
        <v>8.3772677761199983</v>
      </c>
      <c r="AC76" s="25" cm="1">
        <f t="array" aca="1" ref="AC76" ca="1">EntericMethane_PastureBeef_Equations.VEERG_3_2_1_1__3_FeedIntakeForGrazingBeef(AC44,AC60,AE28)</f>
        <v>8.3772677761199983</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str">
        <f>TEXT(EDATE(X_Cell_Site_StartDate,1), "mmmm")</f>
        <v>February</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str">
        <f>TEXT(EDATE(X_Cell_Site_StartDate,2), "mmmm")</f>
        <v>March</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str">
        <f>TEXT(EDATE(X_Cell_Site_StartDate,3), "mmmm")</f>
        <v>April</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str">
        <f>TEXT(EDATE(X_Cell_Site_StartDate,4), "mmmm")</f>
        <v>May</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09" t="s">
        <v>286</v>
      </c>
      <c r="W81" s="25" t="str">
        <f>TEXT(EDATE(X_Cell_Site_StartDate,5), "mmmm")</f>
        <v>June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0" t="s">
        <v>287</v>
      </c>
      <c r="W82" s="25" t="str">
        <f>TEXT(EDATE(X_Cell_Site_StartDate,6), "mmmm")</f>
        <v>July</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1" t="s">
        <v>77</v>
      </c>
      <c r="E83" s="111" t="s">
        <v>211</v>
      </c>
      <c r="F83" s="111" t="s">
        <v>201</v>
      </c>
      <c r="G83" s="111" t="s">
        <v>212</v>
      </c>
      <c r="H83" s="111" t="s">
        <v>213</v>
      </c>
      <c r="I83" s="111" t="s">
        <v>214</v>
      </c>
      <c r="J83" s="111" t="s">
        <v>215</v>
      </c>
      <c r="K83" s="111" t="s">
        <v>216</v>
      </c>
      <c r="L83" s="111" t="s">
        <v>217</v>
      </c>
      <c r="M83" s="111" t="s">
        <v>218</v>
      </c>
      <c r="N83" s="111" t="s">
        <v>219</v>
      </c>
      <c r="W83" s="25" t="str">
        <f>TEXT(EDATE(X_Cell_Site_StartDate,7), "mmmm")</f>
        <v>August</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7.2615706605225032</v>
      </c>
      <c r="AB83" s="25" cm="1">
        <f t="array" aca="1" ref="AB83" ca="1">EntericMethane_PastureBeef_Equations.VEERG_3_2_1_1__3_FeedIntakeForGrazingBeef(AB51,AB67,AD35)</f>
        <v>9.7416209101224993</v>
      </c>
      <c r="AC83" s="25" cm="1">
        <f t="array" aca="1" ref="AC83" ca="1">EntericMethane_PastureBeef_Equations.VEERG_3_2_1_1__3_FeedIntakeForGrazingBeef(AC51,AC67,AE35)</f>
        <v>9.7416209101224993</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220</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str">
        <f>TEXT(EDATE(X_Cell_Site_StartDate,8), "mmmm")</f>
        <v>September</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10.624527777622504</v>
      </c>
      <c r="AB84" s="25" cm="1">
        <f t="array" aca="1" ref="AB84" ca="1">EntericMethane_PastureBeef_Equations.VEERG_3_2_1_1__3_FeedIntakeForGrazingBeef(AB52,AB68,AD36)</f>
        <v>11.798087161000003</v>
      </c>
      <c r="AC84" s="25" cm="1">
        <f t="array" aca="1" ref="AC84" ca="1">EntericMethane_PastureBeef_Equations.VEERG_3_2_1_1__3_FeedIntakeForGrazingBeef(AC52,AC68,AE36)</f>
        <v>11.798087161000003</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221</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str">
        <f>TEXT(EDATE(X_Cell_Site_StartDate,9), "mmmm")</f>
        <v>October</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10.624527777622504</v>
      </c>
      <c r="AB85" s="25" cm="1">
        <f t="array" aca="1" ref="AB85" ca="1">EntericMethane_PastureBeef_Equations.VEERG_3_2_1_1__3_FeedIntakeForGrazingBeef(AB53,AB69,AD37)</f>
        <v>11.798087161000003</v>
      </c>
      <c r="AC85" s="25" cm="1">
        <f t="array" aca="1" ref="AC85" ca="1">EntericMethane_PastureBeef_Equations.VEERG_3_2_1_1__3_FeedIntakeForGrazingBeef(AC53,AC69,AE37)</f>
        <v>11.798087161000003</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222</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str">
        <f>TEXT(EDATE(X_Cell_Site_StartDate,10), "mmmm")</f>
        <v>November</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9.3235651926075036</v>
      </c>
      <c r="AB86" s="25" cm="1">
        <f t="array" aca="1" ref="AB86" ca="1">EntericMethane_PastureBeef_Equations.VEERG_3_2_1_1__3_FeedIntakeForGrazingBeef(AB54,AB70,AD38)</f>
        <v>10.353423427000003</v>
      </c>
      <c r="AC86" s="25" cm="1">
        <f t="array" aca="1" ref="AC86" ca="1">EntericMethane_PastureBeef_Equations.VEERG_3_2_1_1__3_FeedIntakeForGrazingBeef(AC54,AC70,AE38)</f>
        <v>10.353423427000003</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223</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str">
        <f>TEXT(EDATE(X_Cell_Site_StartDate,11), "mmmm")</f>
        <v>December</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8.4608409301875014</v>
      </c>
      <c r="AB87" s="25" cm="1">
        <f t="array" aca="1" ref="AB87" ca="1">EntericMethane_PastureBeef_Equations.VEERG_3_2_1_1__3_FeedIntakeForGrazingBeef(AB55,AB71,AD39)</f>
        <v>8.3772677761199983</v>
      </c>
      <c r="AC87" s="25" cm="1">
        <f t="array" aca="1" ref="AC87" ca="1">EntericMethane_PastureBeef_Equations.VEERG_3_2_1_1__3_FeedIntakeForGrazingBeef(AC55,AC71,AE39)</f>
        <v>8.3772677761199983</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4"/>
      <c r="D98" s="114"/>
      <c r="E98" s="114"/>
      <c r="F98" s="114"/>
      <c r="G98" s="114"/>
      <c r="H98" s="114"/>
      <c r="I98" s="114"/>
      <c r="J98" s="114"/>
      <c r="K98" s="114"/>
      <c r="L98" s="114"/>
      <c r="M98" s="114"/>
      <c r="N98" s="114"/>
      <c r="O98" s="114"/>
      <c r="P98" s="114"/>
      <c r="Q98" s="114"/>
      <c r="R98" s="114"/>
      <c r="S98" s="114"/>
      <c r="T98" s="114"/>
      <c r="V98" s="114"/>
      <c r="W98" s="114"/>
      <c r="X98" s="114"/>
      <c r="Y98" s="114"/>
      <c r="Z98" s="114"/>
      <c r="AA98" s="114"/>
      <c r="AB98" s="114"/>
      <c r="AC98" s="114"/>
      <c r="AD98" s="114"/>
      <c r="AE98" s="114"/>
      <c r="AF98" s="114"/>
      <c r="AG98" s="114"/>
      <c r="AH98" s="114"/>
      <c r="AI98" s="114"/>
      <c r="AJ98" s="114"/>
      <c r="AK98" s="114"/>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0" t="s">
        <v>259</v>
      </c>
      <c r="E101" s="100"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261</v>
      </c>
      <c r="E105" s="1" t="str" cm="1">
        <f t="array" ref="E105">MMS_PastureBeef_Methane_Equations.VEERG_4_2_1_1__3_VolatileSolidProductionFromGrazingBeef_Variable()</f>
        <v>VS_jkl</v>
      </c>
    </row>
    <row r="106" spans="3:37" ht="20.100000000000001" customHeight="1" x14ac:dyDescent="0.25">
      <c r="D106" s="88" t="s">
        <v>131</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2" t="str" cm="1">
        <f t="array" ref="D108:E110">_xlfn.CHOOSECOLS(MMS_PastureBeef_Methane_Equations.VEERG_4_2_1_1__3_VolatileSolidProductionFromGrazingBeef_Arguments(), 1, 2)</f>
        <v>I_jkl</v>
      </c>
      <c r="E108" s="103" t="str">
        <v>dry matter intake as calculated in Chapter 3 Section 3.2.1</v>
      </c>
      <c r="F108" s="105"/>
      <c r="G108" s="102" t="str" cm="1">
        <f t="array" ref="G108:H110">_xlfn.CHOOSECOLS(MMS_PastureBeef_Methane_Equations.VEERG_4_2_1_1__3_VolatileSolidProductionFromGrazingBeef_Arguments(), 3,4)</f>
        <v>kg/head/day</v>
      </c>
      <c r="H108" s="107" t="str">
        <v>Calculated from 3.2.1.1, (3)</v>
      </c>
      <c r="I108" s="108" t="str" cm="1">
        <f t="array" aca="1" ref="I108" ca="1">HYPERLINK(Common_InputFunctions.Utility_SourceHyperlink($D$81), $D$81)</f>
        <v>M1_Table_I_j_k_l</v>
      </c>
    </row>
    <row r="109" spans="3:37" ht="20.100000000000001" customHeight="1" x14ac:dyDescent="0.25">
      <c r="D109" s="102" t="str">
        <v>DMD_jkl</v>
      </c>
      <c r="E109" s="103" t="str">
        <v>dry matter digestibility expressed as a fraction</v>
      </c>
      <c r="F109" s="105"/>
      <c r="G109" s="102" t="str">
        <v>fraction</v>
      </c>
      <c r="H109" s="106" t="str">
        <v>Input</v>
      </c>
      <c r="I109" s="108" t="str" cm="1">
        <f t="array" aca="1" ref="I109" ca="1">HYPERLINK(Common_InputFunctions.Utility_SourceHyperlink($D$112), $D$112)</f>
        <v>M1_Table_DMD_j_k_l</v>
      </c>
    </row>
    <row r="110" spans="3:37" ht="20.100000000000001" customHeight="1" x14ac:dyDescent="0.25">
      <c r="D110" s="102" t="str">
        <v>A</v>
      </c>
      <c r="E110" s="103" t="str">
        <v>ash content of feed intake expressed as a fraction</v>
      </c>
      <c r="F110" s="105"/>
      <c r="G110" s="102" t="str">
        <v>fraction</v>
      </c>
      <c r="H110" s="107" t="str">
        <v>Constant</v>
      </c>
      <c r="I110" s="102">
        <f>SourceData_PastureBeef_AshContentOfFeedIntake_Data</f>
        <v>0.08</v>
      </c>
    </row>
    <row r="111" spans="3:37" ht="20.100000000000001" customHeight="1" x14ac:dyDescent="0.25"/>
    <row r="112" spans="3:37" ht="20.100000000000001" customHeight="1" x14ac:dyDescent="0.25">
      <c r="D112" s="109" t="s">
        <v>288</v>
      </c>
      <c r="W112" s="109" t="s">
        <v>289</v>
      </c>
    </row>
    <row r="113" spans="4:36" ht="20.100000000000001" customHeight="1" x14ac:dyDescent="0.25">
      <c r="D113" s="110" t="s">
        <v>290</v>
      </c>
      <c r="W113" s="110" t="s">
        <v>291</v>
      </c>
    </row>
    <row r="114" spans="4:36" ht="20.100000000000001" customHeight="1" x14ac:dyDescent="0.25">
      <c r="D114" s="111" t="s">
        <v>77</v>
      </c>
      <c r="E114" s="112" t="s">
        <v>211</v>
      </c>
      <c r="F114" s="112" t="s">
        <v>201</v>
      </c>
      <c r="G114" s="112" t="s">
        <v>212</v>
      </c>
      <c r="H114" s="112" t="s">
        <v>213</v>
      </c>
      <c r="I114" s="112" t="s">
        <v>214</v>
      </c>
      <c r="J114" s="112" t="s">
        <v>215</v>
      </c>
      <c r="K114" s="112" t="s">
        <v>216</v>
      </c>
      <c r="L114" s="112" t="s">
        <v>217</v>
      </c>
      <c r="M114" s="112" t="s">
        <v>218</v>
      </c>
      <c r="N114" s="112" t="s">
        <v>219</v>
      </c>
      <c r="W114" s="111" t="s">
        <v>76</v>
      </c>
      <c r="X114" s="112" t="s">
        <v>211</v>
      </c>
      <c r="Y114" s="112" t="s">
        <v>201</v>
      </c>
      <c r="Z114" s="112" t="s">
        <v>212</v>
      </c>
      <c r="AA114" s="112" t="s">
        <v>213</v>
      </c>
      <c r="AB114" s="112" t="s">
        <v>214</v>
      </c>
      <c r="AC114" s="112" t="s">
        <v>215</v>
      </c>
      <c r="AD114" s="112" t="s">
        <v>216</v>
      </c>
      <c r="AE114" s="112" t="s">
        <v>217</v>
      </c>
      <c r="AF114" s="112" t="s">
        <v>218</v>
      </c>
      <c r="AG114" s="112" t="s">
        <v>219</v>
      </c>
    </row>
    <row r="115" spans="4:36" ht="20.100000000000001" customHeight="1" x14ac:dyDescent="0.25">
      <c r="D115" s="25" t="s">
        <v>220</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233</v>
      </c>
      <c r="P115" s="26"/>
      <c r="Q115" s="26"/>
      <c r="R115" s="26"/>
      <c r="S115" s="26"/>
      <c r="W115" s="25" t="str">
        <f>TEXT(X_Cell_Site_StartDate,"mmmm")</f>
        <v>January</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233</v>
      </c>
      <c r="AI115" s="26"/>
      <c r="AJ115" s="26"/>
    </row>
    <row r="116" spans="4:36" ht="20.100000000000001" customHeight="1" x14ac:dyDescent="0.25">
      <c r="D116" s="25" t="s">
        <v>221</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233</v>
      </c>
      <c r="P116" s="26"/>
      <c r="Q116" s="26"/>
      <c r="R116" s="26"/>
      <c r="S116" s="26"/>
      <c r="W116" s="25" t="str">
        <f>TEXT(EDATE(X_Cell_Site_StartDate,1), "mmmm")</f>
        <v>February</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233</v>
      </c>
      <c r="AI116" s="26"/>
      <c r="AJ116" s="26"/>
    </row>
    <row r="117" spans="4:36" ht="20.100000000000001" customHeight="1" x14ac:dyDescent="0.25">
      <c r="D117" s="25" t="s">
        <v>222</v>
      </c>
      <c r="E117" s="25">
        <f ca="1"/>
        <v>0.5</v>
      </c>
      <c r="F117" s="25">
        <f ca="1"/>
        <v>0.5</v>
      </c>
      <c r="G117" s="25">
        <f ca="1"/>
        <v>0.5</v>
      </c>
      <c r="H117" s="25">
        <f ca="1"/>
        <v>0.5</v>
      </c>
      <c r="I117" s="25">
        <f ca="1"/>
        <v>0.5</v>
      </c>
      <c r="J117" s="25">
        <f ca="1"/>
        <v>0.5</v>
      </c>
      <c r="K117" s="25">
        <f ca="1"/>
        <v>0.5</v>
      </c>
      <c r="L117" s="25">
        <f ca="1"/>
        <v>0.5</v>
      </c>
      <c r="M117" s="25">
        <f ca="1"/>
        <v>0.5</v>
      </c>
      <c r="N117" s="25">
        <f ca="1"/>
        <v>0.5</v>
      </c>
      <c r="O117" s="26" t="s">
        <v>233</v>
      </c>
      <c r="P117" s="26"/>
      <c r="Q117" s="26"/>
      <c r="R117" s="26"/>
      <c r="S117" s="26"/>
      <c r="W117" s="25" t="str">
        <f>TEXT(EDATE(X_Cell_Site_StartDate,2), "mmmm")</f>
        <v>March</v>
      </c>
      <c r="X117" s="25">
        <f ca="1"/>
        <v>0.5</v>
      </c>
      <c r="Y117" s="25">
        <f ca="1"/>
        <v>0.5</v>
      </c>
      <c r="Z117" s="25">
        <f ca="1"/>
        <v>0.5</v>
      </c>
      <c r="AA117" s="25">
        <f ca="1"/>
        <v>0.5</v>
      </c>
      <c r="AB117" s="25">
        <f ca="1"/>
        <v>0.5</v>
      </c>
      <c r="AC117" s="25">
        <f ca="1"/>
        <v>0.5</v>
      </c>
      <c r="AD117" s="25">
        <f ca="1"/>
        <v>0.5</v>
      </c>
      <c r="AE117" s="25">
        <f ca="1"/>
        <v>0.5</v>
      </c>
      <c r="AF117" s="25">
        <f ca="1"/>
        <v>0.5</v>
      </c>
      <c r="AG117" s="25">
        <f ca="1"/>
        <v>0.5</v>
      </c>
      <c r="AH117" s="26" t="s">
        <v>233</v>
      </c>
      <c r="AI117" s="26"/>
      <c r="AJ117" s="26"/>
    </row>
    <row r="118" spans="4:36" ht="20.100000000000001" customHeight="1" x14ac:dyDescent="0.25">
      <c r="D118" s="25" t="s">
        <v>223</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233</v>
      </c>
      <c r="P118" s="26"/>
      <c r="Q118" s="26"/>
      <c r="R118" s="26"/>
      <c r="S118" s="26"/>
      <c r="W118" s="25" t="str">
        <f>TEXT(EDATE(X_Cell_Site_StartDate,3), "mmmm")</f>
        <v>April</v>
      </c>
      <c r="X118" s="25">
        <f ca="1"/>
        <v>0.5</v>
      </c>
      <c r="Y118" s="25">
        <f ca="1"/>
        <v>0.5</v>
      </c>
      <c r="Z118" s="25">
        <f ca="1"/>
        <v>0.5</v>
      </c>
      <c r="AA118" s="25">
        <f ca="1"/>
        <v>0.5</v>
      </c>
      <c r="AB118" s="25">
        <f ca="1"/>
        <v>0.5</v>
      </c>
      <c r="AC118" s="25">
        <f ca="1"/>
        <v>0.5</v>
      </c>
      <c r="AD118" s="25">
        <f ca="1"/>
        <v>0.5</v>
      </c>
      <c r="AE118" s="25">
        <f ca="1"/>
        <v>0.5</v>
      </c>
      <c r="AF118" s="25">
        <f ca="1"/>
        <v>0.5</v>
      </c>
      <c r="AG118" s="25">
        <f ca="1"/>
        <v>0.5</v>
      </c>
      <c r="AH118" s="26" t="s">
        <v>233</v>
      </c>
      <c r="AI118" s="26"/>
      <c r="AJ118" s="26"/>
    </row>
    <row r="119" spans="4:36" ht="20.100000000000001" customHeight="1" x14ac:dyDescent="0.25">
      <c r="W119" s="25" t="str">
        <f>TEXT(EDATE(X_Cell_Site_StartDate,4), "mmmm")</f>
        <v>May</v>
      </c>
      <c r="X119" s="25">
        <f ca="1"/>
        <v>0.5</v>
      </c>
      <c r="Y119" s="25">
        <f ca="1"/>
        <v>0.5</v>
      </c>
      <c r="Z119" s="25">
        <f ca="1"/>
        <v>0.5</v>
      </c>
      <c r="AA119" s="25">
        <f ca="1"/>
        <v>0.5</v>
      </c>
      <c r="AB119" s="25">
        <f ca="1"/>
        <v>0.5</v>
      </c>
      <c r="AC119" s="25">
        <f ca="1"/>
        <v>0.5</v>
      </c>
      <c r="AD119" s="25">
        <f ca="1"/>
        <v>0.5</v>
      </c>
      <c r="AE119" s="25">
        <f ca="1"/>
        <v>0.5</v>
      </c>
      <c r="AF119" s="25">
        <f ca="1"/>
        <v>0.5</v>
      </c>
      <c r="AG119" s="25">
        <f ca="1"/>
        <v>0.5</v>
      </c>
      <c r="AH119" s="26" t="s">
        <v>233</v>
      </c>
      <c r="AI119" s="26"/>
      <c r="AJ119" s="26"/>
    </row>
    <row r="120" spans="4:36" ht="20.100000000000001" customHeight="1" x14ac:dyDescent="0.25">
      <c r="W120" s="25" t="str">
        <f>TEXT(EDATE(X_Cell_Site_StartDate,5), "mmmm")</f>
        <v>June</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233</v>
      </c>
      <c r="AI120" s="26"/>
      <c r="AJ120" s="26"/>
    </row>
    <row r="121" spans="4:36" ht="20.100000000000001" customHeight="1" x14ac:dyDescent="0.25">
      <c r="W121" s="25" t="str">
        <f>TEXT(EDATE(X_Cell_Site_StartDate,6), "mmmm")</f>
        <v>July</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233</v>
      </c>
      <c r="AI121" s="26"/>
      <c r="AJ121" s="26"/>
    </row>
    <row r="122" spans="4:36" ht="20.100000000000001" customHeight="1" x14ac:dyDescent="0.25">
      <c r="W122" s="25" t="str">
        <f>TEXT(EDATE(X_Cell_Site_StartDate,7), "mmmm")</f>
        <v>August</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233</v>
      </c>
      <c r="AI122" s="26"/>
      <c r="AJ122" s="26"/>
    </row>
    <row r="123" spans="4:36" ht="20.100000000000001" customHeight="1" x14ac:dyDescent="0.25">
      <c r="W123" s="25" t="str">
        <f>TEXT(EDATE(X_Cell_Site_StartDate,8), "mmmm")</f>
        <v>September</v>
      </c>
      <c r="X123" s="25">
        <f ca="1"/>
        <v>0.8</v>
      </c>
      <c r="Y123" s="25">
        <f ca="1"/>
        <v>0.8</v>
      </c>
      <c r="Z123" s="25">
        <f ca="1"/>
        <v>0.8</v>
      </c>
      <c r="AA123" s="25">
        <f ca="1"/>
        <v>0.8</v>
      </c>
      <c r="AB123" s="25">
        <f ca="1"/>
        <v>0.8</v>
      </c>
      <c r="AC123" s="25">
        <f ca="1"/>
        <v>0.8</v>
      </c>
      <c r="AD123" s="25">
        <f ca="1"/>
        <v>0.8</v>
      </c>
      <c r="AE123" s="25">
        <f ca="1"/>
        <v>0.8</v>
      </c>
      <c r="AF123" s="25">
        <f ca="1"/>
        <v>0.8</v>
      </c>
      <c r="AG123" s="25">
        <f ca="1"/>
        <v>0.8</v>
      </c>
      <c r="AH123" s="26" t="s">
        <v>233</v>
      </c>
      <c r="AI123" s="26"/>
      <c r="AJ123" s="26"/>
    </row>
    <row r="124" spans="4:36" ht="20.100000000000001" customHeight="1" x14ac:dyDescent="0.25">
      <c r="W124" s="25" t="str">
        <f>TEXT(EDATE(X_Cell_Site_StartDate,9), "mmmm")</f>
        <v>October</v>
      </c>
      <c r="X124" s="25">
        <f ca="1"/>
        <v>0.8</v>
      </c>
      <c r="Y124" s="25">
        <f ca="1"/>
        <v>0.8</v>
      </c>
      <c r="Z124" s="25">
        <f ca="1"/>
        <v>0.8</v>
      </c>
      <c r="AA124" s="25">
        <f ca="1"/>
        <v>0.8</v>
      </c>
      <c r="AB124" s="25">
        <f ca="1"/>
        <v>0.8</v>
      </c>
      <c r="AC124" s="25">
        <f ca="1"/>
        <v>0.8</v>
      </c>
      <c r="AD124" s="25">
        <f ca="1"/>
        <v>0.8</v>
      </c>
      <c r="AE124" s="25">
        <f ca="1"/>
        <v>0.8</v>
      </c>
      <c r="AF124" s="25">
        <f ca="1"/>
        <v>0.8</v>
      </c>
      <c r="AG124" s="25">
        <f ca="1"/>
        <v>0.8</v>
      </c>
      <c r="AH124" s="26" t="s">
        <v>233</v>
      </c>
      <c r="AI124" s="26"/>
      <c r="AJ124" s="26"/>
    </row>
    <row r="125" spans="4:36" ht="20.100000000000001" customHeight="1" x14ac:dyDescent="0.25">
      <c r="W125" s="25" t="str">
        <f>TEXT(EDATE(X_Cell_Site_StartDate,10), "mmmm")</f>
        <v>November</v>
      </c>
      <c r="X125" s="25">
        <f ca="1"/>
        <v>0.8</v>
      </c>
      <c r="Y125" s="25">
        <f ca="1"/>
        <v>0.8</v>
      </c>
      <c r="Z125" s="25">
        <f ca="1"/>
        <v>0.8</v>
      </c>
      <c r="AA125" s="25">
        <f ca="1"/>
        <v>0.8</v>
      </c>
      <c r="AB125" s="25">
        <f ca="1"/>
        <v>0.8</v>
      </c>
      <c r="AC125" s="25">
        <f ca="1"/>
        <v>0.8</v>
      </c>
      <c r="AD125" s="25">
        <f ca="1"/>
        <v>0.8</v>
      </c>
      <c r="AE125" s="25">
        <f ca="1"/>
        <v>0.8</v>
      </c>
      <c r="AF125" s="25">
        <f ca="1"/>
        <v>0.8</v>
      </c>
      <c r="AG125" s="25">
        <f ca="1"/>
        <v>0.8</v>
      </c>
      <c r="AH125" s="26" t="s">
        <v>233</v>
      </c>
      <c r="AI125" s="26"/>
      <c r="AJ125" s="26"/>
    </row>
    <row r="126" spans="4:36" ht="20.100000000000001" customHeight="1" x14ac:dyDescent="0.25">
      <c r="W126" s="25" t="str">
        <f>TEXT(EDATE(X_Cell_Site_StartDate,11), "mmmm")</f>
        <v>December</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233</v>
      </c>
      <c r="AI126" s="26"/>
      <c r="AJ126" s="26"/>
    </row>
    <row r="127" spans="4:36" ht="20.100000000000001" customHeight="1" x14ac:dyDescent="0.25"/>
    <row r="128" spans="4:36" ht="20.100000000000001" customHeight="1" x14ac:dyDescent="0.25">
      <c r="D128" s="109" t="s">
        <v>292</v>
      </c>
      <c r="W128" s="109" t="s">
        <v>293</v>
      </c>
    </row>
    <row r="129" spans="4:36" ht="20.100000000000001" customHeight="1" x14ac:dyDescent="0.25">
      <c r="D129" s="110" t="s">
        <v>294</v>
      </c>
      <c r="W129" s="110" t="s">
        <v>295</v>
      </c>
    </row>
    <row r="130" spans="4:36" ht="20.100000000000001" customHeight="1" x14ac:dyDescent="0.25">
      <c r="D130" s="111" t="s">
        <v>77</v>
      </c>
      <c r="E130" s="111" t="s">
        <v>211</v>
      </c>
      <c r="F130" s="111" t="s">
        <v>201</v>
      </c>
      <c r="G130" s="111" t="s">
        <v>212</v>
      </c>
      <c r="H130" s="111" t="s">
        <v>213</v>
      </c>
      <c r="I130" s="111" t="s">
        <v>214</v>
      </c>
      <c r="J130" s="111" t="s">
        <v>215</v>
      </c>
      <c r="K130" s="111" t="s">
        <v>216</v>
      </c>
      <c r="L130" s="111" t="s">
        <v>217</v>
      </c>
      <c r="M130" s="111" t="s">
        <v>218</v>
      </c>
      <c r="N130" s="111" t="s">
        <v>219</v>
      </c>
      <c r="W130" s="111" t="s">
        <v>76</v>
      </c>
      <c r="X130" s="111" t="s">
        <v>211</v>
      </c>
      <c r="Y130" s="111" t="s">
        <v>201</v>
      </c>
      <c r="Z130" s="111" t="s">
        <v>212</v>
      </c>
      <c r="AA130" s="111" t="s">
        <v>213</v>
      </c>
      <c r="AB130" s="111" t="s">
        <v>214</v>
      </c>
      <c r="AC130" s="111" t="s">
        <v>215</v>
      </c>
      <c r="AD130" s="111" t="s">
        <v>216</v>
      </c>
      <c r="AE130" s="111" t="s">
        <v>217</v>
      </c>
      <c r="AF130" s="111" t="s">
        <v>218</v>
      </c>
      <c r="AG130" s="111" t="s">
        <v>219</v>
      </c>
    </row>
    <row r="131" spans="4:36" ht="20.100000000000001" customHeight="1" x14ac:dyDescent="0.25">
      <c r="D131" s="25" t="s">
        <v>220</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3.5806278816553512</v>
      </c>
      <c r="AB131" s="25" cm="1">
        <f t="array" aca="1" ref="AB131" ca="1">MMS_PastureBeef_Methane_Equations.VEERG_4_2_1_1__3_VolatileSolidProductionFromGrazingBeef(AB76,AB115,$I$110)</f>
        <v>3.5452597228539839</v>
      </c>
      <c r="AC131" s="25" cm="1">
        <f t="array" aca="1" ref="AC131" ca="1">MMS_PastureBeef_Methane_Equations.VEERG_4_2_1_1__3_VolatileSolidProductionFromGrazingBeef(AC76,AC115,$I$110)</f>
        <v>3.5452597228539839</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221</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222</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223</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1.9373870522274037</v>
      </c>
      <c r="AB138" s="25" cm="1">
        <f t="array" aca="1" ref="AB138" ca="1">MMS_PastureBeef_Methane_Equations.VEERG_4_2_1_1__3_VolatileSolidProductionFromGrazingBeef(AB83,AB122,$I$110)</f>
        <v>2.5990644588206826</v>
      </c>
      <c r="AC138" s="25" cm="1">
        <f t="array" aca="1" ref="AC138" ca="1">MMS_PastureBeef_Methane_Equations.VEERG_4_2_1_1__3_VolatileSolidProductionFromGrazingBeef(AC83,AC122,$I$110)</f>
        <v>2.5990644588206826</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2.3458957332990487</v>
      </c>
      <c r="AB139" s="25" cm="1">
        <f t="array" aca="1" ref="AB139" ca="1">MMS_PastureBeef_Methane_Equations.VEERG_4_2_1_1__3_VolatileSolidProductionFromGrazingBeef(AB84,AB123,$I$110)</f>
        <v>2.6050176451488007</v>
      </c>
      <c r="AC139" s="25" cm="1">
        <f t="array" aca="1" ref="AC139" ca="1">MMS_PastureBeef_Methane_Equations.VEERG_4_2_1_1__3_VolatileSolidProductionFromGrazingBeef(AC84,AC123,$I$110)</f>
        <v>2.6050176451488007</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2.3458957332990487</v>
      </c>
      <c r="AB140" s="25" cm="1">
        <f t="array" aca="1" ref="AB140" ca="1">MMS_PastureBeef_Methane_Equations.VEERG_4_2_1_1__3_VolatileSolidProductionFromGrazingBeef(AB85,AB124,$I$110)</f>
        <v>2.6050176451488007</v>
      </c>
      <c r="AC140" s="25" cm="1">
        <f t="array" aca="1" ref="AC140" ca="1">MMS_PastureBeef_Methane_Equations.VEERG_4_2_1_1__3_VolatileSolidProductionFromGrazingBeef(AC85,AC124,$I$110)</f>
        <v>2.6050176451488007</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2.0586431945277366</v>
      </c>
      <c r="AB141" s="25" cm="1">
        <f t="array" aca="1" ref="AB141" ca="1">MMS_PastureBeef_Methane_Equations.VEERG_4_2_1_1__3_VolatileSolidProductionFromGrazingBeef(AB86,AB125,$I$110)</f>
        <v>2.2860358926816002</v>
      </c>
      <c r="AC141" s="25" cm="1">
        <f t="array" aca="1" ref="AC141" ca="1">MMS_PastureBeef_Methane_Equations.VEERG_4_2_1_1__3_VolatileSolidProductionFromGrazingBeef(AC86,AC125,$I$110)</f>
        <v>2.2860358926816002</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3.5806278816553512</v>
      </c>
      <c r="AB142" s="25" cm="1">
        <f t="array" aca="1" ref="AB142" ca="1">MMS_PastureBeef_Methane_Equations.VEERG_4_2_1_1__3_VolatileSolidProductionFromGrazingBeef(AB87,AB126,$I$110)</f>
        <v>3.5452597228539839</v>
      </c>
      <c r="AC142" s="25" cm="1">
        <f t="array" aca="1" ref="AC142" ca="1">MMS_PastureBeef_Methane_Equations.VEERG_4_2_1_1__3_VolatileSolidProductionFromGrazingBeef(AC87,AC126,$I$110)</f>
        <v>3.5452597228539839</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4"/>
      <c r="D145" s="114"/>
      <c r="E145" s="114"/>
      <c r="F145" s="114"/>
      <c r="G145" s="114"/>
      <c r="H145" s="114"/>
      <c r="I145" s="114"/>
      <c r="J145" s="114"/>
      <c r="K145" s="114"/>
      <c r="L145" s="114"/>
      <c r="M145" s="114"/>
      <c r="N145" s="114"/>
      <c r="O145" s="114"/>
      <c r="P145" s="114"/>
      <c r="Q145" s="114"/>
      <c r="R145" s="114"/>
      <c r="S145" s="114"/>
      <c r="T145" s="114"/>
      <c r="V145" s="114"/>
      <c r="W145" s="114"/>
      <c r="X145" s="114"/>
      <c r="Y145" s="114"/>
      <c r="Z145" s="114"/>
      <c r="AA145" s="114"/>
      <c r="AB145" s="114"/>
      <c r="AC145" s="114"/>
      <c r="AD145" s="114"/>
      <c r="AE145" s="114"/>
      <c r="AF145" s="114"/>
      <c r="AG145" s="114"/>
      <c r="AH145" s="114"/>
      <c r="AI145" s="114"/>
      <c r="AJ145" s="114"/>
      <c r="AK145" s="114"/>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0" t="s">
        <v>259</v>
      </c>
      <c r="E148" s="100"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261</v>
      </c>
      <c r="E151" s="1" t="str" cm="1">
        <f t="array" ref="E151">MMS_PastureBeef_Methane_Equations.VEERG_4_2_1_1__2_MethaneProductionFromManure_Variable()</f>
        <v>M_jklm</v>
      </c>
    </row>
    <row r="152" spans="3:37" ht="20.100000000000001" customHeight="1" x14ac:dyDescent="0.25">
      <c r="D152" s="88" t="s">
        <v>131</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2" t="str" cm="1">
        <f t="array" ref="D154:E160">_xlfn.CHOOSECOLS(MMS_PastureBeef_Methane_Equations.VEERG_4_2_1_1__2_MethaneProductionFromManure_Arguments(), 1, 2)</f>
        <v>VS_jkl</v>
      </c>
      <c r="E154" s="103" t="str">
        <v>volatile solid production</v>
      </c>
      <c r="F154" s="105"/>
      <c r="G154" s="102" t="str" cm="1">
        <f t="array" ref="G154:H160">_xlfn.CHOOSECOLS(MMS_PastureBeef_Methane_Equations.VEERG_4_2_1_1__2_MethaneProductionFromManure_Arguments(), 3,4)</f>
        <v>kg/day</v>
      </c>
      <c r="H154" s="107" t="str">
        <v>Calculated from 4.2.1.1 (3)</v>
      </c>
      <c r="I154" s="108" t="str" cm="1">
        <f t="array" aca="1" ref="I154" ca="1">HYPERLINK(Common_InputFunctions.Utility_SourceHyperlink($D$128), $D$128)</f>
        <v>M1_Table_VS_j_k_l</v>
      </c>
      <c r="W154" s="102" t="str" cm="1">
        <f t="array" ref="W154:X159">_xlfn.CHOOSECOLS(MMS_PastureBeef_Methane_Equations.VEERG_4_2_1_1__2_MethaneProductionFromManure_Arguments_Method2(), 1, 2)</f>
        <v>VS_jkl</v>
      </c>
      <c r="X154" s="103" t="str">
        <v>volatile solid production</v>
      </c>
      <c r="Y154" s="105"/>
      <c r="Z154" s="102" t="str" cm="1">
        <f t="array" ref="Z154:AA159">_xlfn.CHOOSECOLS(MMS_PastureBeef_Methane_Equations.VEERG_4_2_1_1__2_MethaneProductionFromManure_Arguments_Method2(), 3,4)</f>
        <v>kg/day</v>
      </c>
      <c r="AA154" s="107" t="str">
        <v>Calculated from 4.2.1.1 (3)</v>
      </c>
      <c r="AB154" s="108"/>
    </row>
    <row r="155" spans="3:37" ht="20.100000000000001" customHeight="1" x14ac:dyDescent="0.25">
      <c r="D155" s="102" t="str">
        <v>B_o</v>
      </c>
      <c r="E155" s="103" t="str">
        <v>emissions potential</v>
      </c>
      <c r="F155" s="105"/>
      <c r="G155" s="102" t="str">
        <v>m3 CH4/kg VS</v>
      </c>
      <c r="H155" s="107" t="str">
        <v>Constant</v>
      </c>
      <c r="I155" s="102">
        <f>SourceData_PastureBeef_MethaneEmissionsPotential_Data</f>
        <v>0.19</v>
      </c>
      <c r="W155" s="102" t="str">
        <v>B_o</v>
      </c>
      <c r="X155" s="103" t="str">
        <v>emissions potential</v>
      </c>
      <c r="Y155" s="105"/>
      <c r="Z155" s="102" t="str">
        <v>m3 CH4/kg VS</v>
      </c>
      <c r="AA155" s="107" t="str">
        <v>Constant</v>
      </c>
      <c r="AB155" s="102"/>
    </row>
    <row r="156" spans="3:37" ht="20.100000000000001" customHeight="1" x14ac:dyDescent="0.25">
      <c r="D156" s="102" t="str">
        <v>MMS_m</v>
      </c>
      <c r="E156" s="103" t="str">
        <v>fraction of waste in each manure management system</v>
      </c>
      <c r="F156" s="105"/>
      <c r="G156" s="102" t="str">
        <v>fraction</v>
      </c>
      <c r="H156" s="106" t="str">
        <v>Input</v>
      </c>
      <c r="I156" s="108" t="str" cm="1">
        <f t="array" aca="1" ref="I156" ca="1">HYPERLINK(Common_InputFunctions.Utility_SourceHyperlink($D$162), $D$162)</f>
        <v>Table_MMS_m</v>
      </c>
      <c r="W156" s="102" t="str">
        <v>MMS_m</v>
      </c>
      <c r="X156" s="103" t="str">
        <v>fraction of waste in each manure management system</v>
      </c>
      <c r="Y156" s="105"/>
      <c r="Z156" s="102" t="str">
        <v>fraction</v>
      </c>
      <c r="AA156" s="106" t="str">
        <v>Input</v>
      </c>
      <c r="AB156" s="108"/>
    </row>
    <row r="157" spans="3:37" ht="20.100000000000001" customHeight="1" x14ac:dyDescent="0.25">
      <c r="D157" s="102" t="str">
        <v>MCF_im</v>
      </c>
      <c r="E157" s="103" t="str">
        <v>methane conversion factor for temperature zone and MMS</v>
      </c>
      <c r="F157" s="105"/>
      <c r="G157" s="102" t="str">
        <v>fraction</v>
      </c>
      <c r="H157" s="107" t="str">
        <v>Constant</v>
      </c>
      <c r="I157" s="108" t="str" cm="1">
        <f t="array" aca="1" ref="I157" ca="1">HYPERLINK(Common_InputFunctions.Utility_SourceHyperlink($D$168), $D$168)</f>
        <v>M1_Table_MCF_i_m</v>
      </c>
      <c r="W157" s="102" t="str">
        <v>MCF_im</v>
      </c>
      <c r="X157" s="103" t="str">
        <v>methane conversion factor for temperature zone and MMS</v>
      </c>
      <c r="Y157" s="105"/>
      <c r="Z157" s="102" t="str">
        <v>fraction</v>
      </c>
      <c r="AA157" s="107" t="str">
        <v>Constant</v>
      </c>
      <c r="AB157" s="108"/>
    </row>
    <row r="158" spans="3:37" ht="20.100000000000001" customHeight="1" x14ac:dyDescent="0.25">
      <c r="D158" s="102" t="str">
        <v>rho</v>
      </c>
      <c r="E158" s="103" t="str">
        <v>density of methane</v>
      </c>
      <c r="F158" s="105"/>
      <c r="G158" s="102" t="str">
        <v>kg/m3</v>
      </c>
      <c r="H158" s="107" t="str">
        <v>Constant</v>
      </c>
      <c r="I158" s="102">
        <f>Common_SourceData_DensityOfMethane_Data</f>
        <v>0.6784</v>
      </c>
      <c r="W158" s="102" t="str">
        <v>rho</v>
      </c>
      <c r="X158" s="103" t="str">
        <v>density of methane</v>
      </c>
      <c r="Y158" s="105"/>
      <c r="Z158" s="102" t="str">
        <v>kg/m3</v>
      </c>
      <c r="AA158" s="107" t="str">
        <v>Constant</v>
      </c>
      <c r="AB158" s="102"/>
    </row>
    <row r="159" spans="3:37" ht="20.100000000000001" customHeight="1" x14ac:dyDescent="0.25">
      <c r="D159" s="102" t="str">
        <v>i</v>
      </c>
      <c r="E159" s="103" t="str">
        <v>state</v>
      </c>
      <c r="F159" s="105"/>
      <c r="G159" s="102" t="str">
        <v/>
      </c>
      <c r="H159" s="106" t="str">
        <v>Input</v>
      </c>
      <c r="I159" s="102" t="str">
        <f>X_Cell_Site_State</f>
        <v>Western Australia</v>
      </c>
      <c r="W159" s="102" t="str">
        <v>MAT</v>
      </c>
      <c r="X159" s="103" t="str">
        <v>Mean annual temperature</v>
      </c>
      <c r="Y159" s="105"/>
      <c r="Z159" s="102" t="str">
        <v>°C</v>
      </c>
      <c r="AA159" s="106" t="str">
        <v>Input</v>
      </c>
      <c r="AB159" s="102">
        <f>X_Cell_Site_AverageTemperature</f>
        <v>18</v>
      </c>
    </row>
    <row r="160" spans="3:37" ht="20.100000000000001" customHeight="1" x14ac:dyDescent="0.25">
      <c r="D160" s="102" t="str">
        <v>i</v>
      </c>
      <c r="E160" s="103" t="str">
        <v>region</v>
      </c>
      <c r="F160" s="105"/>
      <c r="G160" s="102" t="str">
        <v/>
      </c>
      <c r="H160" s="106" t="str">
        <v>Input</v>
      </c>
      <c r="I160" s="102" t="str">
        <f>X_Cell_PastureBeef_ProductionRegion</f>
        <v>South West</v>
      </c>
    </row>
    <row r="161" spans="4:34" ht="20.100000000000001" customHeight="1" x14ac:dyDescent="0.25"/>
    <row r="162" spans="4:34" ht="20.100000000000001" customHeight="1" x14ac:dyDescent="0.25">
      <c r="D162" s="109" t="s">
        <v>296</v>
      </c>
    </row>
    <row r="163" spans="4:34" ht="20.100000000000001" customHeight="1" x14ac:dyDescent="0.25">
      <c r="D163" s="110" t="s">
        <v>297</v>
      </c>
    </row>
    <row r="164" spans="4:34" ht="20.100000000000001" customHeight="1" x14ac:dyDescent="0.25">
      <c r="D164" s="111" t="s">
        <v>298</v>
      </c>
      <c r="E164" s="112" t="s">
        <v>299</v>
      </c>
      <c r="F164" s="26" t="s">
        <v>233</v>
      </c>
    </row>
    <row r="165" spans="4:34" ht="20.100000000000001" customHeight="1" x14ac:dyDescent="0.25">
      <c r="D165" s="25" t="str">
        <f>'Input - Pasture Beef'!$D$152</f>
        <v>Pasture range and paddock</v>
      </c>
      <c r="E165" s="25">
        <f>X_Cell_PastureBeef_CalculatedMMSPastureRangeAndPaddock</f>
        <v>0.99621999999999999</v>
      </c>
      <c r="F165" s="26" t="s">
        <v>233</v>
      </c>
    </row>
    <row r="166" spans="4:34" ht="20.100000000000001" customHeight="1" x14ac:dyDescent="0.25">
      <c r="D166" s="25" t="str">
        <f>'Input - Pasture Beef'!$D$153</f>
        <v>Anaerobic lagoon</v>
      </c>
      <c r="E166" s="25">
        <f>X_Cell_PastureBeef_CalculatedMMSAnaerobicLagoon</f>
        <v>3.7799999999999999E-3</v>
      </c>
    </row>
    <row r="167" spans="4:34" ht="20.100000000000001" customHeight="1" x14ac:dyDescent="0.25"/>
    <row r="168" spans="4:34" ht="20.100000000000001" customHeight="1" x14ac:dyDescent="0.25">
      <c r="D168" s="109" t="s">
        <v>300</v>
      </c>
      <c r="W168" s="109" t="s">
        <v>301</v>
      </c>
    </row>
    <row r="169" spans="4:34" ht="20.100000000000001" customHeight="1" x14ac:dyDescent="0.25">
      <c r="D169" s="110" t="s">
        <v>302</v>
      </c>
      <c r="W169" s="110" t="s">
        <v>303</v>
      </c>
    </row>
    <row r="170" spans="4:34" ht="20.100000000000001" customHeight="1" x14ac:dyDescent="0.25">
      <c r="D170" s="111" t="s">
        <v>298</v>
      </c>
      <c r="E170" s="111" t="s">
        <v>304</v>
      </c>
      <c r="W170" s="111" t="s">
        <v>298</v>
      </c>
      <c r="X170" s="111" t="s">
        <v>304</v>
      </c>
    </row>
    <row r="171" spans="4:34" ht="20.100000000000001" customHeight="1" x14ac:dyDescent="0.25">
      <c r="D171" s="25" t="str">
        <f>'Input - Pasture Beef'!$D$152</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Beef'!$D$152</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Beef'!$D$153</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Beef'!$D$153</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09" t="s">
        <v>305</v>
      </c>
      <c r="W174" s="109" t="s">
        <v>306</v>
      </c>
    </row>
    <row r="175" spans="4:34" ht="20.100000000000001" customHeight="1" x14ac:dyDescent="0.25">
      <c r="D175" s="110" t="s">
        <v>307</v>
      </c>
      <c r="W175" s="110" t="s">
        <v>308</v>
      </c>
    </row>
    <row r="176" spans="4:34" ht="20.100000000000001" customHeight="1" x14ac:dyDescent="0.25">
      <c r="D176" s="111" t="s">
        <v>298</v>
      </c>
      <c r="E176" s="111" t="s">
        <v>77</v>
      </c>
      <c r="F176" s="111" t="s">
        <v>211</v>
      </c>
      <c r="G176" s="111" t="s">
        <v>201</v>
      </c>
      <c r="H176" s="111" t="s">
        <v>212</v>
      </c>
      <c r="I176" s="111" t="s">
        <v>213</v>
      </c>
      <c r="J176" s="111" t="s">
        <v>214</v>
      </c>
      <c r="K176" s="111" t="s">
        <v>215</v>
      </c>
      <c r="L176" s="111" t="s">
        <v>216</v>
      </c>
      <c r="M176" s="111" t="s">
        <v>217</v>
      </c>
      <c r="N176" s="111" t="s">
        <v>218</v>
      </c>
      <c r="O176" s="111" t="s">
        <v>219</v>
      </c>
      <c r="W176" s="111" t="s">
        <v>298</v>
      </c>
      <c r="X176" s="111" t="s">
        <v>76</v>
      </c>
      <c r="Y176" s="111" t="s">
        <v>211</v>
      </c>
      <c r="Z176" s="111" t="s">
        <v>201</v>
      </c>
      <c r="AA176" s="111" t="s">
        <v>212</v>
      </c>
      <c r="AB176" s="111" t="s">
        <v>213</v>
      </c>
      <c r="AC176" s="111" t="s">
        <v>214</v>
      </c>
      <c r="AD176" s="111" t="s">
        <v>215</v>
      </c>
      <c r="AE176" s="111" t="s">
        <v>216</v>
      </c>
      <c r="AF176" s="111" t="s">
        <v>217</v>
      </c>
      <c r="AG176" s="111" t="s">
        <v>218</v>
      </c>
      <c r="AH176" s="111" t="s">
        <v>219</v>
      </c>
    </row>
    <row r="177" spans="4:36" ht="20.100000000000001" customHeight="1" x14ac:dyDescent="0.25">
      <c r="D177" s="25" t="str">
        <f>'Input - Pasture Beef'!$D$152</f>
        <v>Pasture range and paddock</v>
      </c>
      <c r="E177" s="25" t="s">
        <v>220</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Beef'!$D$152</f>
        <v>Pasture range and paddock</v>
      </c>
      <c r="X177" s="25" t="str">
        <f t="shared" ref="X177:X188" si="7">W131</f>
        <v>January</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2.1609849564283527E-3</v>
      </c>
      <c r="AC177" s="25" cm="1">
        <f t="array" aca="1" ref="AC177" ca="1">MMS_PastureBeef_Methane_Equations.VEERG_4_2_1_1__2_MethaneProductionFromManure(AB131,$I$155,$E$165,$X$171,$I$158)</f>
        <v>2.139639521596127E-3</v>
      </c>
      <c r="AD177" s="25" cm="1">
        <f t="array" aca="1" ref="AD177" ca="1">MMS_PastureBeef_Methane_Equations.VEERG_4_2_1_1__2_MethaneProductionFromManure(AC131,$I$155,$E$165,$X$171,$I$158)</f>
        <v>2.139639521596127E-3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Beef'!$D$152</f>
        <v>Pasture range and paddock</v>
      </c>
      <c r="E178" s="25" t="s">
        <v>221</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Beef'!$D$152</f>
        <v>Pasture range and paddock</v>
      </c>
      <c r="X178" s="25" t="str">
        <f t="shared" si="7"/>
        <v>February</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Beef'!$D$152</f>
        <v>Pasture range and paddock</v>
      </c>
      <c r="E179" s="25" t="s">
        <v>222</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Beef'!$D$152</f>
        <v>Pasture range and paddock</v>
      </c>
      <c r="X179" s="25" t="str">
        <f t="shared" si="7"/>
        <v>March</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Beef'!$D$152</f>
        <v>Pasture range and paddock</v>
      </c>
      <c r="E180" s="25" t="s">
        <v>223</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Beef'!$D$152</f>
        <v>Pasture range and paddock</v>
      </c>
      <c r="X180" s="25" t="str">
        <f t="shared" si="7"/>
        <v>April</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Beef'!$D$153</f>
        <v>Anaerobic lagoon</v>
      </c>
      <c r="E181" s="25" t="s">
        <v>220</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Beef'!$D$152</f>
        <v>Pasture range and paddock</v>
      </c>
      <c r="X181" s="25" t="str">
        <f t="shared" si="7"/>
        <v>May</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Beef'!$D$153</f>
        <v>Anaerobic lagoon</v>
      </c>
      <c r="E182" s="25" t="s">
        <v>221</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Beef'!$D$152</f>
        <v>Pasture range and paddock</v>
      </c>
      <c r="X182" s="25" t="str">
        <f t="shared" si="7"/>
        <v>June</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Beef'!$D$153</f>
        <v>Anaerobic lagoon</v>
      </c>
      <c r="E183" s="25" t="s">
        <v>222</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Beef'!$D$152</f>
        <v>Pasture range and paddock</v>
      </c>
      <c r="X183" s="25" t="str">
        <f t="shared" si="7"/>
        <v>July</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Beef'!$D$153</f>
        <v>Anaerobic lagoon</v>
      </c>
      <c r="E184" s="25" t="s">
        <v>223</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Beef'!$D$152</f>
        <v>Pasture range and paddock</v>
      </c>
      <c r="X184" s="25" t="str">
        <f t="shared" si="7"/>
        <v>August</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1.169254223844943E-3</v>
      </c>
      <c r="AC184" s="25" cm="1">
        <f t="array" aca="1" ref="AC184" ca="1">MMS_PastureBeef_Methane_Equations.VEERG_4_2_1_1__2_MethaneProductionFromManure(AB138,$I$155,$E$165,$X$171,$I$158)</f>
        <v>1.568590588559715E-3</v>
      </c>
      <c r="AD184" s="25" cm="1">
        <f t="array" aca="1" ref="AD184" ca="1">MMS_PastureBeef_Methane_Equations.VEERG_4_2_1_1__2_MethaneProductionFromManure(AC138,$I$155,$E$165,$X$171,$I$158)</f>
        <v>1.568590588559715E-3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Beef'!$D$152</f>
        <v>Pasture range and paddock</v>
      </c>
      <c r="X185" s="25" t="str">
        <f t="shared" si="7"/>
        <v>September</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1.4157978870077558E-3</v>
      </c>
      <c r="AC185" s="25" cm="1">
        <f t="array" aca="1" ref="AC185" ca="1">MMS_PastureBeef_Methane_Equations.VEERG_4_2_1_1__2_MethaneProductionFromManure(AB139,$I$155,$E$165,$X$171,$I$158)</f>
        <v>1.5721834629166926E-3</v>
      </c>
      <c r="AD185" s="25" cm="1">
        <f t="array" aca="1" ref="AD185" ca="1">MMS_PastureBeef_Methane_Equations.VEERG_4_2_1_1__2_MethaneProductionFromManure(AC139,$I$155,$E$165,$X$171,$I$158)</f>
        <v>1.5721834629166926E-3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Beef'!$D$152</f>
        <v>Pasture range and paddock</v>
      </c>
      <c r="X186" s="25" t="str">
        <f t="shared" si="7"/>
        <v>October</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1.4157978870077558E-3</v>
      </c>
      <c r="AC186" s="25" cm="1">
        <f t="array" aca="1" ref="AC186" ca="1">MMS_PastureBeef_Methane_Equations.VEERG_4_2_1_1__2_MethaneProductionFromManure(AB140,$I$155,$E$165,$X$171,$I$158)</f>
        <v>1.5721834629166926E-3</v>
      </c>
      <c r="AD186" s="25" cm="1">
        <f t="array" aca="1" ref="AD186" ca="1">MMS_PastureBeef_Methane_Equations.VEERG_4_2_1_1__2_MethaneProductionFromManure(AC140,$I$155,$E$165,$X$171,$I$158)</f>
        <v>1.5721834629166926E-3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Beef'!$D$152</f>
        <v>Pasture range and paddock</v>
      </c>
      <c r="X187" s="25" t="str">
        <f t="shared" si="7"/>
        <v>November</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1.2424348804353775E-3</v>
      </c>
      <c r="AC187" s="25" cm="1">
        <f t="array" aca="1" ref="AC187" ca="1">MMS_PastureBeef_Methane_Equations.VEERG_4_2_1_1__2_MethaneProductionFromManure(AB141,$I$155,$E$165,$X$171,$I$158)</f>
        <v>1.3796712021513829E-3</v>
      </c>
      <c r="AD187" s="25" cm="1">
        <f t="array" aca="1" ref="AD187" ca="1">MMS_PastureBeef_Methane_Equations.VEERG_4_2_1_1__2_MethaneProductionFromManure(AC141,$I$155,$E$165,$X$171,$I$158)</f>
        <v>1.3796712021513829E-3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Beef'!$D$152</f>
        <v>Pasture range and paddock</v>
      </c>
      <c r="X188" s="25" t="str">
        <f t="shared" si="7"/>
        <v>December</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2.1609849564283527E-3</v>
      </c>
      <c r="AC188" s="25" cm="1">
        <f t="array" aca="1" ref="AC188" ca="1">MMS_PastureBeef_Methane_Equations.VEERG_4_2_1_1__2_MethaneProductionFromManure(AB142,$I$155,$E$165,$X$171,$I$158)</f>
        <v>2.139639521596127E-3</v>
      </c>
      <c r="AD188" s="25" cm="1">
        <f t="array" aca="1" ref="AD188" ca="1">MMS_PastureBeef_Methane_Equations.VEERG_4_2_1_1__2_MethaneProductionFromManure(AC142,$I$155,$E$165,$X$171,$I$158)</f>
        <v>2.139639521596127E-3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Beef'!$D$153</f>
        <v>Anaerobic lagoon</v>
      </c>
      <c r="X189" s="25" t="str">
        <f>W131</f>
        <v>January</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1.3433251764393584E-3</v>
      </c>
      <c r="AC189" s="25" cm="1">
        <f t="array" aca="1" ref="AC189" ca="1">MMS_PastureBeef_Methane_Equations.VEERG_4_2_1_1__2_MethaneProductionFromManure(AB131,$I$155,$E$166,$X$172,$I$158)</f>
        <v>1.3300562918379748E-3</v>
      </c>
      <c r="AD189" s="25" cm="1">
        <f t="array" aca="1" ref="AD189" ca="1">MMS_PastureBeef_Methane_Equations.VEERG_4_2_1_1__2_MethaneProductionFromManure(AC131,$I$155,$E$166,$X$172,$I$158)</f>
        <v>1.3300562918379748E-3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Beef'!$D$153</f>
        <v>Anaerobic lagoon</v>
      </c>
      <c r="X190" s="25" t="str">
        <f t="shared" ref="X190:X200" si="9">W132</f>
        <v>February</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Beef'!$D$153</f>
        <v>Anaerobic lagoon</v>
      </c>
      <c r="X191" s="25" t="str">
        <f t="shared" si="9"/>
        <v>March</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Beef'!$D$153</f>
        <v>Anaerobic lagoon</v>
      </c>
      <c r="X192" s="25" t="str">
        <f t="shared" si="9"/>
        <v>April</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Beef'!$D$153</f>
        <v>Anaerobic lagoon</v>
      </c>
      <c r="X193" s="25" t="str">
        <f t="shared" si="9"/>
        <v>May</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Beef'!$D$153</f>
        <v>Anaerobic lagoon</v>
      </c>
      <c r="X194" s="25" t="str">
        <f t="shared" si="9"/>
        <v>June</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Beef'!$D$153</f>
        <v>Anaerobic lagoon</v>
      </c>
      <c r="X195" s="25" t="str">
        <f t="shared" si="9"/>
        <v>July</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Beef'!$D$153</f>
        <v>Anaerobic lagoon</v>
      </c>
      <c r="X196" s="25" t="str">
        <f t="shared" si="9"/>
        <v>August</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7.2683922758304937E-4</v>
      </c>
      <c r="AC196" s="25" cm="1">
        <f t="array" aca="1" ref="AC196" ca="1">MMS_PastureBeef_Methane_Equations.VEERG_4_2_1_1__2_MethaneProductionFromManure(AB138,$I$155,$E$166,$X$172,$I$158)</f>
        <v>9.75077231736369E-4</v>
      </c>
      <c r="AD196" s="25" cm="1">
        <f t="array" aca="1" ref="AD196" ca="1">MMS_PastureBeef_Methane_Equations.VEERG_4_2_1_1__2_MethaneProductionFromManure(AC138,$I$155,$E$166,$X$172,$I$158)</f>
        <v>9.75077231736369E-4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Beef'!$D$153</f>
        <v>Anaerobic lagoon</v>
      </c>
      <c r="X197" s="25" t="str">
        <f t="shared" si="9"/>
        <v>September</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8.8009726338426778E-4</v>
      </c>
      <c r="AC197" s="25" cm="1">
        <f t="array" aca="1" ref="AC197" ca="1">MMS_PastureBeef_Methane_Equations.VEERG_4_2_1_1__2_MethaneProductionFromManure(AB139,$I$155,$E$166,$X$172,$I$158)</f>
        <v>9.7731065708491415E-4</v>
      </c>
      <c r="AD197" s="25" cm="1">
        <f t="array" aca="1" ref="AD197" ca="1">MMS_PastureBeef_Methane_Equations.VEERG_4_2_1_1__2_MethaneProductionFromManure(AC139,$I$155,$E$166,$X$172,$I$158)</f>
        <v>9.7731065708491415E-4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Beef'!$D$153</f>
        <v>Anaerobic lagoon</v>
      </c>
      <c r="X198" s="25" t="str">
        <f t="shared" si="9"/>
        <v>October</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8.8009726338426778E-4</v>
      </c>
      <c r="AC198" s="25" cm="1">
        <f t="array" aca="1" ref="AC198" ca="1">MMS_PastureBeef_Methane_Equations.VEERG_4_2_1_1__2_MethaneProductionFromManure(AB140,$I$155,$E$166,$X$172,$I$158)</f>
        <v>9.7731065708491415E-4</v>
      </c>
      <c r="AD198" s="25" cm="1">
        <f t="array" aca="1" ref="AD198" ca="1">MMS_PastureBeef_Methane_Equations.VEERG_4_2_1_1__2_MethaneProductionFromManure(AC140,$I$155,$E$166,$X$172,$I$158)</f>
        <v>9.7731065708491415E-4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Beef'!$D$153</f>
        <v>Anaerobic lagoon</v>
      </c>
      <c r="X199" s="25" t="str">
        <f t="shared" si="9"/>
        <v>November</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7.7233025154129636E-4</v>
      </c>
      <c r="AC199" s="25" cm="1">
        <f t="array" aca="1" ref="AC199" ca="1">MMS_PastureBeef_Methane_Equations.VEERG_4_2_1_1__2_MethaneProductionFromManure(AB141,$I$155,$E$166,$X$172,$I$158)</f>
        <v>8.576399643806386E-4</v>
      </c>
      <c r="AD199" s="25" cm="1">
        <f t="array" aca="1" ref="AD199" ca="1">MMS_PastureBeef_Methane_Equations.VEERG_4_2_1_1__2_MethaneProductionFromManure(AC141,$I$155,$E$166,$X$172,$I$158)</f>
        <v>8.576399643806386E-4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Beef'!$D$153</f>
        <v>Anaerobic lagoon</v>
      </c>
      <c r="X200" s="25" t="str">
        <f t="shared" si="9"/>
        <v>December</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1.3433251764393584E-3</v>
      </c>
      <c r="AC200" s="25" cm="1">
        <f t="array" aca="1" ref="AC200" ca="1">MMS_PastureBeef_Methane_Equations.VEERG_4_2_1_1__2_MethaneProductionFromManure(AB142,$I$155,$E$166,$X$172,$I$158)</f>
        <v>1.3300562918379748E-3</v>
      </c>
      <c r="AD200" s="25" cm="1">
        <f t="array" aca="1" ref="AD200" ca="1">MMS_PastureBeef_Methane_Equations.VEERG_4_2_1_1__2_MethaneProductionFromManure(AC142,$I$155,$E$166,$X$172,$I$158)</f>
        <v>1.3300562918379748E-3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4"/>
      <c r="D203" s="114"/>
      <c r="E203" s="114"/>
      <c r="F203" s="114"/>
      <c r="G203" s="114"/>
      <c r="H203" s="114"/>
      <c r="I203" s="114"/>
      <c r="J203" s="114"/>
      <c r="K203" s="114"/>
      <c r="L203" s="114"/>
      <c r="M203" s="114"/>
      <c r="N203" s="114"/>
      <c r="O203" s="114"/>
      <c r="P203" s="114"/>
      <c r="Q203" s="114"/>
      <c r="R203" s="114"/>
      <c r="S203" s="114"/>
      <c r="T203" s="114"/>
      <c r="V203" s="114"/>
      <c r="W203" s="114"/>
      <c r="X203" s="114"/>
      <c r="Y203" s="114"/>
      <c r="Z203" s="114"/>
      <c r="AA203" s="114"/>
      <c r="AB203" s="114"/>
      <c r="AC203" s="114"/>
      <c r="AD203" s="114"/>
      <c r="AE203" s="114"/>
      <c r="AF203" s="114"/>
      <c r="AG203" s="114"/>
      <c r="AH203" s="114"/>
      <c r="AI203" s="114"/>
      <c r="AJ203" s="114"/>
      <c r="AK203" s="114"/>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0" t="s">
        <v>259</v>
      </c>
      <c r="E206" s="100"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261</v>
      </c>
      <c r="E209" s="1" t="str" cm="1">
        <f t="array" ref="E209">MMS_PastureBeef_Methane_Equations.VEERG_4_2_1_1__1_TotalAnnualMethaneProductionFromManureManagement_Variable()</f>
        <v>E_CH4</v>
      </c>
    </row>
    <row r="210" spans="4:34" ht="20.100000000000001" customHeight="1" x14ac:dyDescent="0.25">
      <c r="D210" s="88" t="s">
        <v>131</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2" t="str" cm="1">
        <f t="array" ref="D212:E214">_xlfn.CHOOSECOLS(MMS_PastureBeef_Methane_Equations.VEERG_4_2_1_1__1_TotalAnnualMethaneProductionFromManureManagement_Arguments(), 1, 2)</f>
        <v>N_jkl</v>
      </c>
      <c r="E212" s="103" t="str">
        <v>number of beef cattle in each time-period, class and subclass</v>
      </c>
      <c r="F212" s="105"/>
      <c r="G212" s="102" t="str" cm="1">
        <f t="array" ref="G212:H214">_xlfn.CHOOSECOLS(MMS_PastureBeef_Methane_Equations.VEERG_4_2_1_1__1_TotalAnnualMethaneProductionFromManureManagement_Arguments(), 3,4)</f>
        <v>head</v>
      </c>
      <c r="H212" s="106" t="str">
        <v>Input</v>
      </c>
      <c r="I212" s="108" t="str" cm="1">
        <f t="array" aca="1" ref="I212" ca="1">HYPERLINK(Common_InputFunctions.Utility_SourceHyperlink($D$216), $D$216)</f>
        <v>M1_Table_N_j_k_l</v>
      </c>
    </row>
    <row r="213" spans="4:34" ht="20.100000000000001" customHeight="1" x14ac:dyDescent="0.25">
      <c r="D213" s="102" t="str">
        <v>M_jklm</v>
      </c>
      <c r="E213" s="103" t="str">
        <v>methane production from manure in each time-period, class, subclass and MMS</v>
      </c>
      <c r="F213" s="105"/>
      <c r="G213" s="102" t="str">
        <v>kg/head/day</v>
      </c>
      <c r="H213" s="107" t="str">
        <v>Calculated from 4.2.1.1 (2)</v>
      </c>
      <c r="I213" s="108" t="str" cm="1">
        <f t="array" aca="1" ref="I213" ca="1">HYPERLINK(Common_InputFunctions.Utility_SourceHyperlink($D$174), $D$174)</f>
        <v>M1_Table_M_j_k_l_m</v>
      </c>
    </row>
    <row r="214" spans="4:34" ht="20.100000000000001" customHeight="1" x14ac:dyDescent="0.25">
      <c r="D214" s="102" t="str">
        <v>D_j</v>
      </c>
      <c r="E214" s="103" t="str">
        <v>number of days in each time-period for each input class</v>
      </c>
      <c r="F214" s="105"/>
      <c r="G214" s="102" t="str">
        <v>days</v>
      </c>
      <c r="H214" s="106" t="str">
        <v>Input</v>
      </c>
      <c r="I214" s="108" t="str" cm="1">
        <f t="array" aca="1" ref="I214" ca="1">HYPERLINK(Common_InputFunctions.Utility_SourceHyperlink($D$224), $D$224)</f>
        <v>M1_Table_D_j</v>
      </c>
    </row>
    <row r="215" spans="4:34" ht="20.100000000000001" customHeight="1" x14ac:dyDescent="0.25"/>
    <row r="216" spans="4:34" ht="20.100000000000001" customHeight="1" x14ac:dyDescent="0.25">
      <c r="D216" s="109" t="s">
        <v>309</v>
      </c>
      <c r="W216" s="109" t="s">
        <v>310</v>
      </c>
    </row>
    <row r="217" spans="4:34" ht="20.100000000000001" customHeight="1" x14ac:dyDescent="0.25">
      <c r="D217" s="110" t="s">
        <v>311</v>
      </c>
      <c r="W217" s="110" t="s">
        <v>312</v>
      </c>
    </row>
    <row r="218" spans="4:34" ht="20.100000000000001" customHeight="1" x14ac:dyDescent="0.25">
      <c r="D218" s="111" t="s">
        <v>77</v>
      </c>
      <c r="E218" s="112" t="s">
        <v>211</v>
      </c>
      <c r="F218" s="112" t="s">
        <v>201</v>
      </c>
      <c r="G218" s="112" t="s">
        <v>212</v>
      </c>
      <c r="H218" s="112" t="s">
        <v>213</v>
      </c>
      <c r="I218" s="112" t="s">
        <v>214</v>
      </c>
      <c r="J218" s="112" t="s">
        <v>215</v>
      </c>
      <c r="K218" s="112" t="s">
        <v>216</v>
      </c>
      <c r="L218" s="112" t="s">
        <v>217</v>
      </c>
      <c r="M218" s="112" t="s">
        <v>218</v>
      </c>
      <c r="N218" s="112" t="s">
        <v>219</v>
      </c>
      <c r="W218" s="111" t="s">
        <v>76</v>
      </c>
      <c r="X218" s="112" t="s">
        <v>211</v>
      </c>
      <c r="Y218" s="112" t="s">
        <v>201</v>
      </c>
      <c r="Z218" s="112" t="s">
        <v>212</v>
      </c>
      <c r="AA218" s="112" t="s">
        <v>213</v>
      </c>
      <c r="AB218" s="112" t="s">
        <v>214</v>
      </c>
      <c r="AC218" s="112" t="s">
        <v>215</v>
      </c>
      <c r="AD218" s="112" t="s">
        <v>216</v>
      </c>
      <c r="AE218" s="112" t="s">
        <v>217</v>
      </c>
      <c r="AF218" s="112" t="s">
        <v>218</v>
      </c>
      <c r="AG218" s="112" t="s">
        <v>219</v>
      </c>
      <c r="AH218" s="26"/>
    </row>
    <row r="219" spans="4:34" ht="20.100000000000001" customHeight="1" x14ac:dyDescent="0.25">
      <c r="D219" s="25" t="s">
        <v>220</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313</v>
      </c>
      <c r="W219" s="25" t="str">
        <f>TEXT(X_Cell_Site_StartDate,"mmmm")</f>
        <v>January</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225</v>
      </c>
    </row>
    <row r="220" spans="4:34" ht="20.100000000000001" customHeight="1" x14ac:dyDescent="0.25">
      <c r="D220" s="25" t="s">
        <v>221</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313</v>
      </c>
      <c r="W220" s="25" t="str">
        <f>TEXT(EDATE(X_Cell_Site_StartDate,1), "mmmm")</f>
        <v>February</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225</v>
      </c>
    </row>
    <row r="221" spans="4:34" ht="20.100000000000001" customHeight="1" x14ac:dyDescent="0.25">
      <c r="D221" s="25" t="s">
        <v>222</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313</v>
      </c>
      <c r="W221" s="25" t="str">
        <f>TEXT(EDATE(X_Cell_Site_StartDate,2), "mmmm")</f>
        <v>March</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225</v>
      </c>
    </row>
    <row r="222" spans="4:34" ht="20.100000000000001" customHeight="1" x14ac:dyDescent="0.25">
      <c r="D222" s="25" t="s">
        <v>223</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313</v>
      </c>
      <c r="W222" s="25" t="str">
        <f>TEXT(EDATE(X_Cell_Site_StartDate,3), "mmmm")</f>
        <v>April</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225</v>
      </c>
    </row>
    <row r="223" spans="4:34" ht="20.100000000000001" customHeight="1" x14ac:dyDescent="0.25">
      <c r="W223" s="25" t="str">
        <f>TEXT(EDATE(X_Cell_Site_StartDate,4), "mmmm")</f>
        <v>May</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225</v>
      </c>
    </row>
    <row r="224" spans="4:34" ht="20.100000000000001" customHeight="1" x14ac:dyDescent="0.25">
      <c r="D224" s="109" t="s">
        <v>314</v>
      </c>
      <c r="W224" s="25" t="str">
        <f>TEXT(EDATE(X_Cell_Site_StartDate,5), "mmmm")</f>
        <v>June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225</v>
      </c>
    </row>
    <row r="225" spans="4:34" ht="20.100000000000001" customHeight="1" x14ac:dyDescent="0.25">
      <c r="D225" s="110" t="s">
        <v>315</v>
      </c>
      <c r="W225" s="25" t="str">
        <f>TEXT(EDATE(X_Cell_Site_StartDate,6), "mmmm")</f>
        <v>July</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225</v>
      </c>
    </row>
    <row r="226" spans="4:34" ht="20.100000000000001" customHeight="1" x14ac:dyDescent="0.25">
      <c r="D226" s="111" t="s">
        <v>77</v>
      </c>
      <c r="E226" s="112" t="s">
        <v>211</v>
      </c>
      <c r="F226" s="112" t="s">
        <v>201</v>
      </c>
      <c r="G226" s="112" t="s">
        <v>212</v>
      </c>
      <c r="H226" s="112" t="s">
        <v>213</v>
      </c>
      <c r="I226" s="112" t="s">
        <v>214</v>
      </c>
      <c r="J226" s="112" t="s">
        <v>215</v>
      </c>
      <c r="K226" s="112" t="s">
        <v>216</v>
      </c>
      <c r="L226" s="112" t="s">
        <v>217</v>
      </c>
      <c r="M226" s="112" t="s">
        <v>218</v>
      </c>
      <c r="N226" s="112" t="s">
        <v>219</v>
      </c>
      <c r="W226" s="25" t="str">
        <f>TEXT(EDATE(X_Cell_Site_StartDate,7), "mmmm")</f>
        <v>August</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225</v>
      </c>
    </row>
    <row r="227" spans="4:34" ht="20.100000000000001" customHeight="1" x14ac:dyDescent="0.25">
      <c r="D227" s="25" t="s">
        <v>220</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316</v>
      </c>
      <c r="W227" s="25" t="str">
        <f>TEXT(EDATE(X_Cell_Site_StartDate,8), "mmmm")</f>
        <v>September</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225</v>
      </c>
    </row>
    <row r="228" spans="4:34" ht="20.100000000000001" customHeight="1" x14ac:dyDescent="0.25">
      <c r="D228" s="25" t="s">
        <v>221</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316</v>
      </c>
      <c r="W228" s="25" t="str">
        <f>TEXT(EDATE(X_Cell_Site_StartDate,9), "mmmm")</f>
        <v>October</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225</v>
      </c>
    </row>
    <row r="229" spans="4:34" ht="20.100000000000001" customHeight="1" x14ac:dyDescent="0.25">
      <c r="D229" s="25" t="s">
        <v>222</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316</v>
      </c>
      <c r="W229" s="25" t="str">
        <f>TEXT(EDATE(X_Cell_Site_StartDate,10), "mmmm")</f>
        <v>November</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225</v>
      </c>
    </row>
    <row r="230" spans="4:34" ht="20.100000000000001" customHeight="1" x14ac:dyDescent="0.25">
      <c r="D230" s="25" t="s">
        <v>223</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316</v>
      </c>
      <c r="W230" s="25" t="str">
        <f>TEXT(EDATE(X_Cell_Site_StartDate,11), "mmmm")</f>
        <v>December</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225</v>
      </c>
    </row>
    <row r="231" spans="4:34" ht="20.100000000000001" customHeight="1" x14ac:dyDescent="0.25"/>
    <row r="232" spans="4:34" ht="20.100000000000001" customHeight="1" x14ac:dyDescent="0.25">
      <c r="D232" s="109" t="s">
        <v>317</v>
      </c>
      <c r="W232" s="109" t="s">
        <v>318</v>
      </c>
    </row>
    <row r="233" spans="4:34" ht="20.100000000000001" customHeight="1" x14ac:dyDescent="0.25">
      <c r="D233" s="110" t="s">
        <v>319</v>
      </c>
      <c r="W233" s="110" t="s">
        <v>320</v>
      </c>
    </row>
    <row r="234" spans="4:34" ht="20.100000000000001" customHeight="1" x14ac:dyDescent="0.25">
      <c r="D234" s="111" t="s">
        <v>298</v>
      </c>
      <c r="E234" s="111" t="s">
        <v>77</v>
      </c>
      <c r="F234" s="111" t="s">
        <v>211</v>
      </c>
      <c r="G234" s="111" t="s">
        <v>201</v>
      </c>
      <c r="H234" s="111" t="s">
        <v>212</v>
      </c>
      <c r="I234" s="111" t="s">
        <v>213</v>
      </c>
      <c r="J234" s="111" t="s">
        <v>214</v>
      </c>
      <c r="K234" s="111" t="s">
        <v>215</v>
      </c>
      <c r="L234" s="111" t="s">
        <v>216</v>
      </c>
      <c r="M234" s="111" t="s">
        <v>217</v>
      </c>
      <c r="N234" s="111" t="s">
        <v>218</v>
      </c>
      <c r="O234" s="111" t="s">
        <v>219</v>
      </c>
      <c r="W234" s="111" t="s">
        <v>76</v>
      </c>
      <c r="X234" s="112" t="s">
        <v>211</v>
      </c>
      <c r="Y234" s="112" t="s">
        <v>201</v>
      </c>
      <c r="Z234" s="112" t="s">
        <v>212</v>
      </c>
      <c r="AA234" s="112" t="s">
        <v>213</v>
      </c>
      <c r="AB234" s="112" t="s">
        <v>214</v>
      </c>
      <c r="AC234" s="112" t="s">
        <v>215</v>
      </c>
      <c r="AD234" s="112" t="s">
        <v>216</v>
      </c>
      <c r="AE234" s="112" t="s">
        <v>217</v>
      </c>
      <c r="AF234" s="112" t="s">
        <v>218</v>
      </c>
      <c r="AG234" s="112" t="s">
        <v>219</v>
      </c>
      <c r="AH234" s="26"/>
    </row>
    <row r="235" spans="4:34" ht="20.100000000000001" customHeight="1" x14ac:dyDescent="0.25">
      <c r="D235" s="25" t="str">
        <f>'Input - Pasture Beef'!$D$152</f>
        <v>Pasture range and paddock</v>
      </c>
      <c r="E235" s="25" t="s">
        <v>220</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TEXT(X_Cell_Site_StartDate,"mmmm")</f>
        <v>January</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316</v>
      </c>
    </row>
    <row r="236" spans="4:34" ht="20.100000000000001" customHeight="1" x14ac:dyDescent="0.25">
      <c r="D236" s="25" t="str">
        <f>'Input - Pasture Beef'!$D$152</f>
        <v>Pasture range and paddock</v>
      </c>
      <c r="E236" s="25" t="s">
        <v>221</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str">
        <f>TEXT(EDATE(X_Cell_Site_StartDate,1), "mmmm")</f>
        <v>February</v>
      </c>
      <c r="X236" s="25">
        <f ca="1"/>
        <v>29</v>
      </c>
      <c r="Y236" s="25">
        <f ca="1"/>
        <v>29</v>
      </c>
      <c r="Z236" s="25">
        <f ca="1"/>
        <v>29</v>
      </c>
      <c r="AA236" s="25">
        <f ca="1"/>
        <v>29</v>
      </c>
      <c r="AB236" s="25">
        <f ca="1"/>
        <v>29</v>
      </c>
      <c r="AC236" s="25">
        <f ca="1"/>
        <v>29</v>
      </c>
      <c r="AD236" s="25">
        <f ca="1"/>
        <v>29</v>
      </c>
      <c r="AE236" s="25">
        <f ca="1"/>
        <v>29</v>
      </c>
      <c r="AF236" s="25">
        <f ca="1"/>
        <v>29</v>
      </c>
      <c r="AG236" s="25">
        <f ca="1"/>
        <v>29</v>
      </c>
      <c r="AH236" s="26" t="s">
        <v>316</v>
      </c>
    </row>
    <row r="237" spans="4:34" ht="20.100000000000001" customHeight="1" x14ac:dyDescent="0.25">
      <c r="D237" s="25" t="str">
        <f>'Input - Pasture Beef'!$D$152</f>
        <v>Pasture range and paddock</v>
      </c>
      <c r="E237" s="25" t="s">
        <v>222</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str">
        <f>TEXT(EDATE(X_Cell_Site_StartDate,2), "mmmm")</f>
        <v>March</v>
      </c>
      <c r="X237" s="25">
        <f ca="1"/>
        <v>31</v>
      </c>
      <c r="Y237" s="25">
        <f ca="1"/>
        <v>31</v>
      </c>
      <c r="Z237" s="25">
        <f ca="1"/>
        <v>31</v>
      </c>
      <c r="AA237" s="25">
        <f ca="1"/>
        <v>31</v>
      </c>
      <c r="AB237" s="25">
        <f ca="1"/>
        <v>31</v>
      </c>
      <c r="AC237" s="25">
        <f ca="1"/>
        <v>31</v>
      </c>
      <c r="AD237" s="25">
        <f ca="1"/>
        <v>31</v>
      </c>
      <c r="AE237" s="25">
        <f ca="1"/>
        <v>31</v>
      </c>
      <c r="AF237" s="25">
        <f ca="1"/>
        <v>31</v>
      </c>
      <c r="AG237" s="25">
        <f ca="1"/>
        <v>31</v>
      </c>
      <c r="AH237" s="26" t="s">
        <v>316</v>
      </c>
    </row>
    <row r="238" spans="4:34" ht="20.100000000000001" customHeight="1" x14ac:dyDescent="0.25">
      <c r="D238" s="25" t="str">
        <f>'Input - Pasture Beef'!$D$152</f>
        <v>Pasture range and paddock</v>
      </c>
      <c r="E238" s="25" t="s">
        <v>223</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str">
        <f>TEXT(EDATE(X_Cell_Site_StartDate,3), "mmmm")</f>
        <v>April</v>
      </c>
      <c r="X238" s="25">
        <f ca="1"/>
        <v>30</v>
      </c>
      <c r="Y238" s="25">
        <f ca="1"/>
        <v>30</v>
      </c>
      <c r="Z238" s="25">
        <f ca="1"/>
        <v>30</v>
      </c>
      <c r="AA238" s="25">
        <f ca="1"/>
        <v>30</v>
      </c>
      <c r="AB238" s="25">
        <f ca="1"/>
        <v>30</v>
      </c>
      <c r="AC238" s="25">
        <f ca="1"/>
        <v>30</v>
      </c>
      <c r="AD238" s="25">
        <f ca="1"/>
        <v>30</v>
      </c>
      <c r="AE238" s="25">
        <f ca="1"/>
        <v>30</v>
      </c>
      <c r="AF238" s="25">
        <f ca="1"/>
        <v>30</v>
      </c>
      <c r="AG238" s="25">
        <f ca="1"/>
        <v>30</v>
      </c>
      <c r="AH238" s="26" t="s">
        <v>316</v>
      </c>
    </row>
    <row r="239" spans="4:34" ht="20.100000000000001" customHeight="1" x14ac:dyDescent="0.25">
      <c r="D239" s="25" t="str">
        <f>'Input - Pasture Beef'!$D$153</f>
        <v>Anaerobic lagoon</v>
      </c>
      <c r="E239" s="25" t="s">
        <v>220</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str">
        <f>TEXT(EDATE(X_Cell_Site_StartDate,4), "mmmm")</f>
        <v>May</v>
      </c>
      <c r="X239" s="25">
        <f ca="1"/>
        <v>31</v>
      </c>
      <c r="Y239" s="25">
        <f ca="1"/>
        <v>31</v>
      </c>
      <c r="Z239" s="25">
        <f ca="1"/>
        <v>31</v>
      </c>
      <c r="AA239" s="25">
        <f ca="1"/>
        <v>31</v>
      </c>
      <c r="AB239" s="25">
        <f ca="1"/>
        <v>31</v>
      </c>
      <c r="AC239" s="25">
        <f ca="1"/>
        <v>31</v>
      </c>
      <c r="AD239" s="25">
        <f ca="1"/>
        <v>31</v>
      </c>
      <c r="AE239" s="25">
        <f ca="1"/>
        <v>31</v>
      </c>
      <c r="AF239" s="25">
        <f ca="1"/>
        <v>31</v>
      </c>
      <c r="AG239" s="25">
        <f ca="1"/>
        <v>31</v>
      </c>
      <c r="AH239" s="26" t="s">
        <v>316</v>
      </c>
    </row>
    <row r="240" spans="4:34" ht="20.100000000000001" customHeight="1" x14ac:dyDescent="0.25">
      <c r="D240" s="25" t="str">
        <f>'Input - Pasture Beef'!$D$153</f>
        <v>Anaerobic lagoon</v>
      </c>
      <c r="E240" s="25" t="s">
        <v>221</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str">
        <f>TEXT(EDATE(X_Cell_Site_StartDate,5), "mmmm")</f>
        <v>June</v>
      </c>
      <c r="X240" s="25">
        <f ca="1"/>
        <v>30</v>
      </c>
      <c r="Y240" s="25">
        <f ca="1"/>
        <v>30</v>
      </c>
      <c r="Z240" s="25">
        <f ca="1"/>
        <v>30</v>
      </c>
      <c r="AA240" s="25">
        <f ca="1"/>
        <v>30</v>
      </c>
      <c r="AB240" s="25">
        <f ca="1"/>
        <v>30</v>
      </c>
      <c r="AC240" s="25">
        <f ca="1"/>
        <v>30</v>
      </c>
      <c r="AD240" s="25">
        <f ca="1"/>
        <v>30</v>
      </c>
      <c r="AE240" s="25">
        <f ca="1"/>
        <v>30</v>
      </c>
      <c r="AF240" s="25">
        <f ca="1"/>
        <v>30</v>
      </c>
      <c r="AG240" s="25">
        <f ca="1"/>
        <v>30</v>
      </c>
      <c r="AH240" s="26" t="s">
        <v>316</v>
      </c>
    </row>
    <row r="241" spans="4:36" ht="20.100000000000001" customHeight="1" x14ac:dyDescent="0.25">
      <c r="D241" s="25" t="str">
        <f>'Input - Pasture Beef'!$D$153</f>
        <v>Anaerobic lagoon</v>
      </c>
      <c r="E241" s="25" t="s">
        <v>222</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str">
        <f>TEXT(EDATE(X_Cell_Site_StartDate,6), "mmmm")</f>
        <v>July</v>
      </c>
      <c r="X241" s="25">
        <f ca="1"/>
        <v>31</v>
      </c>
      <c r="Y241" s="25">
        <f ca="1"/>
        <v>31</v>
      </c>
      <c r="Z241" s="25">
        <f ca="1"/>
        <v>31</v>
      </c>
      <c r="AA241" s="25">
        <f ca="1"/>
        <v>31</v>
      </c>
      <c r="AB241" s="25">
        <f ca="1"/>
        <v>31</v>
      </c>
      <c r="AC241" s="25">
        <f ca="1"/>
        <v>31</v>
      </c>
      <c r="AD241" s="25">
        <f ca="1"/>
        <v>31</v>
      </c>
      <c r="AE241" s="25">
        <f ca="1"/>
        <v>31</v>
      </c>
      <c r="AF241" s="25">
        <f ca="1"/>
        <v>31</v>
      </c>
      <c r="AG241" s="25">
        <f ca="1"/>
        <v>31</v>
      </c>
      <c r="AH241" s="26" t="s">
        <v>316</v>
      </c>
    </row>
    <row r="242" spans="4:36" ht="20.100000000000001" customHeight="1" x14ac:dyDescent="0.25">
      <c r="D242" s="25" t="str">
        <f>'Input - Pasture Beef'!$D$153</f>
        <v>Anaerobic lagoon</v>
      </c>
      <c r="E242" s="25" t="s">
        <v>223</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str">
        <f>TEXT(EDATE(X_Cell_Site_StartDate,7), "mmmm")</f>
        <v>August</v>
      </c>
      <c r="X242" s="25">
        <f ca="1"/>
        <v>31</v>
      </c>
      <c r="Y242" s="25">
        <f ca="1"/>
        <v>31</v>
      </c>
      <c r="Z242" s="25">
        <f ca="1"/>
        <v>31</v>
      </c>
      <c r="AA242" s="25">
        <f ca="1"/>
        <v>31</v>
      </c>
      <c r="AB242" s="25">
        <f ca="1"/>
        <v>31</v>
      </c>
      <c r="AC242" s="25">
        <f ca="1"/>
        <v>31</v>
      </c>
      <c r="AD242" s="25">
        <f ca="1"/>
        <v>31</v>
      </c>
      <c r="AE242" s="25">
        <f ca="1"/>
        <v>31</v>
      </c>
      <c r="AF242" s="25">
        <f ca="1"/>
        <v>31</v>
      </c>
      <c r="AG242" s="25">
        <f ca="1"/>
        <v>31</v>
      </c>
      <c r="AH242" s="26" t="s">
        <v>316</v>
      </c>
    </row>
    <row r="243" spans="4:36" ht="20.100000000000001" customHeight="1" x14ac:dyDescent="0.25">
      <c r="W243" s="25" t="str">
        <f>TEXT(EDATE(X_Cell_Site_StartDate,8), "mmmm")</f>
        <v>September</v>
      </c>
      <c r="X243" s="25">
        <f ca="1"/>
        <v>30</v>
      </c>
      <c r="Y243" s="25">
        <f ca="1"/>
        <v>30</v>
      </c>
      <c r="Z243" s="25">
        <f ca="1"/>
        <v>30</v>
      </c>
      <c r="AA243" s="25">
        <f ca="1"/>
        <v>30</v>
      </c>
      <c r="AB243" s="25">
        <f ca="1"/>
        <v>30</v>
      </c>
      <c r="AC243" s="25">
        <f ca="1"/>
        <v>30</v>
      </c>
      <c r="AD243" s="25">
        <f ca="1"/>
        <v>30</v>
      </c>
      <c r="AE243" s="25">
        <f ca="1"/>
        <v>30</v>
      </c>
      <c r="AF243" s="25">
        <f ca="1"/>
        <v>30</v>
      </c>
      <c r="AG243" s="25">
        <f ca="1"/>
        <v>30</v>
      </c>
      <c r="AH243" s="26" t="s">
        <v>316</v>
      </c>
    </row>
    <row r="244" spans="4:36" ht="20.100000000000001" customHeight="1" x14ac:dyDescent="0.25">
      <c r="D244" s="115" t="s">
        <v>321</v>
      </c>
      <c r="E244" s="116">
        <f ca="1">SUM(F235:O242)</f>
        <v>0.88628531326724402</v>
      </c>
      <c r="F244" s="117" t="str">
        <f>E210</f>
        <v>t CH4</v>
      </c>
      <c r="W244" s="25" t="str">
        <f>TEXT(EDATE(X_Cell_Site_StartDate,9), "mmmm")</f>
        <v>October</v>
      </c>
      <c r="X244" s="25">
        <f ca="1"/>
        <v>31</v>
      </c>
      <c r="Y244" s="25">
        <f ca="1"/>
        <v>31</v>
      </c>
      <c r="Z244" s="25">
        <f ca="1"/>
        <v>31</v>
      </c>
      <c r="AA244" s="25">
        <f ca="1"/>
        <v>31</v>
      </c>
      <c r="AB244" s="25">
        <f ca="1"/>
        <v>31</v>
      </c>
      <c r="AC244" s="25">
        <f ca="1"/>
        <v>31</v>
      </c>
      <c r="AD244" s="25">
        <f ca="1"/>
        <v>31</v>
      </c>
      <c r="AE244" s="25">
        <f ca="1"/>
        <v>31</v>
      </c>
      <c r="AF244" s="25">
        <f ca="1"/>
        <v>31</v>
      </c>
      <c r="AG244" s="25">
        <f ca="1"/>
        <v>31</v>
      </c>
      <c r="AH244" s="26" t="s">
        <v>316</v>
      </c>
    </row>
    <row r="245" spans="4:36" ht="20.100000000000001" customHeight="1" x14ac:dyDescent="0.25">
      <c r="W245" s="25" t="str">
        <f>TEXT(EDATE(X_Cell_Site_StartDate,10), "mmmm")</f>
        <v>November</v>
      </c>
      <c r="X245" s="25">
        <f ca="1"/>
        <v>30</v>
      </c>
      <c r="Y245" s="25">
        <f ca="1"/>
        <v>30</v>
      </c>
      <c r="Z245" s="25">
        <f ca="1"/>
        <v>30</v>
      </c>
      <c r="AA245" s="25">
        <f ca="1"/>
        <v>30</v>
      </c>
      <c r="AB245" s="25">
        <f ca="1"/>
        <v>30</v>
      </c>
      <c r="AC245" s="25">
        <f ca="1"/>
        <v>30</v>
      </c>
      <c r="AD245" s="25">
        <f ca="1"/>
        <v>30</v>
      </c>
      <c r="AE245" s="25">
        <f ca="1"/>
        <v>30</v>
      </c>
      <c r="AF245" s="25">
        <f ca="1"/>
        <v>30</v>
      </c>
      <c r="AG245" s="25">
        <f ca="1"/>
        <v>30</v>
      </c>
      <c r="AH245" s="26" t="s">
        <v>316</v>
      </c>
    </row>
    <row r="246" spans="4:36" ht="20.100000000000001" customHeight="1" x14ac:dyDescent="0.25">
      <c r="D246" s="118" t="str" cm="1">
        <f t="array" ref="D246:E247">Common_Equations.Common_ConvertCH4ToCO2e_Arguments()</f>
        <v>ECH4</v>
      </c>
      <c r="E246" s="119" t="str">
        <v>Methane emissions (t CH4)</v>
      </c>
      <c r="F246" s="120"/>
      <c r="G246" s="25">
        <f ca="1">VEERG_4_2_1_1__1_TotalAnnualMethaneProductionFromManureManagement_Result_Method1</f>
        <v>0.88628531326724402</v>
      </c>
      <c r="W246" s="25" t="str">
        <f>TEXT(EDATE(X_Cell_Site_StartDate,11), "mmmm")</f>
        <v>December</v>
      </c>
      <c r="X246" s="25">
        <f ca="1"/>
        <v>31</v>
      </c>
      <c r="Y246" s="25">
        <f ca="1"/>
        <v>31</v>
      </c>
      <c r="Z246" s="25">
        <f ca="1"/>
        <v>31</v>
      </c>
      <c r="AA246" s="25">
        <f ca="1"/>
        <v>31</v>
      </c>
      <c r="AB246" s="25">
        <f ca="1"/>
        <v>31</v>
      </c>
      <c r="AC246" s="25">
        <f ca="1"/>
        <v>31</v>
      </c>
      <c r="AD246" s="25">
        <f ca="1"/>
        <v>31</v>
      </c>
      <c r="AE246" s="25">
        <f ca="1"/>
        <v>31</v>
      </c>
      <c r="AF246" s="25">
        <f ca="1"/>
        <v>31</v>
      </c>
      <c r="AG246" s="25">
        <f ca="1"/>
        <v>31</v>
      </c>
      <c r="AH246" s="26" t="s">
        <v>316</v>
      </c>
    </row>
    <row r="247" spans="4:36" ht="20.100000000000001" customHeight="1" x14ac:dyDescent="0.25">
      <c r="D247" s="118" t="str">
        <v>GWPCH4</v>
      </c>
      <c r="E247" s="119" t="str">
        <v>Global warming potential for methane (t CO2-e / t CH4)</v>
      </c>
      <c r="F247" s="120"/>
      <c r="G247" s="25">
        <f>Common_InputFunctions.Utility_LookupValueInTableNumber("CH4",Table_GWPData[Gas],Table_GWPData[CO2-e factor])</f>
        <v>28</v>
      </c>
    </row>
    <row r="248" spans="4:36" ht="20.100000000000001" customHeight="1" x14ac:dyDescent="0.25">
      <c r="W248" s="109" t="s">
        <v>322</v>
      </c>
    </row>
    <row r="249" spans="4:36" ht="20.100000000000001" customHeight="1" x14ac:dyDescent="0.25">
      <c r="D249" s="114" t="s">
        <v>323</v>
      </c>
      <c r="E249" s="114" cm="1">
        <f t="array" aca="1" ref="E249" ca="1">Common_Equations.Common_ConvertN2OToCO2e(G246,G247)</f>
        <v>24.815988771482832</v>
      </c>
      <c r="F249" s="121" t="str" cm="1">
        <f t="array" ref="F249">Common_Equations.Common_ConvertN2OToCO2e_Unit()</f>
        <v>t CO2e</v>
      </c>
      <c r="W249" s="110" t="s">
        <v>324</v>
      </c>
    </row>
    <row r="250" spans="4:36" ht="20.100000000000001" customHeight="1" x14ac:dyDescent="0.25">
      <c r="W250" s="111" t="s">
        <v>298</v>
      </c>
      <c r="X250" s="111" t="s">
        <v>76</v>
      </c>
      <c r="Y250" s="111" t="s">
        <v>211</v>
      </c>
      <c r="Z250" s="111" t="s">
        <v>201</v>
      </c>
      <c r="AA250" s="111" t="s">
        <v>212</v>
      </c>
      <c r="AB250" s="111" t="s">
        <v>213</v>
      </c>
      <c r="AC250" s="111" t="s">
        <v>214</v>
      </c>
      <c r="AD250" s="111" t="s">
        <v>215</v>
      </c>
      <c r="AE250" s="111" t="s">
        <v>216</v>
      </c>
      <c r="AF250" s="111" t="s">
        <v>217</v>
      </c>
      <c r="AG250" s="111" t="s">
        <v>218</v>
      </c>
      <c r="AH250" s="111" t="s">
        <v>219</v>
      </c>
    </row>
    <row r="251" spans="4:36" ht="20.100000000000001" customHeight="1" x14ac:dyDescent="0.25">
      <c r="W251" s="25" t="str">
        <f>'Input - Pasture Beef'!$D$152</f>
        <v>Pasture range and paddock</v>
      </c>
      <c r="X251" s="25" t="str">
        <f>W235</f>
        <v>January</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6.6990533649278934E-3</v>
      </c>
      <c r="AC251" s="25" cm="1">
        <f t="array" aca="1" ref="AC251" ca="1">MMS_PastureBeef_Methane_Equations.VEERG_4_2_1_1__1_TotalAnnualMethaneProductionFromManureManagement(AB219,AC177,AB235)</f>
        <v>6.6328825169479936E-3</v>
      </c>
      <c r="AD251" s="25" cm="1">
        <f t="array" aca="1" ref="AD251" ca="1">MMS_PastureBeef_Methane_Equations.VEERG_4_2_1_1__1_TotalAnnualMethaneProductionFromManureManagement(AC219,AD177,AC235)</f>
        <v>6.6328825169479936E-3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Beef'!$D$152</f>
        <v>Pasture range and paddock</v>
      </c>
      <c r="X252" s="25" t="str">
        <f t="shared" ref="X252:X262" si="12">W236</f>
        <v>February</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Beef'!$D$152</f>
        <v>Pasture range and paddock</v>
      </c>
      <c r="X253" s="25" t="str">
        <f t="shared" si="12"/>
        <v>March</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Beef'!$D$152</f>
        <v>Pasture range and paddock</v>
      </c>
      <c r="X254" s="25" t="str">
        <f t="shared" si="12"/>
        <v>April</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Beef'!$D$152</f>
        <v>Pasture range and paddock</v>
      </c>
      <c r="X255" s="25" t="str">
        <f t="shared" si="12"/>
        <v>May</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Beef'!$D$152</f>
        <v>Pasture range and paddock</v>
      </c>
      <c r="X256" s="25" t="str">
        <f t="shared" si="12"/>
        <v>June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Beef'!$D$152</f>
        <v>Pasture range and paddock</v>
      </c>
      <c r="X257" s="25" t="str">
        <f t="shared" si="12"/>
        <v>July</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Beef'!$D$152</f>
        <v>Pasture range and paddock</v>
      </c>
      <c r="X258" s="25" t="str">
        <f t="shared" si="12"/>
        <v>August</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3.6246880939193233E-3</v>
      </c>
      <c r="AC258" s="25" cm="1">
        <f t="array" aca="1" ref="AC258" ca="1">MMS_PastureBeef_Methane_Equations.VEERG_4_2_1_1__1_TotalAnnualMethaneProductionFromManureManagement(AB226,AC184,AB242)</f>
        <v>4.862630824535117E-3</v>
      </c>
      <c r="AD258" s="25" cm="1">
        <f t="array" aca="1" ref="AD258" ca="1">MMS_PastureBeef_Methane_Equations.VEERG_4_2_1_1__1_TotalAnnualMethaneProductionFromManureManagement(AC226,AD184,AC242)</f>
        <v>4.862630824535117E-3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Beef'!$D$152</f>
        <v>Pasture range and paddock</v>
      </c>
      <c r="X259" s="25" t="str">
        <f t="shared" si="12"/>
        <v>September</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4.2473936610232677E-3</v>
      </c>
      <c r="AC259" s="25" cm="1">
        <f t="array" aca="1" ref="AC259" ca="1">MMS_PastureBeef_Methane_Equations.VEERG_4_2_1_1__1_TotalAnnualMethaneProductionFromManureManagement(AB227,AC185,AB243)</f>
        <v>4.7165503887500772E-3</v>
      </c>
      <c r="AD259" s="25" cm="1">
        <f t="array" aca="1" ref="AD259" ca="1">MMS_PastureBeef_Methane_Equations.VEERG_4_2_1_1__1_TotalAnnualMethaneProductionFromManureManagement(AC227,AD185,AC243)</f>
        <v>4.7165503887500772E-3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Beef'!$D$152</f>
        <v>Pasture range and paddock</v>
      </c>
      <c r="X260" s="25" t="str">
        <f t="shared" si="12"/>
        <v>October</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4.3889734497240427E-3</v>
      </c>
      <c r="AC260" s="25" cm="1">
        <f t="array" aca="1" ref="AC260" ca="1">MMS_PastureBeef_Methane_Equations.VEERG_4_2_1_1__1_TotalAnnualMethaneProductionFromManureManagement(AB228,AC186,AB244)</f>
        <v>4.8737687350417468E-3</v>
      </c>
      <c r="AD260" s="25" cm="1">
        <f t="array" aca="1" ref="AD260" ca="1">MMS_PastureBeef_Methane_Equations.VEERG_4_2_1_1__1_TotalAnnualMethaneProductionFromManureManagement(AC228,AD186,AC244)</f>
        <v>4.8737687350417468E-3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Beef'!$D$152</f>
        <v>Pasture range and paddock</v>
      </c>
      <c r="X261" s="25" t="str">
        <f t="shared" si="12"/>
        <v>November</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3.7273046413061331E-3</v>
      </c>
      <c r="AC261" s="25" cm="1">
        <f t="array" aca="1" ref="AC261" ca="1">MMS_PastureBeef_Methane_Equations.VEERG_4_2_1_1__1_TotalAnnualMethaneProductionFromManureManagement(AB229,AC187,AB245)</f>
        <v>4.1390136064541486E-3</v>
      </c>
      <c r="AD261" s="25" cm="1">
        <f t="array" aca="1" ref="AD261" ca="1">MMS_PastureBeef_Methane_Equations.VEERG_4_2_1_1__1_TotalAnnualMethaneProductionFromManureManagement(AC229,AD187,AC245)</f>
        <v>4.1390136064541486E-3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Beef'!$D$152</f>
        <v>Pasture range and paddock</v>
      </c>
      <c r="X262" s="25" t="str">
        <f t="shared" si="12"/>
        <v>December</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6.6990533649278934E-3</v>
      </c>
      <c r="AC262" s="25" cm="1">
        <f t="array" aca="1" ref="AC262" ca="1">MMS_PastureBeef_Methane_Equations.VEERG_4_2_1_1__1_TotalAnnualMethaneProductionFromManureManagement(AB230,AC188,AB246)</f>
        <v>6.6328825169479936E-3</v>
      </c>
      <c r="AD262" s="25" cm="1">
        <f t="array" aca="1" ref="AD262" ca="1">MMS_PastureBeef_Methane_Equations.VEERG_4_2_1_1__1_TotalAnnualMethaneProductionFromManureManagement(AC230,AD188,AC246)</f>
        <v>6.6328825169479936E-3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Beef'!$D$153</f>
        <v>Anaerobic lagoon</v>
      </c>
      <c r="X263" s="25" t="str">
        <f>W235</f>
        <v>January</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4.1643080469620118E-3</v>
      </c>
      <c r="AC263" s="25" cm="1">
        <f t="array" aca="1" ref="AC263" ca="1">MMS_PastureBeef_Methane_Equations.VEERG_4_2_1_1__1_TotalAnnualMethaneProductionFromManureManagement(AB219,AC189,AB235)</f>
        <v>4.1231745046977223E-3</v>
      </c>
      <c r="AD263" s="25" cm="1">
        <f t="array" aca="1" ref="AD263" ca="1">MMS_PastureBeef_Methane_Equations.VEERG_4_2_1_1__1_TotalAnnualMethaneProductionFromManureManagement(AC219,AD189,AC235)</f>
        <v>4.1231745046977223E-3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Beef'!$D$153</f>
        <v>Anaerobic lagoon</v>
      </c>
      <c r="X264" s="25" t="str">
        <f t="shared" ref="X264:X274" si="13">W236</f>
        <v>February</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Beef'!$D$153</f>
        <v>Anaerobic lagoon</v>
      </c>
      <c r="X265" s="25" t="str">
        <f t="shared" si="13"/>
        <v>March</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Beef'!$D$153</f>
        <v>Anaerobic lagoon</v>
      </c>
      <c r="X266" s="25" t="str">
        <f t="shared" si="13"/>
        <v>April</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Beef'!$D$153</f>
        <v>Anaerobic lagoon</v>
      </c>
      <c r="X267" s="25" t="str">
        <f t="shared" si="13"/>
        <v>May</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Beef'!$D$153</f>
        <v>Anaerobic lagoon</v>
      </c>
      <c r="X268" s="25" t="str">
        <f t="shared" si="13"/>
        <v>June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Beef'!$D$153</f>
        <v>Anaerobic lagoon</v>
      </c>
      <c r="X269" s="25" t="str">
        <f t="shared" si="13"/>
        <v>July</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Beef'!$D$153</f>
        <v>Anaerobic lagoon</v>
      </c>
      <c r="X270" s="25" t="str">
        <f t="shared" si="13"/>
        <v>August</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2.253201605507453E-3</v>
      </c>
      <c r="AC270" s="25" cm="1">
        <f t="array" aca="1" ref="AC270" ca="1">MMS_PastureBeef_Methane_Equations.VEERG_4_2_1_1__1_TotalAnnualMethaneProductionFromManureManagement(AB226,AC196,AB242)</f>
        <v>3.0227394183827442E-3</v>
      </c>
      <c r="AD270" s="25" cm="1">
        <f t="array" aca="1" ref="AD270" ca="1">MMS_PastureBeef_Methane_Equations.VEERG_4_2_1_1__1_TotalAnnualMethaneProductionFromManureManagement(AC226,AD196,AC242)</f>
        <v>3.0227394183827442E-3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Beef'!$D$153</f>
        <v>Anaerobic lagoon</v>
      </c>
      <c r="X271" s="25" t="str">
        <f t="shared" si="13"/>
        <v>September</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2.6402917901528038E-3</v>
      </c>
      <c r="AC271" s="25" cm="1">
        <f t="array" aca="1" ref="AC271" ca="1">MMS_PastureBeef_Methane_Equations.VEERG_4_2_1_1__1_TotalAnnualMethaneProductionFromManureManagement(AB227,AC197,AB243)</f>
        <v>2.9319319712547425E-3</v>
      </c>
      <c r="AD271" s="25" cm="1">
        <f t="array" aca="1" ref="AD271" ca="1">MMS_PastureBeef_Methane_Equations.VEERG_4_2_1_1__1_TotalAnnualMethaneProductionFromManureManagement(AC227,AD197,AC243)</f>
        <v>2.9319319712547425E-3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Beef'!$D$153</f>
        <v>Anaerobic lagoon</v>
      </c>
      <c r="X272" s="25" t="str">
        <f t="shared" si="13"/>
        <v>October</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2.7283015164912302E-3</v>
      </c>
      <c r="AC272" s="25" cm="1">
        <f t="array" aca="1" ref="AC272" ca="1">MMS_PastureBeef_Methane_Equations.VEERG_4_2_1_1__1_TotalAnnualMethaneProductionFromManureManagement(AB228,AC198,AB244)</f>
        <v>3.0296630369632338E-3</v>
      </c>
      <c r="AD272" s="25" cm="1">
        <f t="array" aca="1" ref="AD272" ca="1">MMS_PastureBeef_Methane_Equations.VEERG_4_2_1_1__1_TotalAnnualMethaneProductionFromManureManagement(AC228,AD198,AC244)</f>
        <v>3.0296630369632338E-3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Beef'!$D$153</f>
        <v>Anaerobic lagoon</v>
      </c>
      <c r="X273" s="25" t="str">
        <f t="shared" si="13"/>
        <v>November</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2.3169907546238891E-3</v>
      </c>
      <c r="AC273" s="25" cm="1">
        <f t="array" aca="1" ref="AC273" ca="1">MMS_PastureBeef_Methane_Equations.VEERG_4_2_1_1__1_TotalAnnualMethaneProductionFromManureManagement(AB229,AC199,AB245)</f>
        <v>2.5729198931419158E-3</v>
      </c>
      <c r="AD273" s="25" cm="1">
        <f t="array" aca="1" ref="AD273" ca="1">MMS_PastureBeef_Methane_Equations.VEERG_4_2_1_1__1_TotalAnnualMethaneProductionFromManureManagement(AC229,AD199,AC245)</f>
        <v>2.5729198931419158E-3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Beef'!$D$153</f>
        <v>Anaerobic lagoon</v>
      </c>
      <c r="X274" s="25" t="str">
        <f t="shared" si="13"/>
        <v>December</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4.1643080469620118E-3</v>
      </c>
      <c r="AC274" s="25" cm="1">
        <f t="array" aca="1" ref="AC274" ca="1">MMS_PastureBeef_Methane_Equations.VEERG_4_2_1_1__1_TotalAnnualMethaneProductionFromManureManagement(AB230,AC200,AB246)</f>
        <v>4.1231745046977223E-3</v>
      </c>
      <c r="AD274" s="25" cm="1">
        <f t="array" aca="1" ref="AD274" ca="1">MMS_PastureBeef_Methane_Equations.VEERG_4_2_1_1__1_TotalAnnualMethaneProductionFromManureManagement(AC230,AD200,AC246)</f>
        <v>4.1231745046977223E-3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5" t="s">
        <v>321</v>
      </c>
      <c r="X276" s="116">
        <f ca="1">SUM(Y251:AH274)</f>
        <v>0.89029635334910784</v>
      </c>
      <c r="Y276" s="117">
        <f ca="1">X242</f>
        <v>31</v>
      </c>
    </row>
    <row r="278" spans="23:36" x14ac:dyDescent="0.25">
      <c r="W278" s="118" t="str" cm="1">
        <f t="array" ref="W278:X279">Common_Equations.Common_ConvertCH4ToCO2e_Arguments()</f>
        <v>ECH4</v>
      </c>
      <c r="X278" s="119" t="str">
        <v>Methane emissions (t CH4)</v>
      </c>
      <c r="Y278" s="120"/>
      <c r="Z278" s="25">
        <f ca="1">VEERG_4_2_1_1__1_TotalAnnualMethaneProductionFromManureManagement_Result_Method2</f>
        <v>0.89029635334910784</v>
      </c>
    </row>
    <row r="279" spans="23:36" x14ac:dyDescent="0.25">
      <c r="W279" s="118" t="str">
        <v>GWPCH4</v>
      </c>
      <c r="X279" s="119" t="str">
        <v>Global warming potential for methane (t CO2-e / t CH4)</v>
      </c>
      <c r="Y279" s="120"/>
      <c r="Z279" s="25">
        <f>Common_InputFunctions.Utility_LookupValueInTableNumber("CH4",Table_GWPData[Gas],Table_GWPData[CO2-e factor])</f>
        <v>28</v>
      </c>
    </row>
    <row r="281" spans="23:36" ht="18.75" x14ac:dyDescent="0.25">
      <c r="W281" s="114" t="s">
        <v>323</v>
      </c>
      <c r="X281" s="114" cm="1">
        <f t="array" aca="1" ref="X281" ca="1">Common_Equations.Common_ConvertN2OToCO2e(Z278,Z279)</f>
        <v>24.928297893775021</v>
      </c>
      <c r="Y281" s="121"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B52A312-9751-4662-B176-4D84DDFE23EC}"/>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9091-1BB3-4F01-AB23-E2B6CD47133D}">
  <dimension ref="A1:AI291"/>
  <sheetViews>
    <sheetView showGridLines="0" topLeftCell="P240"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325</v>
      </c>
    </row>
    <row r="2" spans="1:35" s="3" customFormat="1" ht="20.100000000000001" customHeight="1" x14ac:dyDescent="0.25">
      <c r="A2"/>
    </row>
    <row r="3" spans="1:35" ht="20.100000000000001" customHeight="1" x14ac:dyDescent="0.25">
      <c r="A3" s="5" t="str">
        <f>HYPERLINK("#'Home'!A1", "Home")</f>
        <v>Home</v>
      </c>
      <c r="C3" s="33"/>
      <c r="D3" s="33" t="s">
        <v>148</v>
      </c>
      <c r="E3" s="33"/>
      <c r="F3" s="33"/>
      <c r="G3" s="33"/>
      <c r="H3" s="33"/>
      <c r="I3" s="33"/>
      <c r="J3" s="33"/>
      <c r="K3" s="33"/>
      <c r="L3" s="33"/>
      <c r="M3" s="33"/>
      <c r="N3" s="33"/>
      <c r="O3" s="33"/>
      <c r="P3" s="33"/>
      <c r="Q3" s="33"/>
      <c r="R3" s="33"/>
      <c r="T3" s="33"/>
      <c r="U3" s="33" t="s">
        <v>149</v>
      </c>
      <c r="V3" s="33"/>
      <c r="W3" s="33"/>
      <c r="X3" s="33"/>
      <c r="Y3" s="33"/>
      <c r="Z3" s="33"/>
      <c r="AA3" s="33"/>
      <c r="AB3" s="33"/>
      <c r="AC3" s="33"/>
      <c r="AD3" s="33"/>
      <c r="AE3" s="33"/>
      <c r="AF3" s="33"/>
      <c r="AG3" s="33"/>
      <c r="AH3" s="33"/>
      <c r="AI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D7" s="100" t="s">
        <v>259</v>
      </c>
      <c r="E7" s="100" t="str" cm="1">
        <f t="array" aca="1" ref="E7" ca="1">Common_InputFunctions.Utility_DisplayFunctionName(E33)</f>
        <v>=MMS_PastureBeef_Soil_N2ODirect_Equations.VEERG_4_2_1_3__7_RelativeSize</v>
      </c>
    </row>
    <row r="8" spans="1:35" ht="20.100000000000001" customHeight="1" x14ac:dyDescent="0.25">
      <c r="A8" s="7" t="s">
        <v>0</v>
      </c>
    </row>
    <row r="9" spans="1:35" ht="20.100000000000001" customHeight="1" x14ac:dyDescent="0.25">
      <c r="A9" s="5" t="str">
        <f>HYPERLINK("#'Input - Enterprise'!A1", "Enterprise")</f>
        <v>Enterprise</v>
      </c>
    </row>
    <row r="10" spans="1:35" ht="20.100000000000001" customHeight="1" x14ac:dyDescent="0.25">
      <c r="A10" s="5" t="str">
        <f>HYPERLINK("#'Input - Site'!A1", "Site")</f>
        <v>Site</v>
      </c>
      <c r="D10" s="88" t="s">
        <v>261</v>
      </c>
      <c r="E10" s="1" t="str" cm="1">
        <f t="array" ref="E10">MMS_PastureBeef_Soil_N2ODirect_Equations.VEERG_4_2_1_3__7_RelativeSize_Variable()</f>
        <v>Z_jkl</v>
      </c>
    </row>
    <row r="11" spans="1:35" ht="20.100000000000001" customHeight="1" x14ac:dyDescent="0.25">
      <c r="A11" s="5" t="str">
        <f>HYPERLINK("#'Input - Pasture Beef'!A1", "Pasture Beef")</f>
        <v>Pasture Beef</v>
      </c>
      <c r="D11" s="88" t="s">
        <v>131</v>
      </c>
      <c r="E11" s="15" t="str" cm="1">
        <f t="array" ref="E11">MMS_PastureBeef_Soil_N2ODirect_Equations.VEERG_4_2_1_3__7_RelativeSize_Unit()</f>
        <v>ratio</v>
      </c>
    </row>
    <row r="12" spans="1:35" ht="20.100000000000001" customHeight="1" x14ac:dyDescent="0.25">
      <c r="A12" s="5" t="str">
        <f>HYPERLINK("#'Input - Pasture Beef (Enteric)'!A1", "Pasture Beef (Enteric)")</f>
        <v>Pasture Beef (Enteric)</v>
      </c>
    </row>
    <row r="13" spans="1:35" ht="20.100000000000001" customHeight="1" x14ac:dyDescent="0.25">
      <c r="A13" s="5" t="str">
        <f>HYPERLINK("#'Input - Livestock sales'!A1", "Livestock sales")</f>
        <v>Livestock sales</v>
      </c>
      <c r="D13" s="102" t="str" cm="1">
        <f t="array" ref="D13:E15">_xlfn.CHOOSECOLS(MMS_PastureBeef_Soil_N2ODirect_Equations.VEERG_4_2_1_3__7_RelativeSize_Arguments(),1,2)</f>
        <v>W_jkl</v>
      </c>
      <c r="E13" s="102" t="str">
        <v>liveweight (kg)</v>
      </c>
      <c r="F13" s="102" t="str" cm="1">
        <f t="array" ref="F13:G15">_xlfn.CHOOSECOLS(MMS_PastureBeef_Soil_N2ODirect_Equations.VEERG_4_2_1_3__7_RelativeSize_Arguments(),3,4)</f>
        <v>kg</v>
      </c>
      <c r="G13" s="106" t="str">
        <v>Input</v>
      </c>
      <c r="H13" s="108" t="str" cm="1">
        <f t="array" aca="1" ref="H13" ca="1">HYPERLINK(Common_InputFunctions.Utility_SourceHyperlink(D17), D17)</f>
        <v>M1_Table_W_j_k_l</v>
      </c>
    </row>
    <row r="14" spans="1:35" ht="20.100000000000001" customHeight="1" x14ac:dyDescent="0.25">
      <c r="A14" s="5" t="str">
        <f>HYPERLINK("#'Input - Beef cattle purchases'!A1", "Beef cattle purchases")</f>
        <v>Beef cattle purchases</v>
      </c>
      <c r="D14" s="102" t="str">
        <v>SRW_k</v>
      </c>
      <c r="E14" s="102" t="str">
        <v>standard reference weight (kg)</v>
      </c>
      <c r="F14" s="102" t="str">
        <v>kg</v>
      </c>
      <c r="G14" s="107" t="str">
        <v>Constant</v>
      </c>
      <c r="H14" s="108" t="str" cm="1">
        <f t="array" aca="1" ref="H14" ca="1">HYPERLINK(Common_InputFunctions.Utility_SourceHyperlink(D25), D25)</f>
        <v>Table_SRW_k</v>
      </c>
    </row>
    <row r="15" spans="1:35" ht="20.100000000000001" customHeight="1" x14ac:dyDescent="0.25">
      <c r="A15" s="5" t="str">
        <f>HYPERLINK("#'Input - Pasture'!A1", "Pasture")</f>
        <v>Pasture</v>
      </c>
      <c r="D15" s="102" t="str">
        <v>i</v>
      </c>
      <c r="E15" s="102" t="str">
        <v>state</v>
      </c>
      <c r="F15" s="102" t="str">
        <v/>
      </c>
      <c r="G15" s="106" t="str">
        <v>Input</v>
      </c>
      <c r="H15" s="102" t="str">
        <f>X_Cell_Site_State</f>
        <v>Western Australia</v>
      </c>
    </row>
    <row r="16" spans="1:35" ht="20.100000000000001" customHeight="1" x14ac:dyDescent="0.25">
      <c r="A16" s="5" t="str">
        <f>HYPERLINK("#'Input - Fert Prod System'!A1", "Fert Prod System")</f>
        <v>Fert Prod System</v>
      </c>
    </row>
    <row r="17" spans="1:34" ht="20.100000000000001" customHeight="1" x14ac:dyDescent="0.25">
      <c r="A17" s="5" t="str">
        <f>HYPERLINK("#'Input - Fertiliser'!A1", "Fertiliser")</f>
        <v>Fertiliser</v>
      </c>
      <c r="D17" s="109" t="s">
        <v>278</v>
      </c>
      <c r="U17" s="109" t="s">
        <v>326</v>
      </c>
    </row>
    <row r="18" spans="1:34" ht="20.100000000000001" customHeight="1" x14ac:dyDescent="0.25">
      <c r="A18" s="5" t="str">
        <f>HYPERLINK("#'Input - Fuel'!A1", "Fuel")</f>
        <v>Fuel</v>
      </c>
      <c r="D18" s="110" t="s">
        <v>279</v>
      </c>
      <c r="U18" s="110" t="s">
        <v>277</v>
      </c>
    </row>
    <row r="19" spans="1:34" ht="20.100000000000001" customHeight="1" x14ac:dyDescent="0.25">
      <c r="A19" s="5" t="str">
        <f>HYPERLINK("#'Input - Electricity'!A1", "Electricity")</f>
        <v>Electricity</v>
      </c>
      <c r="D19" s="111" t="s">
        <v>77</v>
      </c>
      <c r="E19" s="112" t="s">
        <v>211</v>
      </c>
      <c r="F19" s="112" t="s">
        <v>201</v>
      </c>
      <c r="G19" s="112" t="s">
        <v>212</v>
      </c>
      <c r="H19" s="112" t="s">
        <v>213</v>
      </c>
      <c r="I19" s="112" t="s">
        <v>214</v>
      </c>
      <c r="J19" s="112" t="s">
        <v>215</v>
      </c>
      <c r="K19" s="112" t="s">
        <v>216</v>
      </c>
      <c r="L19" s="112" t="s">
        <v>217</v>
      </c>
      <c r="M19" s="112" t="s">
        <v>218</v>
      </c>
      <c r="N19" s="112" t="s">
        <v>219</v>
      </c>
      <c r="U19" s="111" t="s">
        <v>76</v>
      </c>
      <c r="V19" s="112" t="s">
        <v>211</v>
      </c>
      <c r="W19" s="112" t="s">
        <v>201</v>
      </c>
      <c r="X19" s="112" t="s">
        <v>212</v>
      </c>
      <c r="Y19" s="112" t="s">
        <v>213</v>
      </c>
      <c r="Z19" s="112" t="s">
        <v>214</v>
      </c>
      <c r="AA19" s="112" t="s">
        <v>215</v>
      </c>
      <c r="AB19" s="112" t="s">
        <v>216</v>
      </c>
      <c r="AC19" s="112" t="s">
        <v>217</v>
      </c>
      <c r="AD19" s="112" t="s">
        <v>218</v>
      </c>
      <c r="AE19" s="112" t="s">
        <v>219</v>
      </c>
      <c r="AF19" s="26"/>
      <c r="AG19" s="26"/>
      <c r="AH19" s="26"/>
    </row>
    <row r="20" spans="1:34" ht="20.100000000000001" customHeight="1" x14ac:dyDescent="0.25">
      <c r="A20" s="5" t="str">
        <f>HYPERLINK("#'Input - Farm Inputs'!A1", "Farm Inputs")</f>
        <v>Farm Inputs</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229</v>
      </c>
      <c r="U20" s="25" t="str">
        <f>TEXT(X_Cell_Site_StartDate,"mmmm")</f>
        <v>January</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229</v>
      </c>
      <c r="AG20" s="26"/>
      <c r="AH20" s="26"/>
    </row>
    <row r="21" spans="1:34" ht="20.100000000000001" customHeight="1" x14ac:dyDescent="0.25">
      <c r="A21" s="5" t="str">
        <f>HYPERLINK("#'Input - Freight'!A1", "Freight")</f>
        <v>Freight</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229</v>
      </c>
      <c r="U21" s="25" t="str">
        <f>TEXT(EDATE(X_Cell_Site_StartDate,1), "mmmm")</f>
        <v>February</v>
      </c>
      <c r="V21" s="25">
        <f ca="1"/>
        <v>380</v>
      </c>
      <c r="W21" s="25">
        <f ca="1"/>
        <v>780</v>
      </c>
      <c r="X21" s="25">
        <f ca="1"/>
        <v>300</v>
      </c>
      <c r="Y21" s="25">
        <f ca="1"/>
        <v>450</v>
      </c>
      <c r="Z21" s="25">
        <f ca="1"/>
        <v>530</v>
      </c>
      <c r="AA21" s="25">
        <f ca="1"/>
        <v>530</v>
      </c>
      <c r="AB21" s="25">
        <f ca="1"/>
        <v>340</v>
      </c>
      <c r="AC21" s="25">
        <f ca="1"/>
        <v>470</v>
      </c>
      <c r="AD21" s="25">
        <f ca="1"/>
        <v>470</v>
      </c>
      <c r="AE21" s="25">
        <f ca="1"/>
        <v>470</v>
      </c>
      <c r="AF21" s="26" t="s">
        <v>229</v>
      </c>
      <c r="AG21" s="26"/>
      <c r="AH21" s="26"/>
    </row>
    <row r="22" spans="1:34" ht="20.100000000000001" customHeight="1" x14ac:dyDescent="0.25">
      <c r="A22" s="5" t="str">
        <f>HYPERLINK("#'Input - Manure sent off-site'!A1", "Manure sent off-site")</f>
        <v>Manure sent off-site</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229</v>
      </c>
      <c r="U22" s="25" t="str">
        <f>TEXT(EDATE(X_Cell_Site_StartDate,2), "mmmm")</f>
        <v>March</v>
      </c>
      <c r="V22" s="25">
        <f ca="1"/>
        <v>100</v>
      </c>
      <c r="W22" s="25">
        <f ca="1"/>
        <v>680</v>
      </c>
      <c r="X22" s="25">
        <f ca="1"/>
        <v>80</v>
      </c>
      <c r="Y22" s="25">
        <f ca="1"/>
        <v>320</v>
      </c>
      <c r="Z22" s="25">
        <f ca="1"/>
        <v>480</v>
      </c>
      <c r="AA22" s="25">
        <f ca="1"/>
        <v>480</v>
      </c>
      <c r="AB22" s="25">
        <f ca="1"/>
        <v>100</v>
      </c>
      <c r="AC22" s="25">
        <f ca="1"/>
        <v>340</v>
      </c>
      <c r="AD22" s="25">
        <f ca="1"/>
        <v>340</v>
      </c>
      <c r="AE22" s="25">
        <f ca="1"/>
        <v>340</v>
      </c>
      <c r="AF22" s="26" t="s">
        <v>229</v>
      </c>
      <c r="AG22" s="26"/>
      <c r="AH22" s="26"/>
    </row>
    <row r="23" spans="1:34" ht="20.100000000000001" customHeight="1" x14ac:dyDescent="0.25">
      <c r="A23" s="5" t="str">
        <f>HYPERLINK("#'Input - Solid waste'!A1", "Solid waste")</f>
        <v>Solid waste</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229</v>
      </c>
      <c r="U23" s="25" t="str">
        <f>TEXT(EDATE(X_Cell_Site_StartDate,3), "mmmm")</f>
        <v>April</v>
      </c>
      <c r="V23" s="25">
        <f ca="1"/>
        <v>100</v>
      </c>
      <c r="W23" s="25">
        <f ca="1"/>
        <v>680</v>
      </c>
      <c r="X23" s="25">
        <f ca="1"/>
        <v>80</v>
      </c>
      <c r="Y23" s="25">
        <f ca="1"/>
        <v>320</v>
      </c>
      <c r="Z23" s="25">
        <f ca="1"/>
        <v>480</v>
      </c>
      <c r="AA23" s="25">
        <f ca="1"/>
        <v>480</v>
      </c>
      <c r="AB23" s="25">
        <f ca="1"/>
        <v>100</v>
      </c>
      <c r="AC23" s="25">
        <f ca="1"/>
        <v>340</v>
      </c>
      <c r="AD23" s="25">
        <f ca="1"/>
        <v>340</v>
      </c>
      <c r="AE23" s="25">
        <f ca="1"/>
        <v>340</v>
      </c>
      <c r="AF23" s="26" t="s">
        <v>229</v>
      </c>
      <c r="AG23" s="26"/>
      <c r="AH23" s="26"/>
    </row>
    <row r="24" spans="1:34" ht="20.100000000000001" customHeight="1" x14ac:dyDescent="0.25">
      <c r="U24" s="25" t="str">
        <f>TEXT(EDATE(X_Cell_Site_StartDate,4), "mmmm")</f>
        <v>May</v>
      </c>
      <c r="V24" s="25">
        <f ca="1"/>
        <v>100</v>
      </c>
      <c r="W24" s="25">
        <f ca="1"/>
        <v>680</v>
      </c>
      <c r="X24" s="25">
        <f ca="1"/>
        <v>80</v>
      </c>
      <c r="Y24" s="25">
        <f ca="1"/>
        <v>320</v>
      </c>
      <c r="Z24" s="25">
        <f ca="1"/>
        <v>480</v>
      </c>
      <c r="AA24" s="25">
        <f ca="1"/>
        <v>480</v>
      </c>
      <c r="AB24" s="25">
        <f ca="1"/>
        <v>100</v>
      </c>
      <c r="AC24" s="25">
        <f ca="1"/>
        <v>340</v>
      </c>
      <c r="AD24" s="25">
        <f ca="1"/>
        <v>340</v>
      </c>
      <c r="AE24" s="25">
        <f ca="1"/>
        <v>340</v>
      </c>
      <c r="AF24" s="26" t="s">
        <v>229</v>
      </c>
      <c r="AG24" s="26"/>
      <c r="AH24" s="26"/>
    </row>
    <row r="25" spans="1:34" ht="20.100000000000001" customHeight="1" x14ac:dyDescent="0.25">
      <c r="D25" s="109" t="s">
        <v>327</v>
      </c>
      <c r="U25" s="25" t="str">
        <f>TEXT(EDATE(X_Cell_Site_StartDate,5), "mmmm")</f>
        <v>June</v>
      </c>
      <c r="V25" s="25">
        <f ca="1"/>
        <v>190</v>
      </c>
      <c r="W25" s="25">
        <f ca="1"/>
        <v>700</v>
      </c>
      <c r="X25" s="25">
        <f ca="1"/>
        <v>150</v>
      </c>
      <c r="Y25" s="25">
        <f ca="1"/>
        <v>330</v>
      </c>
      <c r="Z25" s="25">
        <f ca="1"/>
        <v>490</v>
      </c>
      <c r="AA25" s="25">
        <f ca="1"/>
        <v>490</v>
      </c>
      <c r="AB25" s="25">
        <f ca="1"/>
        <v>170</v>
      </c>
      <c r="AC25" s="25">
        <f ca="1"/>
        <v>360</v>
      </c>
      <c r="AD25" s="25">
        <f ca="1"/>
        <v>360</v>
      </c>
      <c r="AE25" s="25">
        <f ca="1"/>
        <v>360</v>
      </c>
      <c r="AF25" s="26" t="s">
        <v>229</v>
      </c>
      <c r="AG25" s="26"/>
      <c r="AH25" s="26"/>
    </row>
    <row r="26" spans="1:34" ht="20.100000000000001" customHeight="1" x14ac:dyDescent="0.25">
      <c r="A26" s="6" t="s">
        <v>2</v>
      </c>
      <c r="D26" s="110" t="s">
        <v>328</v>
      </c>
      <c r="U26" s="25" t="str">
        <f>TEXT(EDATE(X_Cell_Site_StartDate,6), "mmmm")</f>
        <v>July</v>
      </c>
      <c r="V26" s="25">
        <f ca="1"/>
        <v>190</v>
      </c>
      <c r="W26" s="25">
        <f ca="1"/>
        <v>700</v>
      </c>
      <c r="X26" s="25">
        <f ca="1"/>
        <v>150</v>
      </c>
      <c r="Y26" s="25">
        <f ca="1"/>
        <v>330</v>
      </c>
      <c r="Z26" s="25">
        <f ca="1"/>
        <v>490</v>
      </c>
      <c r="AA26" s="25">
        <f ca="1"/>
        <v>490</v>
      </c>
      <c r="AB26" s="25">
        <f ca="1"/>
        <v>170</v>
      </c>
      <c r="AC26" s="25">
        <f ca="1"/>
        <v>360</v>
      </c>
      <c r="AD26" s="25">
        <f ca="1"/>
        <v>360</v>
      </c>
      <c r="AE26" s="25">
        <f ca="1"/>
        <v>360</v>
      </c>
      <c r="AF26" s="26" t="s">
        <v>229</v>
      </c>
      <c r="AG26" s="26"/>
      <c r="AH26" s="26"/>
    </row>
    <row r="27" spans="1:34" ht="20.100000000000001" customHeight="1" x14ac:dyDescent="0.25">
      <c r="A27" s="5" t="str">
        <f>HYPERLINK("#'3.2.1.1-2 Enteric Methane'!A1", "3.2.1.1-2 Enteric methane")</f>
        <v>3.2.1.1-2 Enteric methane</v>
      </c>
      <c r="D27" s="111" t="s">
        <v>211</v>
      </c>
      <c r="E27" s="111" t="s">
        <v>201</v>
      </c>
      <c r="F27" s="111" t="s">
        <v>212</v>
      </c>
      <c r="G27" s="111" t="s">
        <v>213</v>
      </c>
      <c r="H27" s="111" t="s">
        <v>214</v>
      </c>
      <c r="I27" s="111" t="s">
        <v>215</v>
      </c>
      <c r="J27" s="111" t="s">
        <v>216</v>
      </c>
      <c r="K27" s="111" t="s">
        <v>217</v>
      </c>
      <c r="L27" s="111" t="s">
        <v>218</v>
      </c>
      <c r="M27" s="111" t="s">
        <v>219</v>
      </c>
      <c r="U27" s="25" t="str">
        <f>TEXT(EDATE(X_Cell_Site_StartDate,7), "mmmm")</f>
        <v>August</v>
      </c>
      <c r="V27" s="25">
        <f ca="1"/>
        <v>190</v>
      </c>
      <c r="W27" s="25">
        <f ca="1"/>
        <v>700</v>
      </c>
      <c r="X27" s="25">
        <f ca="1"/>
        <v>150</v>
      </c>
      <c r="Y27" s="25">
        <f ca="1"/>
        <v>330</v>
      </c>
      <c r="Z27" s="25">
        <f ca="1"/>
        <v>490</v>
      </c>
      <c r="AA27" s="25">
        <f ca="1"/>
        <v>490</v>
      </c>
      <c r="AB27" s="25">
        <f ca="1"/>
        <v>170</v>
      </c>
      <c r="AC27" s="25">
        <f ca="1"/>
        <v>360</v>
      </c>
      <c r="AD27" s="25">
        <f ca="1"/>
        <v>360</v>
      </c>
      <c r="AE27" s="25">
        <f ca="1"/>
        <v>360</v>
      </c>
      <c r="AF27" s="26" t="s">
        <v>229</v>
      </c>
      <c r="AG27" s="26"/>
      <c r="AH27" s="26"/>
    </row>
    <row r="28" spans="1:34" ht="20.100000000000001" customHeight="1" x14ac:dyDescent="0.25">
      <c r="A28" s="5" t="str">
        <f>HYPERLINK("#'4.2.1.1-2 Methane'!A1", "4.2.1.1-2 Manure methane")</f>
        <v>4.2.1.1-2 Manure methane</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229</v>
      </c>
      <c r="U28" s="25" t="str">
        <f>TEXT(EDATE(X_Cell_Site_StartDate,8), "mmmm")</f>
        <v>September</v>
      </c>
      <c r="V28" s="25">
        <f ca="1"/>
        <v>340</v>
      </c>
      <c r="W28" s="25">
        <f ca="1"/>
        <v>800</v>
      </c>
      <c r="X28" s="25">
        <f ca="1"/>
        <v>260</v>
      </c>
      <c r="Y28" s="25">
        <f ca="1"/>
        <v>420</v>
      </c>
      <c r="Z28" s="25">
        <f ca="1"/>
        <v>550</v>
      </c>
      <c r="AA28" s="25">
        <f ca="1"/>
        <v>550</v>
      </c>
      <c r="AB28" s="25">
        <f ca="1"/>
        <v>300</v>
      </c>
      <c r="AC28" s="25">
        <f ca="1"/>
        <v>480</v>
      </c>
      <c r="AD28" s="25">
        <f ca="1"/>
        <v>480</v>
      </c>
      <c r="AE28" s="25">
        <f ca="1"/>
        <v>480</v>
      </c>
      <c r="AF28" s="26" t="s">
        <v>229</v>
      </c>
      <c r="AG28" s="26"/>
      <c r="AH28" s="26"/>
    </row>
    <row r="29" spans="1:34" ht="20.100000000000001" customHeight="1" x14ac:dyDescent="0.25">
      <c r="A29" s="101" t="str">
        <f>HYPERLINK("#'4.2.1.3-4 Soil direct N20'!A1", "4.2.1.3-4 Soil direct N2O")</f>
        <v>4.2.1.3-4 Soil direct N2O</v>
      </c>
      <c r="U29" s="25" t="str">
        <f>TEXT(EDATE(X_Cell_Site_StartDate,9), "mmmm")</f>
        <v>October</v>
      </c>
      <c r="V29" s="25">
        <f ca="1"/>
        <v>340</v>
      </c>
      <c r="W29" s="25">
        <f ca="1"/>
        <v>800</v>
      </c>
      <c r="X29" s="25">
        <f ca="1"/>
        <v>260</v>
      </c>
      <c r="Y29" s="25">
        <f ca="1"/>
        <v>420</v>
      </c>
      <c r="Z29" s="25">
        <f ca="1"/>
        <v>550</v>
      </c>
      <c r="AA29" s="25">
        <f ca="1"/>
        <v>550</v>
      </c>
      <c r="AB29" s="25">
        <f ca="1"/>
        <v>300</v>
      </c>
      <c r="AC29" s="25">
        <f ca="1"/>
        <v>480</v>
      </c>
      <c r="AD29" s="25">
        <f ca="1"/>
        <v>480</v>
      </c>
      <c r="AE29" s="25">
        <f ca="1"/>
        <v>480</v>
      </c>
      <c r="AF29" s="26" t="s">
        <v>229</v>
      </c>
      <c r="AG29" s="26"/>
      <c r="AH29" s="26"/>
    </row>
    <row r="30" spans="1:34" ht="20.100000000000001" customHeight="1" x14ac:dyDescent="0.25">
      <c r="A30" s="5" t="str">
        <f>HYPERLINK("#'4.2.1.5-6 Soil Atmos Dep'!A1", "4.2.1.5-6 Soil atm. deposition")</f>
        <v>4.2.1.5-6 Soil atm. deposition</v>
      </c>
      <c r="D30" s="109" t="s">
        <v>329</v>
      </c>
      <c r="U30" s="25" t="str">
        <f>TEXT(EDATE(X_Cell_Site_StartDate,10), "mmmm")</f>
        <v>November</v>
      </c>
      <c r="V30" s="25">
        <f ca="1"/>
        <v>340</v>
      </c>
      <c r="W30" s="25">
        <f ca="1"/>
        <v>800</v>
      </c>
      <c r="X30" s="25">
        <f ca="1"/>
        <v>260</v>
      </c>
      <c r="Y30" s="25">
        <f ca="1"/>
        <v>420</v>
      </c>
      <c r="Z30" s="25">
        <f ca="1"/>
        <v>550</v>
      </c>
      <c r="AA30" s="25">
        <f ca="1"/>
        <v>550</v>
      </c>
      <c r="AB30" s="25">
        <f ca="1"/>
        <v>300</v>
      </c>
      <c r="AC30" s="25">
        <f ca="1"/>
        <v>480</v>
      </c>
      <c r="AD30" s="25">
        <f ca="1"/>
        <v>480</v>
      </c>
      <c r="AE30" s="25">
        <f ca="1"/>
        <v>480</v>
      </c>
      <c r="AF30" s="26" t="s">
        <v>229</v>
      </c>
      <c r="AG30" s="26"/>
      <c r="AH30" s="26"/>
    </row>
    <row r="31" spans="1:34" ht="20.100000000000001" customHeight="1" x14ac:dyDescent="0.25">
      <c r="A31" s="5" t="str">
        <f>HYPERLINK("#'4.2.1.7-8 Soil leach runoff'!A1", "4.2.1.7-8 Soil leach &amp; runoff")</f>
        <v>4.2.1.7-8 Soil leach &amp; runoff</v>
      </c>
      <c r="D31" s="110" t="s">
        <v>330</v>
      </c>
      <c r="U31" s="25" t="str">
        <f>TEXT(EDATE(X_Cell_Site_StartDate,11), "mmmm")</f>
        <v>December</v>
      </c>
      <c r="V31" s="25">
        <f ca="1"/>
        <v>380</v>
      </c>
      <c r="W31" s="25">
        <f ca="1"/>
        <v>780</v>
      </c>
      <c r="X31" s="25">
        <f ca="1"/>
        <v>300</v>
      </c>
      <c r="Y31" s="25">
        <f ca="1"/>
        <v>450</v>
      </c>
      <c r="Z31" s="25">
        <f ca="1"/>
        <v>530</v>
      </c>
      <c r="AA31" s="25">
        <f ca="1"/>
        <v>530</v>
      </c>
      <c r="AB31" s="25">
        <f ca="1"/>
        <v>340</v>
      </c>
      <c r="AC31" s="25">
        <f ca="1"/>
        <v>470</v>
      </c>
      <c r="AD31" s="25">
        <f ca="1"/>
        <v>470</v>
      </c>
      <c r="AE31" s="25">
        <f ca="1"/>
        <v>470</v>
      </c>
      <c r="AF31" s="26" t="s">
        <v>229</v>
      </c>
      <c r="AG31" s="26"/>
      <c r="AH31" s="26"/>
    </row>
    <row r="32" spans="1:34" ht="20.100000000000001" customHeight="1" x14ac:dyDescent="0.25">
      <c r="A32" s="5" t="str">
        <f>HYPERLINK("#'5.1.1.1-2 Inorganic fert N2O'!A1", "5.1.1.1-2 Inorganic fert N2O")</f>
        <v>5.1.1.1-2 Inorganic fert N2O</v>
      </c>
      <c r="D32" s="111" t="s">
        <v>77</v>
      </c>
      <c r="E32" s="111" t="s">
        <v>211</v>
      </c>
      <c r="F32" s="111" t="s">
        <v>201</v>
      </c>
      <c r="G32" s="111" t="s">
        <v>212</v>
      </c>
      <c r="H32" s="111" t="s">
        <v>213</v>
      </c>
      <c r="I32" s="111" t="s">
        <v>214</v>
      </c>
      <c r="J32" s="111" t="s">
        <v>215</v>
      </c>
      <c r="K32" s="111" t="s">
        <v>216</v>
      </c>
      <c r="L32" s="111" t="s">
        <v>217</v>
      </c>
      <c r="M32" s="111" t="s">
        <v>218</v>
      </c>
      <c r="N32" s="111" t="s">
        <v>219</v>
      </c>
    </row>
    <row r="33" spans="1:34" ht="20.100000000000001" customHeight="1" x14ac:dyDescent="0.25">
      <c r="A33" s="5" t="str">
        <f>HYPERLINK("#'5.1.1.3-4 Inorganic fert CO2'!A1", "5.1.1.3-4 Inorganic fert CO2")</f>
        <v>5.1.1.3-4 Inorganic fert CO2</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09" t="s">
        <v>331</v>
      </c>
    </row>
    <row r="34" spans="1:34" ht="20.100000000000001" customHeight="1" x14ac:dyDescent="0.25">
      <c r="A34" s="5" t="str">
        <f>HYPERLINK("#'5.2.1.1-2 Organic Fert N2O'!A1", "5.2.1.1-2 Organic fert N2O")</f>
        <v>5.2.1.1-2 Organic fert N2O</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0" t="s">
        <v>332</v>
      </c>
    </row>
    <row r="35" spans="1:34" ht="20.100000000000001" customHeight="1" x14ac:dyDescent="0.25">
      <c r="A35" s="5" t="str">
        <f>HYPERLINK("#'5.3.1.1-2 Lime CO2'!A1", "5.3.1.1-2 Lime CO2")</f>
        <v>5.3.1.1-2 Lime CO2</v>
      </c>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1" t="s">
        <v>76</v>
      </c>
      <c r="V35" s="111" t="s">
        <v>211</v>
      </c>
      <c r="W35" s="111" t="s">
        <v>201</v>
      </c>
      <c r="X35" s="111" t="s">
        <v>212</v>
      </c>
      <c r="Y35" s="111" t="s">
        <v>213</v>
      </c>
      <c r="Z35" s="111" t="s">
        <v>214</v>
      </c>
      <c r="AA35" s="111" t="s">
        <v>215</v>
      </c>
      <c r="AB35" s="111" t="s">
        <v>216</v>
      </c>
      <c r="AC35" s="111" t="s">
        <v>217</v>
      </c>
      <c r="AD35" s="111" t="s">
        <v>218</v>
      </c>
      <c r="AE35" s="111" t="s">
        <v>219</v>
      </c>
      <c r="AF35" s="26"/>
      <c r="AG35" s="26"/>
      <c r="AH35" s="26"/>
    </row>
    <row r="36" spans="1:34" ht="20.100000000000001" customHeight="1" x14ac:dyDescent="0.25">
      <c r="A36" s="5" t="str">
        <f>HYPERLINK("#'5.4.1.1-4 Atmos deposition'!A1", "5.4.1.1-4 Atmos. deposition")</f>
        <v>5.4.1.1-4 Atmos. deposition</v>
      </c>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TEXT(X_Cell_Site_StartDate,"mmmm")</f>
        <v>January</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5" t="str">
        <f>HYPERLINK("#'5.5.1.1-2 Leaching and runoff'!A1", "5.5.1.1-2 Leaching &amp; runoff")</f>
        <v>5.5.1.1-2 Leaching &amp; runoff</v>
      </c>
      <c r="U37" s="25" t="str">
        <f>TEXT(EDATE(X_Cell_Site_StartDate,1), "mmmm")</f>
        <v>February</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HYPERLINK("#'6.2.1.1-2 Pasture residue N2O'!A1", "6.2.1.1-2 Pasture residue N2O")</f>
        <v>6.2.1.1-2 Pasture residue N2O</v>
      </c>
      <c r="U38" s="25" t="str">
        <f>TEXT(EDATE(X_Cell_Site_StartDate,2), "mmmm")</f>
        <v>March</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HYPERLINK("#'6.3.1.1-2 Leach runoff pasture'!A1", "6.3.1.1-2 Leach &amp; runoff (pasture)")</f>
        <v>6.3.1.1-2 Leach &amp; runoff (pasture)</v>
      </c>
      <c r="C39" s="114"/>
      <c r="D39" s="114"/>
      <c r="E39" s="114"/>
      <c r="F39" s="114"/>
      <c r="G39" s="114"/>
      <c r="H39" s="114"/>
      <c r="I39" s="114"/>
      <c r="J39" s="114"/>
      <c r="K39" s="114"/>
      <c r="L39" s="114"/>
      <c r="M39" s="114"/>
      <c r="N39" s="114"/>
      <c r="O39" s="114"/>
      <c r="P39" s="114"/>
      <c r="Q39" s="114"/>
      <c r="R39" s="114"/>
      <c r="U39" s="25" t="str">
        <f>TEXT(EDATE(X_Cell_Site_StartDate,3), "mmmm")</f>
        <v>April</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HYPERLINK("#'8.1.1.1-2 Transport fuel'!A1", "8.1.1.1-2 Transport fuel")</f>
        <v>8.1.1.1-2 Transport fuel</v>
      </c>
      <c r="D40" s="2" t="str" cm="1">
        <f t="array" ref="D40">MMS_PastureBeef_Soil_N2ODirect_Equations.VEERG_4_2_1_3__6_IntakeRelativeToMaintenance_Title()</f>
        <v>Intake relative to that needed for maintenance</v>
      </c>
      <c r="U40" s="25" t="str">
        <f>TEXT(EDATE(X_Cell_Site_StartDate,4), "mmmm")</f>
        <v>May</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HYPERLINK("#'8.2.1.1-2 Stationary fuel'!A1", "8.2.1.1-2 Stationary fuel")</f>
        <v>8.2.1.1-2 Stationary fuel</v>
      </c>
      <c r="D41" s="27" t="str" cm="1">
        <f t="array" ref="D41">MMS_PastureBeef_Soil_N2ODirect_Equations.VEERG_4_2_1_3__6_IntakeRelativeToMaintenance_Source()</f>
        <v>VEERG 2026: 4.2.1.3, Equation (6)</v>
      </c>
      <c r="U41" s="25" t="str">
        <f>TEXT(EDATE(X_Cell_Site_StartDate,5), "mmmm")</f>
        <v>June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HYPERLINK("#'14.1.1-2 Purchased electricity'!A1", "14.1.1-2 Purchased electricity")</f>
        <v>14.1.1-2 Purchased electricity</v>
      </c>
      <c r="D42" s="100" t="s">
        <v>259</v>
      </c>
      <c r="E42" s="100" t="str" cm="1">
        <f t="array" aca="1" ref="E42" ca="1">Common_InputFunctions.Utility_DisplayFunctionName(E62)</f>
        <v>=MMS_PastureBeef_Soil_N2ODirect_Equations.VEERG_4_2_1_3__6_IntakeRelativeToMaintenance</v>
      </c>
      <c r="U42" s="25" t="str">
        <f>TEXT(EDATE(X_Cell_Site_StartDate,6), "mmmm")</f>
        <v>July</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HYPERLINK("#'15 Scope 3'!A1", "15 Scope 3")</f>
        <v>15 Scope 3</v>
      </c>
      <c r="U43" s="25" t="str">
        <f>TEXT(EDATE(X_Cell_Site_StartDate,7), "mmmm")</f>
        <v>August</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HYPERLINK("#'Calcs - Manure sent off-site'!A1", "Calcs - Manure sent off-site")</f>
        <v>Calcs - Manure sent off-site</v>
      </c>
      <c r="U44" s="25" t="str">
        <f>TEXT(EDATE(X_Cell_Site_StartDate,8), "mmmm")</f>
        <v>September</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HYPERLINK("#'10.1.1-2 Solid waste treatment'!A1", "10.1.1-2 Solid waste treatment")</f>
        <v>10.1.1-2 Solid waste treatment</v>
      </c>
      <c r="D45" s="88" t="s">
        <v>261</v>
      </c>
      <c r="E45" s="1" t="str" cm="1">
        <f t="array" ref="E45">MMS_PastureBeef_Soil_N2ODirect_Equations.VEERG_4_2_1_3__6_IntakeRelativeToMaintenance_Variable()</f>
        <v>L_jkl</v>
      </c>
      <c r="U45" s="25" t="str">
        <f>TEXT(EDATE(X_Cell_Site_StartDate,9), "mmmm")</f>
        <v>October</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D46" s="88" t="s">
        <v>131</v>
      </c>
      <c r="E46" s="15" t="str" cm="1">
        <f t="array" ref="E46">MMS_PastureBeef_Soil_N2ODirect_Equations.VEERG_4_2_1_3__6_IntakeRelativeToMaintenance_Unit()</f>
        <v>ratio</v>
      </c>
      <c r="U46" s="25" t="str">
        <f>TEXT(EDATE(X_Cell_Site_StartDate,10), "mmmm")</f>
        <v>November</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str">
        <f>TEXT(EDATE(X_Cell_Site_StartDate,11), "mmmm")</f>
        <v>December</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A48" s="97" t="s">
        <v>1</v>
      </c>
      <c r="D48" s="102" t="str" cm="1">
        <f t="array" ref="D48:E49">_xlfn.CHOOSECOLS(MMS_PastureBeef_Soil_N2ODirect_Equations.VEERG_4_2_1_3__6_IntakeRelativeToMaintenance_Arguments(),1,2)</f>
        <v>I_jkl</v>
      </c>
      <c r="E48" s="103" t="str">
        <v>dry matter intake as calculated in Chapter 3 Section 3.2.1 (kg DM/head/day)</v>
      </c>
      <c r="F48" s="105"/>
      <c r="G48" s="102" t="str" cm="1">
        <f t="array" ref="G48:H49">_xlfn.CHOOSECOLS(MMS_PastureBeef_Soil_N2ODirect_Equations.VEERG_4_2_1_3__6_IntakeRelativeToMaintenance_Arguments(),3,4)</f>
        <v>kg DM/head/day</v>
      </c>
      <c r="H48" s="107" t="str">
        <v>Calculated from 3.2.1.1 (3)</v>
      </c>
      <c r="I48" s="108" t="str" cm="1">
        <f t="array" aca="1" ref="I48" ca="1">HYPERLINK(Common_InputFunctions.Utility_SourceHyperlink($D$51), $D$51)</f>
        <v>M1_Table_I_j_k_l</v>
      </c>
    </row>
    <row r="49" spans="1:35" ht="20.100000000000001" customHeight="1" x14ac:dyDescent="0.25">
      <c r="A49" s="5" t="str">
        <f>HYPERLINK("#'Constants - Pasture Beef'!A1", "Constants - Pasture Beef")</f>
        <v>Constants - Pasture Beef</v>
      </c>
      <c r="D49" s="102" t="str">
        <v>W_jkl</v>
      </c>
      <c r="E49" s="103" t="str">
        <v>liveweight (kg/head)</v>
      </c>
      <c r="F49" s="105"/>
      <c r="G49" s="102" t="str">
        <v>kg/head</v>
      </c>
      <c r="H49" s="106" t="str">
        <v>Input</v>
      </c>
      <c r="I49" s="108" t="str" cm="1">
        <f t="array" aca="1" ref="I49" ca="1">HYPERLINK(Common_InputFunctions.Utility_SourceHyperlink($D$17), $D$17)</f>
        <v>M1_Table_W_j_k_l</v>
      </c>
    </row>
    <row r="50" spans="1:35" ht="20.100000000000001" customHeight="1" x14ac:dyDescent="0.25">
      <c r="A50" s="5" t="str">
        <f>HYPERLINK("#'Constants - Ag Residue'!A1", "Constants - Ag residue")</f>
        <v>Constants - Ag residue</v>
      </c>
      <c r="T50" s="114"/>
      <c r="U50" s="114"/>
      <c r="V50" s="114"/>
      <c r="W50" s="114"/>
      <c r="X50" s="114"/>
      <c r="Y50" s="114"/>
      <c r="Z50" s="114"/>
      <c r="AA50" s="114"/>
      <c r="AB50" s="114"/>
      <c r="AC50" s="114"/>
      <c r="AD50" s="114"/>
      <c r="AE50" s="114"/>
      <c r="AF50" s="114"/>
      <c r="AG50" s="114"/>
      <c r="AH50" s="114"/>
      <c r="AI50" s="114"/>
    </row>
    <row r="51" spans="1:35" ht="20.100000000000001" customHeight="1" x14ac:dyDescent="0.25">
      <c r="A51" s="5" t="str">
        <f>HYPERLINK("#'Constants - Common Livestock'!A1", "Constants - Common Livestock")</f>
        <v>Constants - Common Livestock</v>
      </c>
      <c r="D51" s="109" t="s">
        <v>286</v>
      </c>
      <c r="U51" s="2" t="str" cm="1">
        <f t="array" ref="U51">MMS_PastureBeef_Soil_N2ODirect_Equations.VEERG_4_2_1_3__6_IntakeRelativeToMaintenance_Title()</f>
        <v>Intake relative to that needed for maintenance</v>
      </c>
    </row>
    <row r="52" spans="1:35" ht="20.100000000000001" customHeight="1" x14ac:dyDescent="0.25">
      <c r="A52" s="5" t="str">
        <f>HYPERLINK("#'Constants - Electricity'!A1", "Constants - Electricity")</f>
        <v>Constants - Electricity</v>
      </c>
      <c r="D52" s="110" t="s">
        <v>287</v>
      </c>
    </row>
    <row r="53" spans="1:35" ht="20.100000000000001" customHeight="1" x14ac:dyDescent="0.25">
      <c r="A53" s="5" t="str">
        <f>HYPERLINK("#'Constants - Fertiliser'!A1", "Constants - Fertiliser")</f>
        <v>Constants - Fertiliser</v>
      </c>
      <c r="D53" s="111" t="s">
        <v>77</v>
      </c>
      <c r="E53" s="111" t="s">
        <v>211</v>
      </c>
      <c r="F53" s="111" t="s">
        <v>201</v>
      </c>
      <c r="G53" s="111" t="s">
        <v>212</v>
      </c>
      <c r="H53" s="111" t="s">
        <v>213</v>
      </c>
      <c r="I53" s="111" t="s">
        <v>214</v>
      </c>
      <c r="J53" s="111" t="s">
        <v>215</v>
      </c>
      <c r="K53" s="111" t="s">
        <v>216</v>
      </c>
      <c r="L53" s="111" t="s">
        <v>217</v>
      </c>
      <c r="M53" s="111" t="s">
        <v>218</v>
      </c>
      <c r="N53" s="111" t="s">
        <v>219</v>
      </c>
      <c r="U53" s="109" t="s">
        <v>284</v>
      </c>
    </row>
    <row r="54" spans="1:35" ht="20.100000000000001" customHeight="1" x14ac:dyDescent="0.25">
      <c r="A54" s="5" t="str">
        <f>HYPERLINK("#'Constants - Fuel'!A1", "Constants - Fuel")</f>
        <v>Constants - Fuel</v>
      </c>
      <c r="D54" s="25" t="s">
        <v>220</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0" t="s">
        <v>285</v>
      </c>
    </row>
    <row r="55" spans="1:35" ht="20.100000000000001" customHeight="1" x14ac:dyDescent="0.25">
      <c r="A55" s="5" t="str">
        <f>HYPERLINK("#'Constants - Scope 3'!A1", "Constants - Scope 3")</f>
        <v>Constants - Scope 3</v>
      </c>
      <c r="D55" s="25" t="s">
        <v>221</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1" t="s">
        <v>76</v>
      </c>
      <c r="V55" s="111" t="s">
        <v>211</v>
      </c>
      <c r="W55" s="111" t="s">
        <v>201</v>
      </c>
      <c r="X55" s="111" t="s">
        <v>212</v>
      </c>
      <c r="Y55" s="111" t="s">
        <v>213</v>
      </c>
      <c r="Z55" s="111" t="s">
        <v>214</v>
      </c>
      <c r="AA55" s="111" t="s">
        <v>215</v>
      </c>
      <c r="AB55" s="111" t="s">
        <v>216</v>
      </c>
      <c r="AC55" s="111" t="s">
        <v>217</v>
      </c>
      <c r="AD55" s="111" t="s">
        <v>218</v>
      </c>
      <c r="AE55" s="111" t="s">
        <v>219</v>
      </c>
    </row>
    <row r="56" spans="1:35" ht="20.100000000000001" customHeight="1" x14ac:dyDescent="0.25">
      <c r="A56" s="5" t="str">
        <f>HYPERLINK("#'Constants - Common'!A1", "Constants - Common")</f>
        <v>Constants - Common</v>
      </c>
      <c r="D56" s="25" t="s">
        <v>222</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TEXT(X_Cell_Site_StartDate,"mmmm")</f>
        <v>January</v>
      </c>
      <c r="V56" s="25">
        <f ca="1">INDEX(M2_Table_I_j_k_l,2,2)</f>
        <v>7.1468536895999959</v>
      </c>
      <c r="W56" s="25">
        <f ca="1">INDEX(M2_Table_I_j_k_l,2,3)</f>
        <v>9.4559940036000008</v>
      </c>
      <c r="X56" s="25">
        <f ca="1">INDEX(M2_Table_I_j_k_l,2,4)</f>
        <v>6.010342559999998</v>
      </c>
      <c r="Y56" s="25">
        <f ca="1">INDEX(M2_Table_I_j_k_l,2,5)</f>
        <v>8.4608409301875014</v>
      </c>
      <c r="Z56" s="25">
        <f ca="1">INDEX(M2_Table_I_j_k_l,2,6)</f>
        <v>8.3772677761199983</v>
      </c>
      <c r="AA56" s="25">
        <f ca="1">INDEX(M2_Table_I_j_k_l,2,7)</f>
        <v>8.3772677761199983</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1:35" ht="20.100000000000001" customHeight="1" x14ac:dyDescent="0.25">
      <c r="A57" s="5" t="str">
        <f>HYPERLINK("#'Acknowledgements'!A1", "Acknowledgements")</f>
        <v>Acknowledgements</v>
      </c>
      <c r="D57" s="25" t="s">
        <v>223</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str">
        <f>TEXT(EDATE(X_Cell_Site_StartDate,1), "mmmm")</f>
        <v>February</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1:35" ht="20.100000000000001" customHeight="1" x14ac:dyDescent="0.25">
      <c r="A58" s="5" t="str">
        <f>HYPERLINK("#'Constants - Solid Waste'!A1", "Constants - Solid Waste")</f>
        <v>Constants - Solid Waste</v>
      </c>
      <c r="U58" s="25" t="str">
        <f>TEXT(EDATE(X_Cell_Site_StartDate,2), "mmmm")</f>
        <v>March</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1:35" ht="20.100000000000001" customHeight="1" x14ac:dyDescent="0.25">
      <c r="D59" s="109" t="s">
        <v>333</v>
      </c>
      <c r="U59" s="25" t="str">
        <f>TEXT(EDATE(X_Cell_Site_StartDate,3), "mmmm")</f>
        <v>April</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1:35" ht="20.100000000000001" customHeight="1" x14ac:dyDescent="0.25">
      <c r="D60" s="110" t="s">
        <v>334</v>
      </c>
      <c r="U60" s="25" t="str">
        <f>TEXT(EDATE(X_Cell_Site_StartDate,4), "mmmm")</f>
        <v>May</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1:35" ht="20.100000000000001" customHeight="1" x14ac:dyDescent="0.25">
      <c r="D61" s="111" t="s">
        <v>77</v>
      </c>
      <c r="E61" s="111" t="s">
        <v>211</v>
      </c>
      <c r="F61" s="111" t="s">
        <v>201</v>
      </c>
      <c r="G61" s="111" t="s">
        <v>212</v>
      </c>
      <c r="H61" s="111" t="s">
        <v>213</v>
      </c>
      <c r="I61" s="111" t="s">
        <v>214</v>
      </c>
      <c r="J61" s="111" t="s">
        <v>215</v>
      </c>
      <c r="K61" s="111" t="s">
        <v>216</v>
      </c>
      <c r="L61" s="111" t="s">
        <v>217</v>
      </c>
      <c r="M61" s="111" t="s">
        <v>218</v>
      </c>
      <c r="N61" s="111" t="s">
        <v>219</v>
      </c>
      <c r="U61" s="25" t="str">
        <f>TEXT(EDATE(X_Cell_Site_StartDate,5), "mmmm")</f>
        <v>June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1:35" ht="20.100000000000001" customHeight="1" x14ac:dyDescent="0.25">
      <c r="D62" s="25" t="s">
        <v>220</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str">
        <f>TEXT(EDATE(X_Cell_Site_StartDate,6), "mmmm")</f>
        <v>July</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1:35" ht="20.100000000000001" customHeight="1" x14ac:dyDescent="0.25">
      <c r="D63" s="25" t="s">
        <v>221</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str">
        <f>TEXT(EDATE(X_Cell_Site_StartDate,7), "mmmm")</f>
        <v>August</v>
      </c>
      <c r="V63" s="25">
        <f ca="1">INDEX(M2_Table_I_j_k_l,9,2)</f>
        <v>5.1328980481000004</v>
      </c>
      <c r="W63" s="25">
        <f ca="1">INDEX(M2_Table_I_j_k_l,9,3)</f>
        <v>9.9748588899999984</v>
      </c>
      <c r="X63" s="25">
        <f ca="1">INDEX(M2_Table_I_j_k_l,9,4)</f>
        <v>4.202705002500001</v>
      </c>
      <c r="Y63" s="25">
        <f ca="1">INDEX(M2_Table_I_j_k_l,9,5)</f>
        <v>7.2615706605225032</v>
      </c>
      <c r="Z63" s="25">
        <f ca="1">INDEX(M2_Table_I_j_k_l,9,6)</f>
        <v>9.7416209101224993</v>
      </c>
      <c r="AA63" s="25">
        <f ca="1">INDEX(M2_Table_I_j_k_l,9,7)</f>
        <v>9.7416209101224993</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1:35" ht="20.100000000000001" customHeight="1" x14ac:dyDescent="0.25">
      <c r="D64" s="25" t="s">
        <v>222</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str">
        <f>TEXT(EDATE(X_Cell_Site_StartDate,8), "mmmm")</f>
        <v>September</v>
      </c>
      <c r="V64" s="25">
        <f ca="1">INDEX(M2_Table_I_j_k_l,10,2)</f>
        <v>8.6709047296000001</v>
      </c>
      <c r="W64" s="25">
        <f ca="1">INDEX(M2_Table_I_j_k_l,10,3)</f>
        <v>12.246500250000002</v>
      </c>
      <c r="X64" s="25">
        <f ca="1">INDEX(M2_Table_I_j_k_l,10,4)</f>
        <v>6.6089612241000006</v>
      </c>
      <c r="Y64" s="25">
        <f ca="1">INDEX(M2_Table_I_j_k_l,10,5)</f>
        <v>10.624527777622504</v>
      </c>
      <c r="Z64" s="25">
        <f ca="1">INDEX(M2_Table_I_j_k_l,10,6)</f>
        <v>11.798087161000003</v>
      </c>
      <c r="AA64" s="25">
        <f ca="1">INDEX(M2_Table_I_j_k_l,10,7)</f>
        <v>11.798087161000003</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223</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str">
        <f>TEXT(EDATE(X_Cell_Site_StartDate,9), "mmmm")</f>
        <v>October</v>
      </c>
      <c r="V65" s="25">
        <f ca="1">INDEX(M2_Table_I_j_k_l,11,2)</f>
        <v>8.6709047296000001</v>
      </c>
      <c r="W65" s="25">
        <f ca="1">INDEX(M2_Table_I_j_k_l,11,3)</f>
        <v>12.246500250000002</v>
      </c>
      <c r="X65" s="25">
        <f ca="1">INDEX(M2_Table_I_j_k_l,11,4)</f>
        <v>6.6089612241000006</v>
      </c>
      <c r="Y65" s="25">
        <f ca="1">INDEX(M2_Table_I_j_k_l,11,5)</f>
        <v>10.624527777622504</v>
      </c>
      <c r="Z65" s="25">
        <f ca="1">INDEX(M2_Table_I_j_k_l,11,6)</f>
        <v>11.798087161000003</v>
      </c>
      <c r="AA65" s="25">
        <f ca="1">INDEX(M2_Table_I_j_k_l,11,7)</f>
        <v>11.798087161000003</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str">
        <f>TEXT(EDATE(X_Cell_Site_StartDate,10), "mmmm")</f>
        <v>November</v>
      </c>
      <c r="V66" s="25">
        <f ca="1">INDEX(M2_Table_I_j_k_l,12,2)</f>
        <v>8.6709047296000001</v>
      </c>
      <c r="W66" s="25">
        <f ca="1">INDEX(M2_Table_I_j_k_l,12,3)</f>
        <v>12.246500250000002</v>
      </c>
      <c r="X66" s="25">
        <f ca="1">INDEX(M2_Table_I_j_k_l,12,4)</f>
        <v>6.6089612241000006</v>
      </c>
      <c r="Y66" s="25">
        <f ca="1">INDEX(M2_Table_I_j_k_l,12,5)</f>
        <v>9.3235651926075036</v>
      </c>
      <c r="Z66" s="25">
        <f ca="1">INDEX(M2_Table_I_j_k_l,12,6)</f>
        <v>10.353423427000003</v>
      </c>
      <c r="AA66" s="25">
        <f ca="1">INDEX(M2_Table_I_j_k_l,12,7)</f>
        <v>10.353423427000003</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str">
        <f>TEXT(EDATE(X_Cell_Site_StartDate,11), "mmmm")</f>
        <v>December</v>
      </c>
      <c r="V67" s="25">
        <f ca="1">INDEX(M2_Table_I_j_k_l,13,2)</f>
        <v>7.1468536895999959</v>
      </c>
      <c r="W67" s="25">
        <f ca="1">INDEX(M2_Table_I_j_k_l,13,3)</f>
        <v>9.4559940036000008</v>
      </c>
      <c r="X67" s="25">
        <f ca="1">INDEX(M2_Table_I_j_k_l,13,4)</f>
        <v>6.010342559999998</v>
      </c>
      <c r="Y67" s="25">
        <f ca="1">INDEX(M2_Table_I_j_k_l,13,5)</f>
        <v>8.4608409301875014</v>
      </c>
      <c r="Z67" s="25">
        <f ca="1">INDEX(M2_Table_I_j_k_l,13,6)</f>
        <v>8.3772677761199983</v>
      </c>
      <c r="AA67" s="25">
        <f ca="1">INDEX(M2_Table_I_j_k_l,13,7)</f>
        <v>8.3772677761199983</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4"/>
      <c r="D68" s="114"/>
      <c r="E68" s="114"/>
      <c r="F68" s="114"/>
      <c r="G68" s="114"/>
      <c r="H68" s="114"/>
      <c r="I68" s="114"/>
      <c r="J68" s="114"/>
      <c r="K68" s="114"/>
      <c r="L68" s="114"/>
      <c r="M68" s="114"/>
      <c r="N68" s="114"/>
      <c r="O68" s="114"/>
      <c r="P68" s="114"/>
      <c r="Q68" s="114"/>
      <c r="R68" s="114"/>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09" t="s">
        <v>335</v>
      </c>
    </row>
    <row r="70" spans="3:34" ht="20.100000000000001" customHeight="1" x14ac:dyDescent="0.25">
      <c r="D70" s="27" t="str" cm="1">
        <f t="array" ref="D70">MMS_PastureBeef_Soil_N2ODirect_Equations.VEERG_4_2_1_3__5_MilkProductionForCalvingSeason_Source()</f>
        <v>VEERG 2026: 4.2.1.3, Equation (5)</v>
      </c>
      <c r="U70" s="110" t="s">
        <v>336</v>
      </c>
    </row>
    <row r="71" spans="3:34" ht="20.100000000000001" customHeight="1" x14ac:dyDescent="0.25">
      <c r="D71" s="36"/>
      <c r="U71" s="111" t="s">
        <v>76</v>
      </c>
      <c r="V71" s="111" t="s">
        <v>211</v>
      </c>
      <c r="W71" s="111" t="s">
        <v>201</v>
      </c>
      <c r="X71" s="111" t="s">
        <v>212</v>
      </c>
      <c r="Y71" s="111" t="s">
        <v>213</v>
      </c>
      <c r="Z71" s="111" t="s">
        <v>214</v>
      </c>
      <c r="AA71" s="111" t="s">
        <v>215</v>
      </c>
      <c r="AB71" s="111" t="s">
        <v>216</v>
      </c>
      <c r="AC71" s="111" t="s">
        <v>217</v>
      </c>
      <c r="AD71" s="111" t="s">
        <v>218</v>
      </c>
      <c r="AE71" s="111" t="s">
        <v>219</v>
      </c>
    </row>
    <row r="72" spans="3:34" ht="20.100000000000001" customHeight="1" x14ac:dyDescent="0.25">
      <c r="D72" s="100" t="s">
        <v>259</v>
      </c>
      <c r="E72" s="100" t="s">
        <v>337</v>
      </c>
      <c r="U72" s="25" t="str">
        <f>TEXT(X_Cell_Site_StartDate,"mmmm")</f>
        <v>January</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1.1593206891815613</v>
      </c>
      <c r="Z72" s="25" cm="1">
        <f t="array" aca="1" ref="Z72" ca="1">MMS_PastureBeef_Soil_N2ODirect_Equations.VEERG_4_2_1_3__6_IntakeRelativeToMaintenance(Z56,Z20)</f>
        <v>1.0235502922520121</v>
      </c>
      <c r="AA72" s="25" cm="1">
        <f t="array" aca="1" ref="AA72" ca="1">MMS_PastureBeef_Soil_N2ODirect_Equations.VEERG_4_2_1_3__6_IntakeRelativeToMaintenance(AA56,AA20)</f>
        <v>1.0235502922520121</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str">
        <f>TEXT(EDATE(X_Cell_Site_StartDate,1), "mmmm")</f>
        <v>February</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str">
        <f>TEXT(EDATE(X_Cell_Site_StartDate,2), "mmmm")</f>
        <v>March</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261</v>
      </c>
      <c r="E75" s="1" t="str" cm="1">
        <f t="array" ref="E75">MMS_PastureBeef_Soil_N2ODirect_Equations.VEERG_4_2_1_3__5_MilkProductionForCalvingSeason_Variable()</f>
        <v>MP_jk5</v>
      </c>
      <c r="U75" s="25" t="str">
        <f>TEXT(EDATE(X_Cell_Site_StartDate,3), "mmmm")</f>
        <v>April</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131</v>
      </c>
      <c r="E76" s="15" t="str" cm="1">
        <f t="array" ref="E76">MMS_PastureBeef_Soil_N2ODirect_Equations.VEERG_4_2_1_3__5_MilkProductionForCalvingSeason_Unit()</f>
        <v>kg/head/day</v>
      </c>
      <c r="U76" s="25" t="str">
        <f>TEXT(EDATE(X_Cell_Site_StartDate,4), "mmmm")</f>
        <v>May</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str">
        <f>TEXT(EDATE(X_Cell_Site_StartDate,5), "mmmm")</f>
        <v>June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2" t="str" cm="1">
        <f t="array" ref="D78:E82">_xlfn.CHOOSECOLS(MMS_PastureBeef_Soil_N2ODirect_Equations.VEERG_4_2_1_3__5_MilkProductionForCalvingSeason_ArgumentsVariation(),1,2)</f>
        <v>LC_jk5curr</v>
      </c>
      <c r="E78" s="103" t="str">
        <v>proportion of cows greater than 2 years lactating for the season of calving</v>
      </c>
      <c r="F78" s="105"/>
      <c r="G78" s="102" t="str" cm="1">
        <f t="array" ref="G78:H82">_xlfn.CHOOSECOLS(MMS_PastureBeef_Soil_N2ODirect_Equations.VEERG_4_2_1_3__5_MilkProductionForCalvingSeason_ArgumentsVariation(),3,4)</f>
        <v>fraction</v>
      </c>
      <c r="H78" s="106" t="str">
        <v>Input</v>
      </c>
      <c r="I78" s="108" t="str" cm="1">
        <f t="array" aca="1" ref="I78" ca="1">HYPERLINK(Common_InputFunctions.Utility_SourceHyperlink($D$84), $D$84)</f>
        <v>M1_Table_LC_j_k-4-5</v>
      </c>
      <c r="U78" s="25" t="str">
        <f>TEXT(EDATE(X_Cell_Site_StartDate,6), "mmmm")</f>
        <v>July</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2" t="str">
        <v>LC_jk5prev</v>
      </c>
      <c r="E79" s="103" t="str">
        <v>proportion of cows greater than 2 years lactating for the season after calving</v>
      </c>
      <c r="F79" s="105"/>
      <c r="G79" s="102" t="str">
        <v>fraction</v>
      </c>
      <c r="H79" s="106" t="str">
        <v>Input</v>
      </c>
      <c r="I79" s="108" t="str" cm="1">
        <f t="array" aca="1" ref="I79" ca="1">HYPERLINK(Common_InputFunctions.Utility_SourceHyperlink($D$84), $D$84)</f>
        <v>M1_Table_LC_j_k-4-5</v>
      </c>
      <c r="U79" s="25" t="str">
        <f>TEXT(EDATE(X_Cell_Site_StartDate,7), "mmmm")</f>
        <v>August</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1.2606263186813311</v>
      </c>
      <c r="Z79" s="25" cm="1">
        <f t="array" aca="1" ref="Z79" ca="1">MMS_PastureBeef_Soil_N2ODirect_Equations.VEERG_4_2_1_3__6_IntakeRelativeToMaintenance(Z63,Z27)</f>
        <v>1.2556679030188727</v>
      </c>
      <c r="AA79" s="25" cm="1">
        <f t="array" aca="1" ref="AA79" ca="1">MMS_PastureBeef_Soil_N2ODirect_Equations.VEERG_4_2_1_3__6_IntakeRelativeToMaintenance(AA63,AA27)</f>
        <v>1.2556679030188727</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2" t="str">
        <v>DMP_jk5calv</v>
      </c>
      <c r="E80" s="103" t="str">
        <v>daily milk production for the season of calving (kg/head/day)</v>
      </c>
      <c r="F80" s="105"/>
      <c r="G80" s="102" t="str">
        <v>kg/head/day</v>
      </c>
      <c r="H80" s="107" t="str">
        <v>Constant</v>
      </c>
      <c r="I80" s="118"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str">
        <f>TEXT(EDATE(X_Cell_Site_StartDate,8), "mmmm")</f>
        <v>September</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1.5323399982323869</v>
      </c>
      <c r="Z80" s="25" cm="1">
        <f t="array" aca="1" ref="Z80" ca="1">MMS_PastureBeef_Soil_N2ODirect_Equations.VEERG_4_2_1_3__6_IntakeRelativeToMaintenance(Z64,Z28)</f>
        <v>1.4072279803711161</v>
      </c>
      <c r="AA80" s="25" cm="1">
        <f t="array" aca="1" ref="AA80" ca="1">MMS_PastureBeef_Soil_N2ODirect_Equations.VEERG_4_2_1_3__6_IntakeRelativeToMaintenance(AA64,AA28)</f>
        <v>1.4072279803711161</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2" t="str">
        <v>DMP_jk5after</v>
      </c>
      <c r="E81" s="103" t="str">
        <v>daily milk production for the season after calving (kg/head/day)</v>
      </c>
      <c r="F81" s="105"/>
      <c r="G81" s="102" t="str">
        <v>kg/head/day</v>
      </c>
      <c r="H81" s="107" t="str">
        <v>Constant</v>
      </c>
      <c r="I81" s="118"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str">
        <f>TEXT(EDATE(X_Cell_Site_StartDate,9), "mmmm")</f>
        <v>October</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1.5323399982323869</v>
      </c>
      <c r="Z81" s="25" cm="1">
        <f t="array" aca="1" ref="Z81" ca="1">MMS_PastureBeef_Soil_N2ODirect_Equations.VEERG_4_2_1_3__6_IntakeRelativeToMaintenance(Z65,Z29)</f>
        <v>1.4072279803711161</v>
      </c>
      <c r="AA81" s="25" cm="1">
        <f t="array" aca="1" ref="AA81" ca="1">MMS_PastureBeef_Soil_N2ODirect_Equations.VEERG_4_2_1_3__6_IntakeRelativeToMaintenance(AA65,AA29)</f>
        <v>1.4072279803711161</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2" t="str">
        <v>b</v>
      </c>
      <c r="E82" s="103" t="str">
        <v>breed of cattle</v>
      </c>
      <c r="F82" s="105"/>
      <c r="G82" s="102" t="str">
        <v/>
      </c>
      <c r="H82" s="106" t="str">
        <v>Input</v>
      </c>
      <c r="I82" s="118" t="str">
        <f>X_Cell_PastureBeef_Breed</f>
        <v>Hereford or Shorthorn breeds</v>
      </c>
      <c r="U82" s="25" t="str">
        <f>TEXT(EDATE(X_Cell_Site_StartDate,10), "mmmm")</f>
        <v>November</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1.3447065290610742</v>
      </c>
      <c r="Z82" s="25" cm="1">
        <f t="array" aca="1" ref="Z82" ca="1">MMS_PastureBeef_Soil_N2ODirect_Equations.VEERG_4_2_1_3__6_IntakeRelativeToMaintenance(Z66,Z30)</f>
        <v>1.2349143501215916</v>
      </c>
      <c r="AA82" s="25" cm="1">
        <f t="array" aca="1" ref="AA82" ca="1">MMS_PastureBeef_Soil_N2ODirect_Equations.VEERG_4_2_1_3__6_IntakeRelativeToMaintenance(AA66,AA30)</f>
        <v>1.2349143501215916</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str">
        <f>TEXT(EDATE(X_Cell_Site_StartDate,11), "mmmm")</f>
        <v>December</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1.1593206891815613</v>
      </c>
      <c r="Z83" s="25" cm="1">
        <f t="array" aca="1" ref="Z83" ca="1">MMS_PastureBeef_Soil_N2ODirect_Equations.VEERG_4_2_1_3__6_IntakeRelativeToMaintenance(Z67,Z31)</f>
        <v>1.0235502922520121</v>
      </c>
      <c r="AA83" s="25" cm="1">
        <f t="array" aca="1" ref="AA83" ca="1">MMS_PastureBeef_Soil_N2ODirect_Equations.VEERG_4_2_1_3__6_IntakeRelativeToMaintenance(AA67,AA31)</f>
        <v>1.0235502922520121</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09" t="s">
        <v>262</v>
      </c>
    </row>
    <row r="85" spans="4:35" ht="20.100000000000001" customHeight="1" x14ac:dyDescent="0.25">
      <c r="D85" s="110" t="s">
        <v>264</v>
      </c>
    </row>
    <row r="86" spans="4:35" ht="20.100000000000001" customHeight="1" x14ac:dyDescent="0.25">
      <c r="D86" s="111" t="s">
        <v>77</v>
      </c>
      <c r="E86" s="112" t="s">
        <v>213</v>
      </c>
      <c r="F86" s="112" t="s">
        <v>214</v>
      </c>
      <c r="G86" s="112" t="s">
        <v>215</v>
      </c>
      <c r="T86" s="114"/>
      <c r="U86" s="114"/>
      <c r="V86" s="114"/>
      <c r="W86" s="114"/>
      <c r="X86" s="114"/>
      <c r="Y86" s="114"/>
      <c r="Z86" s="114"/>
      <c r="AA86" s="114"/>
      <c r="AB86" s="114"/>
      <c r="AC86" s="114"/>
      <c r="AD86" s="114"/>
      <c r="AE86" s="114"/>
      <c r="AF86" s="114"/>
      <c r="AG86" s="114"/>
      <c r="AH86" s="114"/>
      <c r="AI86" s="114"/>
    </row>
    <row r="87" spans="4:35" ht="20.100000000000001" customHeight="1" x14ac:dyDescent="0.25">
      <c r="D87" s="25" t="str">
        <f>'Input - Pasture Beef'!$E$162</f>
        <v>Winter</v>
      </c>
      <c r="E87" s="172">
        <f>'Input - Pasture Beef'!$F$168</f>
        <v>0.7</v>
      </c>
      <c r="F87" s="172">
        <f>'Input - Pasture Beef'!$G$168</f>
        <v>0.5</v>
      </c>
      <c r="G87" s="172">
        <f>'Input - Pasture Beef'!$H$168</f>
        <v>0.5</v>
      </c>
      <c r="H87" s="26" t="s">
        <v>266</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09" t="s">
        <v>263</v>
      </c>
    </row>
    <row r="90" spans="4:35" ht="20.100000000000001" customHeight="1" x14ac:dyDescent="0.25">
      <c r="U90" s="110" t="s">
        <v>265</v>
      </c>
    </row>
    <row r="91" spans="4:35" ht="20.100000000000001" customHeight="1" x14ac:dyDescent="0.25">
      <c r="U91" s="111" t="s">
        <v>76</v>
      </c>
      <c r="V91" s="112" t="s">
        <v>213</v>
      </c>
      <c r="W91" s="112" t="s">
        <v>214</v>
      </c>
      <c r="X91" s="112" t="s">
        <v>215</v>
      </c>
    </row>
    <row r="92" spans="4:35" ht="20.100000000000001" customHeight="1" x14ac:dyDescent="0.25">
      <c r="D92" s="109" t="s">
        <v>338</v>
      </c>
      <c r="U92" s="25" t="str">
        <f>TEXT(EDATE('Input - Pasture Beef'!$D$182,0), "mmmm") &amp; ", " &amp; TEXT(EDATE('Input - Pasture Beef'!$D$183,0), "mmmm") &amp; ", " &amp; TEXT(EDATE('Input - Pasture Beef'!$D$184,0), "mmmm")</f>
        <v>August, September, October</v>
      </c>
      <c r="V92" s="172">
        <f>'Input - Pasture Beef'!$E$185</f>
        <v>0.75</v>
      </c>
      <c r="W92" s="172">
        <f>'Input - Pasture Beef'!$F$185</f>
        <v>0.75</v>
      </c>
      <c r="X92" s="172">
        <f>'Input - Pasture Beef'!$G$185</f>
        <v>0.75</v>
      </c>
      <c r="Y92" s="26" t="s">
        <v>266</v>
      </c>
    </row>
    <row r="93" spans="4:35" ht="20.100000000000001" customHeight="1" x14ac:dyDescent="0.25">
      <c r="D93" s="110" t="s">
        <v>339</v>
      </c>
      <c r="U93" s="25" t="str">
        <f>TEXT(EDATE('Input - Pasture Beef'!$D$184,1), "mmmm") &amp; ", " &amp; TEXT(EDATE('Input - Pasture Beef'!$D$184,2), "mmmm") &amp; ", " &amp; TEXT(EDATE('Input - Pasture Beef'!$D$184,3), "mmmm")</f>
        <v>November, December, January</v>
      </c>
      <c r="Y93" s="26"/>
    </row>
    <row r="94" spans="4:35" ht="20.100000000000001" customHeight="1" x14ac:dyDescent="0.25">
      <c r="D94" s="111" t="s">
        <v>77</v>
      </c>
      <c r="E94" s="111" t="s">
        <v>244</v>
      </c>
      <c r="F94" s="111" t="s">
        <v>340</v>
      </c>
      <c r="G94" s="111" t="s">
        <v>211</v>
      </c>
      <c r="H94" s="111" t="s">
        <v>201</v>
      </c>
      <c r="I94" s="111" t="s">
        <v>212</v>
      </c>
      <c r="J94" s="111" t="s">
        <v>213</v>
      </c>
      <c r="K94" s="111" t="s">
        <v>214</v>
      </c>
      <c r="L94" s="111" t="s">
        <v>215</v>
      </c>
      <c r="M94" s="111" t="s">
        <v>216</v>
      </c>
      <c r="N94" s="111" t="s">
        <v>217</v>
      </c>
      <c r="O94" s="111" t="s">
        <v>218</v>
      </c>
      <c r="P94" s="111" t="s">
        <v>219</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09" t="s">
        <v>341</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0" t="s">
        <v>339</v>
      </c>
    </row>
    <row r="99" spans="3:34" ht="20.100000000000001" customHeight="1" x14ac:dyDescent="0.25">
      <c r="U99" s="111" t="s">
        <v>76</v>
      </c>
      <c r="V99" s="111" t="s">
        <v>244</v>
      </c>
      <c r="W99" s="111" t="s">
        <v>340</v>
      </c>
      <c r="X99" s="111" t="s">
        <v>211</v>
      </c>
      <c r="Y99" s="111" t="s">
        <v>201</v>
      </c>
      <c r="Z99" s="111" t="s">
        <v>212</v>
      </c>
      <c r="AA99" s="111" t="s">
        <v>213</v>
      </c>
      <c r="AB99" s="111" t="s">
        <v>214</v>
      </c>
      <c r="AC99" s="111" t="s">
        <v>215</v>
      </c>
      <c r="AD99" s="111" t="s">
        <v>216</v>
      </c>
      <c r="AE99" s="111" t="s">
        <v>217</v>
      </c>
      <c r="AF99" s="111" t="s">
        <v>218</v>
      </c>
      <c r="AG99" s="111" t="s">
        <v>219</v>
      </c>
    </row>
    <row r="100" spans="3:34" ht="20.100000000000001" customHeight="1" x14ac:dyDescent="0.25">
      <c r="U100" s="25" t="str">
        <f>TEXT(X_Cell_Site_StartDate,"mmmm")</f>
        <v>January</v>
      </c>
      <c r="V100" s="25" t="str" cm="1">
        <f t="array" ref="V100">IFERROR(_xlfn.IFS(SUMPRODUCT(ISNUMBER(SEARCH(TRIM(_xlfn.TEXTSPLIT($U$92,",")),U100))*1)&gt;0,"Calving season",SUMPRODUCT(ISNUMBER(SEARCH(TRIM(_xlfn.TEXTSPLIT($U$93,",")),U100))*1)&gt;0,"Season after calving"), "")</f>
        <v>Season after calving</v>
      </c>
      <c r="W100" s="25" cm="1">
        <f t="array" ref="W100">_xlfn.IFS(V100="Calving season", $I$80, V100="Season after calving", $I$81, V100="", "")</f>
        <v>4</v>
      </c>
      <c r="X100" s="25">
        <v>0</v>
      </c>
      <c r="Y100" s="25">
        <v>0</v>
      </c>
      <c r="Z100" s="25">
        <v>0</v>
      </c>
      <c r="AA100" s="25" cm="1">
        <f t="array" ref="AA100">IFERROR(MMS_PastureBeef_Soil_N2ODirect_Equations.VEERG_4_2_1_3__5_MilkProductionForCalvingSeason(V$92, $W100), 0)</f>
        <v>3</v>
      </c>
      <c r="AB100" s="25" cm="1">
        <f t="array" ref="AB100">IFERROR(MMS_PastureBeef_Soil_N2ODirect_Equations.VEERG_4_2_1_3__5_MilkProductionForCalvingSeason(W$92, $W100), 0)</f>
        <v>3</v>
      </c>
      <c r="AC100" s="25" cm="1">
        <f t="array" ref="AC100">IFERROR(MMS_PastureBeef_Soil_N2ODirect_Equations.VEERG_4_2_1_3__5_MilkProductionForCalvingSeason(X$92, $W100), 0)</f>
        <v>3</v>
      </c>
      <c r="AD100" s="25">
        <v>0</v>
      </c>
      <c r="AE100" s="25">
        <v>0</v>
      </c>
      <c r="AF100" s="25">
        <v>0</v>
      </c>
      <c r="AG100" s="25">
        <v>0</v>
      </c>
      <c r="AH100" s="26" t="str">
        <f t="shared" ref="AH100:AH111" si="5">$E$76</f>
        <v>kg/head/day</v>
      </c>
    </row>
    <row r="101" spans="3:34" ht="20.100000000000001" customHeight="1" x14ac:dyDescent="0.25">
      <c r="C101" s="114"/>
      <c r="D101" s="114"/>
      <c r="E101" s="114"/>
      <c r="F101" s="114"/>
      <c r="G101" s="114"/>
      <c r="H101" s="114"/>
      <c r="I101" s="114"/>
      <c r="J101" s="114"/>
      <c r="K101" s="114"/>
      <c r="L101" s="114"/>
      <c r="M101" s="114"/>
      <c r="N101" s="114"/>
      <c r="O101" s="114"/>
      <c r="P101" s="114"/>
      <c r="Q101" s="114"/>
      <c r="R101" s="114"/>
      <c r="U101" s="25" t="str">
        <f>TEXT(EDATE(X_Cell_Site_StartDate,1), "mmmm")</f>
        <v>February</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str">
        <f>TEXT(EDATE(X_Cell_Site_StartDate,2), "mmmm")</f>
        <v>March</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str">
        <f>TEXT(EDATE(X_Cell_Site_StartDate,3), "mmmm")</f>
        <v>April</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0" t="s">
        <v>259</v>
      </c>
      <c r="E104" s="100" t="str" cm="1">
        <f t="array" aca="1" ref="E104" ca="1">Common_InputFunctions.Utility_DisplayFunctionName(E127)</f>
        <v>=MMS_PastureBeef_Soil_N2ODirect_Equations.VEERG_4_2_1_3__4_NitrogenRetainedByBody</v>
      </c>
      <c r="U104" s="25" t="str">
        <f>TEXT(EDATE(X_Cell_Site_StartDate,4), "mmmm")</f>
        <v>May</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str">
        <f>TEXT(EDATE(X_Cell_Site_StartDate,5), "mmmm")</f>
        <v>June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str">
        <f>TEXT(EDATE(X_Cell_Site_StartDate,6), "mmmm")</f>
        <v>July</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str">
        <f>TEXT(EDATE(X_Cell_Site_StartDate,7), "mmmm")</f>
        <v>August</v>
      </c>
      <c r="V107" s="25" t="str" cm="1">
        <f t="array" ref="V107">IFERROR(_xlfn.IFS(SUMPRODUCT(ISNUMBER(SEARCH(TRIM(_xlfn.TEXTSPLIT($U$92,",")),U107))*1)&gt;0,"Calving season",SUMPRODUCT(ISNUMBER(SEARCH(TRIM(_xlfn.TEXTSPLIT($U$93,",")),U107))*1)&gt;0,"Season after calving"), "")</f>
        <v>Calving season</v>
      </c>
      <c r="W107" s="25" cm="1">
        <f t="array" ref="W107">_xlfn.IFS(V107="Calving season", $I$80, V107="Season after calving", $I$81, V107="", "")</f>
        <v>6</v>
      </c>
      <c r="X107" s="25">
        <v>0</v>
      </c>
      <c r="Y107" s="25">
        <v>0</v>
      </c>
      <c r="Z107" s="25">
        <v>0</v>
      </c>
      <c r="AA107" s="25" cm="1">
        <f t="array" ref="AA107">IFERROR(MMS_PastureBeef_Soil_N2ODirect_Equations.VEERG_4_2_1_3__5_MilkProductionForCalvingSeason(V$92, $W107), 0)</f>
        <v>4.5</v>
      </c>
      <c r="AB107" s="25" cm="1">
        <f t="array" ref="AB107">IFERROR(MMS_PastureBeef_Soil_N2ODirect_Equations.VEERG_4_2_1_3__5_MilkProductionForCalvingSeason(W$92, $W107), 0)</f>
        <v>4.5</v>
      </c>
      <c r="AC107" s="25" cm="1">
        <f t="array" ref="AC107">IFERROR(MMS_PastureBeef_Soil_N2ODirect_Equations.VEERG_4_2_1_3__5_MilkProductionForCalvingSeason(X$92, $W107), 0)</f>
        <v>4.5</v>
      </c>
      <c r="AD107" s="25">
        <v>0</v>
      </c>
      <c r="AE107" s="25">
        <v>0</v>
      </c>
      <c r="AF107" s="25">
        <v>0</v>
      </c>
      <c r="AG107" s="25">
        <v>0</v>
      </c>
      <c r="AH107" s="26" t="str">
        <f t="shared" si="5"/>
        <v>kg/head/day</v>
      </c>
    </row>
    <row r="108" spans="3:34" ht="20.100000000000001" customHeight="1" x14ac:dyDescent="0.25">
      <c r="D108" s="88" t="s">
        <v>261</v>
      </c>
      <c r="E108" s="1" t="str" cm="1">
        <f t="array" ref="E108">MMS_PastureBeef_Soil_N2ODirect_Equations.VEERG_4_2_1_3__4_NitrogenRetainedByBody_Variable()</f>
        <v>NR_jkl</v>
      </c>
      <c r="U108" s="25" t="str">
        <f>TEXT(EDATE(X_Cell_Site_StartDate,8), "mmmm")</f>
        <v>September</v>
      </c>
      <c r="V108" s="25" t="str" cm="1">
        <f t="array" ref="V108">IFERROR(_xlfn.IFS(SUMPRODUCT(ISNUMBER(SEARCH(TRIM(_xlfn.TEXTSPLIT($U$92,",")),U108))*1)&gt;0,"Calving season",SUMPRODUCT(ISNUMBER(SEARCH(TRIM(_xlfn.TEXTSPLIT($U$93,",")),U108))*1)&gt;0,"Season after calving"), "")</f>
        <v>Calving season</v>
      </c>
      <c r="W108" s="25" cm="1">
        <f t="array" ref="W108">_xlfn.IFS(V108="Calving season", $I$80, V108="Season after calving", $I$81, V108="", "")</f>
        <v>6</v>
      </c>
      <c r="X108" s="25">
        <v>0</v>
      </c>
      <c r="Y108" s="25">
        <v>0</v>
      </c>
      <c r="Z108" s="25">
        <v>0</v>
      </c>
      <c r="AA108" s="25" cm="1">
        <f t="array" ref="AA108">IFERROR(MMS_PastureBeef_Soil_N2ODirect_Equations.VEERG_4_2_1_3__5_MilkProductionForCalvingSeason(V$92, $W108), 0)</f>
        <v>4.5</v>
      </c>
      <c r="AB108" s="25" cm="1">
        <f t="array" ref="AB108">IFERROR(MMS_PastureBeef_Soil_N2ODirect_Equations.VEERG_4_2_1_3__5_MilkProductionForCalvingSeason(W$92, $W108), 0)</f>
        <v>4.5</v>
      </c>
      <c r="AC108" s="25" cm="1">
        <f t="array" ref="AC108">IFERROR(MMS_PastureBeef_Soil_N2ODirect_Equations.VEERG_4_2_1_3__5_MilkProductionForCalvingSeason(X$92, $W108), 0)</f>
        <v>4.5</v>
      </c>
      <c r="AD108" s="25">
        <v>0</v>
      </c>
      <c r="AE108" s="25">
        <v>0</v>
      </c>
      <c r="AF108" s="25">
        <v>0</v>
      </c>
      <c r="AG108" s="25">
        <v>0</v>
      </c>
      <c r="AH108" s="26" t="str">
        <f t="shared" si="5"/>
        <v>kg/head/day</v>
      </c>
    </row>
    <row r="109" spans="3:34" ht="20.100000000000001" customHeight="1" x14ac:dyDescent="0.25">
      <c r="D109" s="88" t="s">
        <v>131</v>
      </c>
      <c r="E109" s="15" t="str" cm="1">
        <f t="array" ref="E109">MMS_PastureBeef_Soil_N2ODirect_Equations.VEERG_4_2_1_3__4_NitrogenRetainedByBody_Unit()</f>
        <v>kg N/head/day</v>
      </c>
      <c r="U109" s="25" t="str">
        <f>TEXT(EDATE(X_Cell_Site_StartDate,9), "mmmm")</f>
        <v>October</v>
      </c>
      <c r="V109" s="25" t="str" cm="1">
        <f t="array" ref="V109">IFERROR(_xlfn.IFS(SUMPRODUCT(ISNUMBER(SEARCH(TRIM(_xlfn.TEXTSPLIT($U$92,",")),U109))*1)&gt;0,"Calving season",SUMPRODUCT(ISNUMBER(SEARCH(TRIM(_xlfn.TEXTSPLIT($U$93,",")),U109))*1)&gt;0,"Season after calving"), "")</f>
        <v>Calving season</v>
      </c>
      <c r="W109" s="25" cm="1">
        <f t="array" ref="W109">_xlfn.IFS(V109="Calving season", $I$80, V109="Season after calving", $I$81, V109="", "")</f>
        <v>6</v>
      </c>
      <c r="X109" s="25">
        <v>0</v>
      </c>
      <c r="Y109" s="25">
        <v>0</v>
      </c>
      <c r="Z109" s="25">
        <v>0</v>
      </c>
      <c r="AA109" s="25" cm="1">
        <f t="array" ref="AA109">IFERROR(MMS_PastureBeef_Soil_N2ODirect_Equations.VEERG_4_2_1_3__5_MilkProductionForCalvingSeason(V$92, $W109), 0)</f>
        <v>4.5</v>
      </c>
      <c r="AB109" s="25" cm="1">
        <f t="array" ref="AB109">IFERROR(MMS_PastureBeef_Soil_N2ODirect_Equations.VEERG_4_2_1_3__5_MilkProductionForCalvingSeason(W$92, $W109), 0)</f>
        <v>4.5</v>
      </c>
      <c r="AC109" s="25" cm="1">
        <f t="array" ref="AC109">IFERROR(MMS_PastureBeef_Soil_N2ODirect_Equations.VEERG_4_2_1_3__5_MilkProductionForCalvingSeason(X$92, $W109), 0)</f>
        <v>4.5</v>
      </c>
      <c r="AD109" s="25">
        <v>0</v>
      </c>
      <c r="AE109" s="25">
        <v>0</v>
      </c>
      <c r="AF109" s="25">
        <v>0</v>
      </c>
      <c r="AG109" s="25">
        <v>0</v>
      </c>
      <c r="AH109" s="26" t="str">
        <f t="shared" si="5"/>
        <v>kg/head/day</v>
      </c>
    </row>
    <row r="110" spans="3:34" ht="20.100000000000001" customHeight="1" x14ac:dyDescent="0.25">
      <c r="U110" s="25" t="str">
        <f>TEXT(EDATE(X_Cell_Site_StartDate,10), "mmmm")</f>
        <v>November</v>
      </c>
      <c r="V110" s="25" t="str" cm="1">
        <f t="array" ref="V110">IFERROR(_xlfn.IFS(SUMPRODUCT(ISNUMBER(SEARCH(TRIM(_xlfn.TEXTSPLIT($U$92,",")),U110))*1)&gt;0,"Calving season",SUMPRODUCT(ISNUMBER(SEARCH(TRIM(_xlfn.TEXTSPLIT($U$93,",")),U110))*1)&gt;0,"Season after calving"), "")</f>
        <v>Season after calving</v>
      </c>
      <c r="W110" s="25" cm="1">
        <f t="array" ref="W110">_xlfn.IFS(V110="Calving season", $I$80, V110="Season after calving", $I$81, V110="", "")</f>
        <v>4</v>
      </c>
      <c r="X110" s="25">
        <v>0</v>
      </c>
      <c r="Y110" s="25">
        <v>0</v>
      </c>
      <c r="Z110" s="25">
        <v>0</v>
      </c>
      <c r="AA110" s="25" cm="1">
        <f t="array" ref="AA110">IFERROR(MMS_PastureBeef_Soil_N2ODirect_Equations.VEERG_4_2_1_3__5_MilkProductionForCalvingSeason(V$92, $W110), 0)</f>
        <v>3</v>
      </c>
      <c r="AB110" s="25" cm="1">
        <f t="array" ref="AB110">IFERROR(MMS_PastureBeef_Soil_N2ODirect_Equations.VEERG_4_2_1_3__5_MilkProductionForCalvingSeason(W$92, $W110), 0)</f>
        <v>3</v>
      </c>
      <c r="AC110" s="25" cm="1">
        <f t="array" ref="AC110">IFERROR(MMS_PastureBeef_Soil_N2ODirect_Equations.VEERG_4_2_1_3__5_MilkProductionForCalvingSeason(X$92, $W110), 0)</f>
        <v>3</v>
      </c>
      <c r="AD110" s="25">
        <v>0</v>
      </c>
      <c r="AE110" s="25">
        <v>0</v>
      </c>
      <c r="AF110" s="25">
        <v>0</v>
      </c>
      <c r="AG110" s="25">
        <v>0</v>
      </c>
      <c r="AH110" s="26" t="str">
        <f t="shared" si="5"/>
        <v>kg/head/day</v>
      </c>
    </row>
    <row r="111" spans="3:34" ht="20.100000000000001" customHeight="1" x14ac:dyDescent="0.25">
      <c r="D111" s="102" t="str" cm="1">
        <f t="array" ref="D111:E114">_xlfn.CHOOSECOLS(MMS_PastureBeef_Soil_N2ODirect_Equations.VEERG_4_2_1_3__4_NitrogenRetainedByBody_Arguments(),1,2)</f>
        <v>MP_jk5</v>
      </c>
      <c r="E111" s="103" t="str">
        <v>milk production (kg/head/day)</v>
      </c>
      <c r="F111" s="105"/>
      <c r="G111" s="102" t="str" cm="1">
        <f t="array" ref="G111:H114">_xlfn.CHOOSECOLS(MMS_PastureBeef_Soil_N2ODirect_Equations.VEERG_4_2_1_3__4_NitrogenRetainedByBody_Arguments(),3,4)</f>
        <v>kg/head/day</v>
      </c>
      <c r="H111" s="107" t="str">
        <v>Calculated from 4.2.1.3 (5)</v>
      </c>
      <c r="I111" s="108" t="str" cm="1">
        <f t="array" aca="1" ref="I111" ca="1">HYPERLINK(Common_InputFunctions.Utility_SourceHyperlinkDifferentSheet($D$92), $D$92)</f>
        <v>M1_Table_MP_j_k-4-5</v>
      </c>
      <c r="U111" s="25" t="str">
        <f>TEXT(EDATE(X_Cell_Site_StartDate,11), "mmmm")</f>
        <v>December</v>
      </c>
      <c r="V111" s="25" t="str" cm="1">
        <f t="array" ref="V111">IFERROR(_xlfn.IFS(SUMPRODUCT(ISNUMBER(SEARCH(TRIM(_xlfn.TEXTSPLIT($U$92,",")),U111))*1)&gt;0,"Calving season",SUMPRODUCT(ISNUMBER(SEARCH(TRIM(_xlfn.TEXTSPLIT($U$93,",")),U111))*1)&gt;0,"Season after calving"), "")</f>
        <v>Season after calving</v>
      </c>
      <c r="W111" s="25" cm="1">
        <f t="array" ref="W111">_xlfn.IFS(V111="Calving season", $I$80, V111="Season after calving", $I$81, V111="", "")</f>
        <v>4</v>
      </c>
      <c r="X111" s="25">
        <v>0</v>
      </c>
      <c r="Y111" s="25">
        <v>0</v>
      </c>
      <c r="Z111" s="25">
        <v>0</v>
      </c>
      <c r="AA111" s="25" cm="1">
        <f t="array" ref="AA111">IFERROR(MMS_PastureBeef_Soil_N2ODirect_Equations.VEERG_4_2_1_3__5_MilkProductionForCalvingSeason(V$92, $W111), 0)</f>
        <v>3</v>
      </c>
      <c r="AB111" s="25" cm="1">
        <f t="array" ref="AB111">IFERROR(MMS_PastureBeef_Soil_N2ODirect_Equations.VEERG_4_2_1_3__5_MilkProductionForCalvingSeason(W$92, $W111), 0)</f>
        <v>3</v>
      </c>
      <c r="AC111" s="25" cm="1">
        <f t="array" ref="AC111">IFERROR(MMS_PastureBeef_Soil_N2ODirect_Equations.VEERG_4_2_1_3__5_MilkProductionForCalvingSeason(X$92, $W111), 0)</f>
        <v>3</v>
      </c>
      <c r="AD111" s="25">
        <v>0</v>
      </c>
      <c r="AE111" s="25">
        <v>0</v>
      </c>
      <c r="AF111" s="25">
        <v>0</v>
      </c>
      <c r="AG111" s="25">
        <v>0</v>
      </c>
      <c r="AH111" s="26" t="str">
        <f t="shared" si="5"/>
        <v>kg/head/day</v>
      </c>
    </row>
    <row r="112" spans="3:34" ht="20.100000000000001" customHeight="1" x14ac:dyDescent="0.25">
      <c r="D112" s="102" t="str">
        <v>L_jkl</v>
      </c>
      <c r="E112" s="103" t="str">
        <v>intake relative to that needed for maintenance</v>
      </c>
      <c r="F112" s="105"/>
      <c r="G112" s="102" t="str">
        <v/>
      </c>
      <c r="H112" s="107" t="str">
        <v>Calculated from 4.2.1.3 (6)</v>
      </c>
      <c r="I112" s="108" t="str" cm="1">
        <f t="array" aca="1" ref="I112" ca="1">HYPERLINK(Common_InputFunctions.Utility_SourceHyperlink($D$59), $D$59)</f>
        <v>M1_Table_L_j_k_l</v>
      </c>
    </row>
    <row r="113" spans="4:35" ht="20.100000000000001" customHeight="1" x14ac:dyDescent="0.25">
      <c r="D113" s="102" t="str">
        <v>Z_jkl</v>
      </c>
      <c r="E113" s="103" t="str">
        <v>relative size</v>
      </c>
      <c r="F113" s="105"/>
      <c r="G113" s="102" t="str">
        <v/>
      </c>
      <c r="H113" s="107" t="str">
        <v>Calculated from 4.2.1.3 (7)</v>
      </c>
      <c r="I113" s="108" t="str" cm="1">
        <f t="array" aca="1" ref="I113" ca="1">HYPERLINK(Common_InputFunctions.Utility_SourceHyperlink($D$30), $D$30)</f>
        <v>M1_Table_Z_j_k_l</v>
      </c>
    </row>
    <row r="114" spans="4:35" ht="20.100000000000001" customHeight="1" x14ac:dyDescent="0.25">
      <c r="D114" s="102" t="str">
        <v>LWG_jkl</v>
      </c>
      <c r="E114" s="103" t="str">
        <v>liveweight gain (kg/head/day)</v>
      </c>
      <c r="F114" s="105"/>
      <c r="G114" s="102" t="str">
        <v>kg/head/day</v>
      </c>
      <c r="H114" s="106" t="str">
        <v>Input</v>
      </c>
      <c r="I114" s="108" t="str" cm="1">
        <f t="array" aca="1" ref="I114" ca="1">HYPERLINK(Common_InputFunctions.Utility_SourceHyperlink($D$116), $D$116)</f>
        <v>M1_Table_LWG_j_k_l</v>
      </c>
      <c r="T114" s="114"/>
      <c r="U114" s="114"/>
      <c r="V114" s="114"/>
      <c r="W114" s="114"/>
      <c r="X114" s="114"/>
      <c r="Y114" s="114"/>
      <c r="Z114" s="114"/>
      <c r="AA114" s="114"/>
      <c r="AB114" s="114"/>
      <c r="AC114" s="114"/>
      <c r="AD114" s="114"/>
      <c r="AE114" s="114"/>
      <c r="AF114" s="114"/>
      <c r="AG114" s="114"/>
      <c r="AH114" s="114"/>
      <c r="AI114" s="114"/>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09" t="s">
        <v>282</v>
      </c>
    </row>
    <row r="117" spans="4:35" ht="20.100000000000001" customHeight="1" x14ac:dyDescent="0.25">
      <c r="D117" s="110" t="s">
        <v>283</v>
      </c>
      <c r="U117" s="109" t="s">
        <v>280</v>
      </c>
    </row>
    <row r="118" spans="4:35" ht="20.100000000000001" customHeight="1" x14ac:dyDescent="0.25">
      <c r="D118" s="111" t="s">
        <v>77</v>
      </c>
      <c r="E118" s="112" t="s">
        <v>211</v>
      </c>
      <c r="F118" s="112" t="s">
        <v>201</v>
      </c>
      <c r="G118" s="112" t="s">
        <v>212</v>
      </c>
      <c r="H118" s="112" t="s">
        <v>213</v>
      </c>
      <c r="I118" s="112" t="s">
        <v>214</v>
      </c>
      <c r="J118" s="112" t="s">
        <v>215</v>
      </c>
      <c r="K118" s="112" t="s">
        <v>216</v>
      </c>
      <c r="L118" s="112" t="s">
        <v>217</v>
      </c>
      <c r="M118" s="112" t="s">
        <v>218</v>
      </c>
      <c r="N118" s="112" t="s">
        <v>219</v>
      </c>
      <c r="U118" s="110" t="s">
        <v>281</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229</v>
      </c>
      <c r="U119" s="111" t="s">
        <v>76</v>
      </c>
      <c r="V119" s="112" t="s">
        <v>211</v>
      </c>
      <c r="W119" s="112" t="s">
        <v>201</v>
      </c>
      <c r="X119" s="112" t="s">
        <v>212</v>
      </c>
      <c r="Y119" s="112" t="s">
        <v>213</v>
      </c>
      <c r="Z119" s="112" t="s">
        <v>214</v>
      </c>
      <c r="AA119" s="112" t="s">
        <v>215</v>
      </c>
      <c r="AB119" s="112" t="s">
        <v>216</v>
      </c>
      <c r="AC119" s="112" t="s">
        <v>217</v>
      </c>
      <c r="AD119" s="112" t="s">
        <v>218</v>
      </c>
      <c r="AE119" s="112" t="s">
        <v>219</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229</v>
      </c>
      <c r="U120" s="25" t="str">
        <f>TEXT(X_Cell_Site_StartDate,"mmmm")</f>
        <v>January</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231</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229</v>
      </c>
      <c r="U121" s="25" t="str">
        <f>TEXT(EDATE(X_Cell_Site_StartDate,1), "mmmm")</f>
        <v>February</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231</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229</v>
      </c>
      <c r="U122" s="25" t="str">
        <f>TEXT(EDATE(X_Cell_Site_StartDate,2), "mmmm")</f>
        <v>March</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231</v>
      </c>
      <c r="AG122" s="26"/>
      <c r="AH122" s="26"/>
    </row>
    <row r="123" spans="4:35" ht="20.100000000000001" customHeight="1" x14ac:dyDescent="0.25">
      <c r="U123" s="25" t="str">
        <f>TEXT(EDATE(X_Cell_Site_StartDate,3), "mmmm")</f>
        <v>April</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231</v>
      </c>
      <c r="AG123" s="26"/>
      <c r="AH123" s="26"/>
    </row>
    <row r="124" spans="4:35" ht="20.100000000000001" customHeight="1" x14ac:dyDescent="0.25">
      <c r="D124" s="109" t="s">
        <v>342</v>
      </c>
      <c r="U124" s="25" t="str">
        <f>TEXT(EDATE(X_Cell_Site_StartDate,4), "mmmm")</f>
        <v>May</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231</v>
      </c>
      <c r="AG124" s="26"/>
      <c r="AH124" s="26"/>
    </row>
    <row r="125" spans="4:35" ht="20.100000000000001" customHeight="1" x14ac:dyDescent="0.25">
      <c r="D125" s="110" t="s">
        <v>343</v>
      </c>
      <c r="U125" s="25" t="str">
        <f>TEXT(EDATE(X_Cell_Site_StartDate,5), "mmmm")</f>
        <v>June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231</v>
      </c>
      <c r="AG125" s="26"/>
      <c r="AH125" s="26"/>
    </row>
    <row r="126" spans="4:35" ht="20.100000000000001" customHeight="1" x14ac:dyDescent="0.25">
      <c r="D126" s="111" t="s">
        <v>77</v>
      </c>
      <c r="E126" s="111" t="s">
        <v>211</v>
      </c>
      <c r="F126" s="111" t="s">
        <v>201</v>
      </c>
      <c r="G126" s="111" t="s">
        <v>212</v>
      </c>
      <c r="H126" s="111" t="s">
        <v>213</v>
      </c>
      <c r="I126" s="111" t="s">
        <v>214</v>
      </c>
      <c r="J126" s="111" t="s">
        <v>215</v>
      </c>
      <c r="K126" s="111" t="s">
        <v>216</v>
      </c>
      <c r="L126" s="111" t="s">
        <v>217</v>
      </c>
      <c r="M126" s="111" t="s">
        <v>218</v>
      </c>
      <c r="N126" s="111" t="s">
        <v>219</v>
      </c>
      <c r="U126" s="25" t="str">
        <f>TEXT(EDATE(X_Cell_Site_StartDate,6), "mmmm")</f>
        <v>July</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231</v>
      </c>
      <c r="AG126" s="26"/>
      <c r="AH126" s="26"/>
    </row>
    <row r="127" spans="4:35" ht="20.100000000000001" customHeight="1" x14ac:dyDescent="0.25">
      <c r="D127" s="25" t="s">
        <v>220</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str">
        <f>TEXT(EDATE(X_Cell_Site_StartDate,7), "mmmm")</f>
        <v>August</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231</v>
      </c>
      <c r="AG127" s="26"/>
      <c r="AH127" s="26"/>
    </row>
    <row r="128" spans="4:35" ht="20.100000000000001" customHeight="1" x14ac:dyDescent="0.25">
      <c r="D128" s="25" t="s">
        <v>221</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str">
        <f>TEXT(EDATE(X_Cell_Site_StartDate,8), "mmmm")</f>
        <v>September</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231</v>
      </c>
      <c r="AG128" s="26"/>
      <c r="AH128" s="26"/>
    </row>
    <row r="129" spans="3:34" ht="20.100000000000001" customHeight="1" x14ac:dyDescent="0.25">
      <c r="D129" s="25" t="s">
        <v>222</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str">
        <f>TEXT(EDATE(X_Cell_Site_StartDate,9), "mmmm")</f>
        <v>October</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231</v>
      </c>
      <c r="AG129" s="26"/>
      <c r="AH129" s="26"/>
    </row>
    <row r="130" spans="3:34" ht="20.100000000000001" customHeight="1" x14ac:dyDescent="0.25">
      <c r="D130" s="25" t="s">
        <v>223</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str">
        <f>TEXT(EDATE(X_Cell_Site_StartDate,10), "mmmm")</f>
        <v>November</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231</v>
      </c>
      <c r="AG130" s="26"/>
      <c r="AH130" s="26"/>
    </row>
    <row r="131" spans="3:34" ht="20.100000000000001" customHeight="1" x14ac:dyDescent="0.25">
      <c r="U131" s="25" t="str">
        <f>TEXT(EDATE(X_Cell_Site_StartDate,11), "mmmm")</f>
        <v>December</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231</v>
      </c>
      <c r="AG131" s="26"/>
      <c r="AH131" s="26"/>
    </row>
    <row r="132" spans="3:34" ht="20.100000000000001" customHeight="1" x14ac:dyDescent="0.25"/>
    <row r="133" spans="3:34" ht="20.100000000000001" customHeight="1" x14ac:dyDescent="0.25">
      <c r="C133" s="114"/>
      <c r="D133" s="114"/>
      <c r="E133" s="114"/>
      <c r="F133" s="114"/>
      <c r="G133" s="114"/>
      <c r="H133" s="114"/>
      <c r="I133" s="114"/>
      <c r="J133" s="114"/>
      <c r="K133" s="114"/>
      <c r="L133" s="114"/>
      <c r="M133" s="114"/>
      <c r="N133" s="114"/>
      <c r="O133" s="114"/>
      <c r="P133" s="114"/>
      <c r="Q133" s="114"/>
      <c r="R133" s="114"/>
      <c r="U133" s="109" t="s">
        <v>344</v>
      </c>
    </row>
    <row r="134" spans="3:34" ht="20.100000000000001" customHeight="1" x14ac:dyDescent="0.25">
      <c r="D134" s="2" t="str" cm="1">
        <f t="array" ref="D134">MMS_PastureBeef_Soil_N2ODirect_Equations.VEERG_4_2_1_3__3_NitrogenExcreted_Title()</f>
        <v>Nitrogen excreted</v>
      </c>
      <c r="U134" s="110" t="s">
        <v>345</v>
      </c>
    </row>
    <row r="135" spans="3:34" ht="20.100000000000001" customHeight="1" x14ac:dyDescent="0.25">
      <c r="D135" s="27" t="str" cm="1">
        <f t="array" ref="D135">MMS_PastureBeef_Soil_N2ODirect_Equations.VEERG_4_2_1_3__3_NitrogenExcreted_Source()</f>
        <v>VEERG 2026: 4.2.1.3, Equation (3)</v>
      </c>
      <c r="U135" s="111" t="s">
        <v>76</v>
      </c>
      <c r="V135" s="111" t="s">
        <v>211</v>
      </c>
      <c r="W135" s="111" t="s">
        <v>201</v>
      </c>
      <c r="X135" s="111" t="s">
        <v>212</v>
      </c>
      <c r="Y135" s="111" t="s">
        <v>213</v>
      </c>
      <c r="Z135" s="111" t="s">
        <v>214</v>
      </c>
      <c r="AA135" s="111" t="s">
        <v>215</v>
      </c>
      <c r="AB135" s="111" t="s">
        <v>216</v>
      </c>
      <c r="AC135" s="111" t="s">
        <v>217</v>
      </c>
      <c r="AD135" s="111" t="s">
        <v>218</v>
      </c>
      <c r="AE135" s="111" t="s">
        <v>219</v>
      </c>
    </row>
    <row r="136" spans="3:34" ht="20.100000000000001" customHeight="1" x14ac:dyDescent="0.25">
      <c r="D136" s="100" t="s">
        <v>259</v>
      </c>
      <c r="E136" s="100" t="str" cm="1">
        <f t="array" aca="1" ref="E136" ca="1">Common_InputFunctions.Utility_DisplayFunctionName($E$169)</f>
        <v>=MMS_PastureBeef_Soil_N2ODirect_Equations.VEERG_4_2_1_3__3_NitrogenExcreted</v>
      </c>
      <c r="U136" s="25" t="str">
        <f>TEXT(X_Cell_Site_StartDate,"mmmm")</f>
        <v>January</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1.9080635764024231E-2</v>
      </c>
      <c r="Z136" s="25" cm="1">
        <f t="array" aca="1" ref="Z136" ca="1">MMS_PastureBeef_Soil_N2ODirect_Equations.VEERG_4_2_1_3__4_NitrogenRetainedByBody(AB100,Z72,Z36,Z120)</f>
        <v>1.2558041048697144E-2</v>
      </c>
      <c r="AA136" s="25" cm="1">
        <f t="array" aca="1" ref="AA136" ca="1">MMS_PastureBeef_Soil_N2ODirect_Equations.VEERG_4_2_1_3__4_NitrogenRetainedByBody(AC100,AA72,AA36,AA120)</f>
        <v>1.2558041048697144E-2</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str">
        <f>TEXT(EDATE(X_Cell_Site_StartDate,1), "mmmm")</f>
        <v>February</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str">
        <f>TEXT(EDATE(X_Cell_Site_StartDate,2), "mmmm")</f>
        <v>March</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261</v>
      </c>
      <c r="E139" s="1" t="str" cm="1">
        <f t="array" ref="E139">MMS_PastureBeef_Soil_N2ODirect_Equations.VEERG_4_2_1_3__3_NitrogenExcreted_Variable()</f>
        <v>NE_jkl</v>
      </c>
      <c r="U139" s="25" t="str">
        <f>TEXT(EDATE(X_Cell_Site_StartDate,3), "mmmm")</f>
        <v>April</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131</v>
      </c>
      <c r="E140" s="15" t="str" cm="1">
        <f t="array" ref="E140">MMS_PastureBeef_Soil_N2ODirect_Equations.VEERG_4_2_1_3__3_NitrogenExcreted_Unit()</f>
        <v>kg N/head/day</v>
      </c>
      <c r="U140" s="25" t="str">
        <f>TEXT(EDATE(X_Cell_Site_StartDate,4), "mmmm")</f>
        <v>May</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str">
        <f>TEXT(EDATE(X_Cell_Site_StartDate,5), "mmmm")</f>
        <v>June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2" t="str" cm="1">
        <f t="array" ref="D142:E148">_xlfn.CHOOSECOLS(MMS_PastureBeef_Soil_N2ODirect_Equations.VEERG_4_2_1_3__3_NitrogenExcreted_Arguments(),1,2)</f>
        <v>I_jkl</v>
      </c>
      <c r="E142" s="103" t="str">
        <v>dry matter intake as calculated in Chapter 3 Section 3.2.1 (kg DM/head/day)</v>
      </c>
      <c r="F142" s="105"/>
      <c r="G142" s="102" t="str" cm="1">
        <f t="array" ref="G142:H148">_xlfn.CHOOSECOLS(MMS_PastureBeef_Soil_N2ODirect_Equations.VEERG_4_2_1_3__3_NitrogenExcreted_Arguments(),3,4)</f>
        <v>kg DM/head/day</v>
      </c>
      <c r="H142" s="107" t="str">
        <v>Calculated from 3.2.1.1 (3)</v>
      </c>
      <c r="I142" s="108" t="str" cm="1">
        <f t="array" aca="1" ref="I142" ca="1">HYPERLINK(Common_InputFunctions.Utility_SourceHyperlink($D$51),$D$51)</f>
        <v>M1_Table_I_j_k_l</v>
      </c>
      <c r="U142" s="25" t="str">
        <f>TEXT(EDATE(X_Cell_Site_StartDate,6), "mmmm")</f>
        <v>July</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2" t="str">
        <v>CP_j</v>
      </c>
      <c r="E143" s="103" t="str">
        <v>crude protein content of dry matter intake</v>
      </c>
      <c r="F143" s="105"/>
      <c r="G143" s="102" t="str">
        <v>fraction</v>
      </c>
      <c r="H143" s="106" t="str">
        <v>Input</v>
      </c>
      <c r="I143" s="108" t="str" cm="1">
        <f t="array" aca="1" ref="I143" ca="1">HYPERLINK(Common_InputFunctions.Utility_SourceHyperlink($D$150), $D$150)</f>
        <v>M1_Table_CP_j</v>
      </c>
      <c r="U143" s="25" t="str">
        <f>TEXT(EDATE(X_Cell_Site_StartDate,7), "mmmm")</f>
        <v>August</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2.4283253110865946E-2</v>
      </c>
      <c r="Z143" s="25" cm="1">
        <f t="array" aca="1" ref="Z143" ca="1">MMS_PastureBeef_Soil_N2ODirect_Equations.VEERG_4_2_1_3__4_NitrogenRetainedByBody(AB107,Z79,Z43,Z127)</f>
        <v>2.3854407853507724E-2</v>
      </c>
      <c r="AA143" s="25" cm="1">
        <f t="array" aca="1" ref="AA143" ca="1">MMS_PastureBeef_Soil_N2ODirect_Equations.VEERG_4_2_1_3__4_NitrogenRetainedByBody(AC107,AA79,AA43,AA127)</f>
        <v>2.3854407853507724E-2</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2" t="str">
        <v>MC_jk136</v>
      </c>
      <c r="E144" s="103" t="str">
        <v>milk intake (kg/head/day)</v>
      </c>
      <c r="F144" s="105"/>
      <c r="G144" s="102" t="str">
        <v>kg/head/day</v>
      </c>
      <c r="H144" s="107" t="str">
        <v>Constant</v>
      </c>
      <c r="I144" s="108" t="str" cm="1">
        <f t="array" aca="1" ref="I144" ca="1">HYPERLINK(Common_InputFunctions.Utility_SourceHyperlink($D$158), $D$158)</f>
        <v>M1_Table_MC_j_k_1-3-6</v>
      </c>
      <c r="U144" s="25" t="str">
        <f>TEXT(EDATE(X_Cell_Site_StartDate,8), "mmmm")</f>
        <v>September</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3.5186886137375313E-2</v>
      </c>
      <c r="Z144" s="25" cm="1">
        <f t="array" aca="1" ref="Z144" ca="1">MMS_PastureBeef_Soil_N2ODirect_Equations.VEERG_4_2_1_3__4_NitrogenRetainedByBody(AB108,Z80,Z44,Z128)</f>
        <v>2.993948362354976E-2</v>
      </c>
      <c r="AA144" s="25" cm="1">
        <f t="array" aca="1" ref="AA144" ca="1">MMS_PastureBeef_Soil_N2ODirect_Equations.VEERG_4_2_1_3__4_NitrogenRetainedByBody(AC108,AA80,AA44,AA128)</f>
        <v>2.993948362354976E-2</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2" t="str">
        <v>NR_jkl</v>
      </c>
      <c r="E145" s="103" t="str">
        <v>the amount of nitrogen retained by the body (kg N/head/day)</v>
      </c>
      <c r="F145" s="105"/>
      <c r="G145" s="102" t="str">
        <v>kg N/head/day</v>
      </c>
      <c r="H145" s="107" t="str">
        <v>Calculated from 4.2.1.3 (4)</v>
      </c>
      <c r="I145" s="108" t="str" cm="1">
        <f t="array" aca="1" ref="I145" ca="1">HYPERLINK(Common_InputFunctions.Utility_SourceHyperlink($D$124), $D$124)</f>
        <v>M1_Table_NR_j_k_l</v>
      </c>
      <c r="U145" s="25" t="str">
        <f>TEXT(EDATE(X_Cell_Site_StartDate,9), "mmmm")</f>
        <v>October</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3.5186886137375313E-2</v>
      </c>
      <c r="Z145" s="25" cm="1">
        <f t="array" aca="1" ref="Z145" ca="1">MMS_PastureBeef_Soil_N2ODirect_Equations.VEERG_4_2_1_3__4_NitrogenRetainedByBody(AB109,Z81,Z45,Z129)</f>
        <v>2.993948362354976E-2</v>
      </c>
      <c r="AA145" s="25" cm="1">
        <f t="array" aca="1" ref="AA145" ca="1">MMS_PastureBeef_Soil_N2ODirect_Equations.VEERG_4_2_1_3__4_NitrogenRetainedByBody(AC109,AA81,AA45,AA129)</f>
        <v>2.993948362354976E-2</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2" t="str">
        <v>W_jkl</v>
      </c>
      <c r="E146" s="103" t="str">
        <v>liveweight (kg/head)</v>
      </c>
      <c r="F146" s="105"/>
      <c r="G146" s="102" t="str">
        <v>kg/head</v>
      </c>
      <c r="H146" s="106" t="str">
        <v>Input</v>
      </c>
      <c r="I146" s="108" t="str" cm="1">
        <f t="array" aca="1" ref="I146" ca="1">HYPERLINK(Common_InputFunctions.Utility_SourceHyperlink($D$17), $D$17)</f>
        <v>M1_Table_W_j_k_l</v>
      </c>
      <c r="U146" s="25" t="str">
        <f>TEXT(EDATE(X_Cell_Site_StartDate,10), "mmmm")</f>
        <v>November</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2.7685555110513384E-2</v>
      </c>
      <c r="Z146" s="25" cm="1">
        <f t="array" aca="1" ref="Z146" ca="1">MMS_PastureBeef_Soil_N2ODirect_Equations.VEERG_4_2_1_3__4_NitrogenRetainedByBody(AB110,Z82,Z46,Z130)</f>
        <v>2.2419534651745895E-2</v>
      </c>
      <c r="AA146" s="25" cm="1">
        <f t="array" aca="1" ref="AA146" ca="1">MMS_PastureBeef_Soil_N2ODirect_Equations.VEERG_4_2_1_3__4_NitrogenRetainedByBody(AC110,AA82,AA46,AA130)</f>
        <v>2.2419534651745895E-2</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2" t="str">
        <v>b</v>
      </c>
      <c r="E147" s="103" t="str">
        <v>breed of cattle</v>
      </c>
      <c r="F147" s="105"/>
      <c r="G147" s="102" t="str">
        <v/>
      </c>
      <c r="H147" s="106" t="str">
        <v>Input</v>
      </c>
      <c r="I147" s="118" t="str">
        <f>X_Cell_PastureBeef_Breed</f>
        <v>Hereford or Shorthorn breeds</v>
      </c>
      <c r="U147" s="25" t="str">
        <f>TEXT(EDATE(X_Cell_Site_StartDate,11), "mmmm")</f>
        <v>December</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1.9080635764024231E-2</v>
      </c>
      <c r="Z147" s="25" cm="1">
        <f t="array" aca="1" ref="Z147" ca="1">MMS_PastureBeef_Soil_N2ODirect_Equations.VEERG_4_2_1_3__4_NitrogenRetainedByBody(AB111,Z83,Z47,Z131)</f>
        <v>1.2558041048697144E-2</v>
      </c>
      <c r="AA147" s="25" cm="1">
        <f t="array" aca="1" ref="AA147" ca="1">MMS_PastureBeef_Soil_N2ODirect_Equations.VEERG_4_2_1_3__4_NitrogenRetainedByBody(AC111,AA83,AA47,AA131)</f>
        <v>1.2558041048697144E-2</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2" t="str">
        <v>s</v>
      </c>
      <c r="E148" s="103" t="str">
        <v>Calving season</v>
      </c>
      <c r="F148" s="105"/>
      <c r="G148" s="102" t="str">
        <v/>
      </c>
      <c r="H148" s="106" t="str">
        <v>Input</v>
      </c>
      <c r="I148" s="118" t="str">
        <f>'Input - Pasture Beef'!$E$162</f>
        <v>Winter</v>
      </c>
    </row>
    <row r="149" spans="4:35" ht="20.100000000000001" customHeight="1" x14ac:dyDescent="0.25"/>
    <row r="150" spans="4:35" ht="20.100000000000001" customHeight="1" x14ac:dyDescent="0.25">
      <c r="D150" s="109" t="s">
        <v>346</v>
      </c>
      <c r="T150" s="114"/>
      <c r="U150" s="114"/>
      <c r="V150" s="114"/>
      <c r="W150" s="114"/>
      <c r="X150" s="114"/>
      <c r="Y150" s="114"/>
      <c r="Z150" s="114"/>
      <c r="AA150" s="114"/>
      <c r="AB150" s="114"/>
      <c r="AC150" s="114"/>
      <c r="AD150" s="114"/>
      <c r="AE150" s="114"/>
      <c r="AF150" s="114"/>
      <c r="AG150" s="114"/>
      <c r="AH150" s="114"/>
      <c r="AI150" s="114"/>
    </row>
    <row r="151" spans="4:35" ht="20.100000000000001" customHeight="1" x14ac:dyDescent="0.25">
      <c r="D151" s="110" t="s">
        <v>347</v>
      </c>
      <c r="U151" s="2" t="str" cm="1">
        <f t="array" ref="U151">MMS_PastureBeef_Soil_N2ODirect_Equations.VEERG_4_2_1_3__3_NitrogenExcreted_Title()</f>
        <v>Nitrogen excreted</v>
      </c>
    </row>
    <row r="152" spans="4:35" ht="20.100000000000001" customHeight="1" x14ac:dyDescent="0.25">
      <c r="D152" s="111" t="s">
        <v>77</v>
      </c>
      <c r="E152" s="112" t="s">
        <v>211</v>
      </c>
      <c r="F152" s="112" t="s">
        <v>201</v>
      </c>
      <c r="G152" s="112" t="s">
        <v>212</v>
      </c>
      <c r="H152" s="112" t="s">
        <v>213</v>
      </c>
      <c r="I152" s="112" t="s">
        <v>214</v>
      </c>
      <c r="J152" s="112" t="s">
        <v>215</v>
      </c>
      <c r="K152" s="112" t="s">
        <v>216</v>
      </c>
      <c r="L152" s="112" t="s">
        <v>217</v>
      </c>
      <c r="M152" s="112" t="s">
        <v>218</v>
      </c>
      <c r="N152" s="112" t="s">
        <v>219</v>
      </c>
    </row>
    <row r="153" spans="4:35" ht="20.100000000000001" customHeight="1" x14ac:dyDescent="0.25">
      <c r="D153" s="25" t="s">
        <v>220</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233</v>
      </c>
    </row>
    <row r="154" spans="4:35" ht="20.100000000000001" customHeight="1" x14ac:dyDescent="0.25">
      <c r="D154" s="25" t="s">
        <v>221</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233</v>
      </c>
    </row>
    <row r="155" spans="4:35" ht="20.100000000000001" customHeight="1" x14ac:dyDescent="0.25">
      <c r="D155" s="25" t="s">
        <v>222</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233</v>
      </c>
    </row>
    <row r="156" spans="4:35" ht="20.100000000000001" customHeight="1" x14ac:dyDescent="0.25">
      <c r="D156" s="25" t="s">
        <v>223</v>
      </c>
      <c r="E156" s="25">
        <f ca="1"/>
        <v>0.2</v>
      </c>
      <c r="F156" s="25">
        <f ca="1"/>
        <v>0.2</v>
      </c>
      <c r="G156" s="25">
        <f ca="1"/>
        <v>0.2</v>
      </c>
      <c r="H156" s="25">
        <f ca="1"/>
        <v>0.2</v>
      </c>
      <c r="I156" s="25">
        <f ca="1"/>
        <v>0.2</v>
      </c>
      <c r="J156" s="25">
        <f ca="1"/>
        <v>0.2</v>
      </c>
      <c r="K156" s="25">
        <f ca="1"/>
        <v>0.2</v>
      </c>
      <c r="L156" s="25">
        <f ca="1"/>
        <v>0.2</v>
      </c>
      <c r="M156" s="25">
        <f ca="1"/>
        <v>0.2</v>
      </c>
      <c r="N156" s="25">
        <f ca="1"/>
        <v>0.2</v>
      </c>
      <c r="O156" s="26" t="s">
        <v>233</v>
      </c>
    </row>
    <row r="157" spans="4:35" ht="20.100000000000001" customHeight="1" x14ac:dyDescent="0.25"/>
    <row r="158" spans="4:35" ht="20.100000000000001" customHeight="1" x14ac:dyDescent="0.25">
      <c r="D158" s="109" t="s">
        <v>348</v>
      </c>
    </row>
    <row r="159" spans="4:35" ht="20.100000000000001" customHeight="1" x14ac:dyDescent="0.25">
      <c r="D159" s="110" t="s">
        <v>349</v>
      </c>
    </row>
    <row r="160" spans="4:35" ht="20.100000000000001" customHeight="1" x14ac:dyDescent="0.25">
      <c r="D160" s="111" t="s">
        <v>77</v>
      </c>
      <c r="E160" s="111" t="s">
        <v>244</v>
      </c>
      <c r="F160" s="111" t="s">
        <v>211</v>
      </c>
      <c r="G160" s="111" t="s">
        <v>201</v>
      </c>
      <c r="H160" s="111" t="s">
        <v>212</v>
      </c>
      <c r="I160" s="111" t="s">
        <v>213</v>
      </c>
      <c r="J160" s="111" t="s">
        <v>214</v>
      </c>
      <c r="K160" s="111" t="s">
        <v>215</v>
      </c>
      <c r="L160" s="111" t="s">
        <v>216</v>
      </c>
      <c r="M160" s="111" t="s">
        <v>217</v>
      </c>
      <c r="N160" s="111" t="s">
        <v>218</v>
      </c>
      <c r="O160" s="111" t="s">
        <v>219</v>
      </c>
    </row>
    <row r="161" spans="3:34" ht="20.100000000000001" customHeight="1" x14ac:dyDescent="0.25">
      <c r="D161" s="25" t="s">
        <v>220</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231</v>
      </c>
      <c r="Q161" s="26"/>
      <c r="U161" s="109" t="s">
        <v>350</v>
      </c>
    </row>
    <row r="162" spans="3:34" ht="20.100000000000001" customHeight="1" x14ac:dyDescent="0.25">
      <c r="D162" s="25" t="s">
        <v>221</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231</v>
      </c>
      <c r="Q162" s="26"/>
      <c r="U162" s="110" t="s">
        <v>351</v>
      </c>
    </row>
    <row r="163" spans="3:34" ht="20.100000000000001" customHeight="1" x14ac:dyDescent="0.25">
      <c r="D163" s="25" t="s">
        <v>222</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231</v>
      </c>
      <c r="Q163" s="26"/>
      <c r="U163" s="111" t="s">
        <v>76</v>
      </c>
      <c r="V163" s="112" t="s">
        <v>211</v>
      </c>
      <c r="W163" s="112" t="s">
        <v>201</v>
      </c>
      <c r="X163" s="112" t="s">
        <v>212</v>
      </c>
      <c r="Y163" s="112" t="s">
        <v>213</v>
      </c>
      <c r="Z163" s="112" t="s">
        <v>214</v>
      </c>
      <c r="AA163" s="112" t="s">
        <v>215</v>
      </c>
      <c r="AB163" s="112" t="s">
        <v>216</v>
      </c>
      <c r="AC163" s="112" t="s">
        <v>217</v>
      </c>
      <c r="AD163" s="112" t="s">
        <v>218</v>
      </c>
      <c r="AE163" s="112" t="s">
        <v>219</v>
      </c>
    </row>
    <row r="164" spans="3:34" ht="20.100000000000001" customHeight="1" x14ac:dyDescent="0.25">
      <c r="D164" s="25" t="s">
        <v>223</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231</v>
      </c>
      <c r="Q164" s="26"/>
      <c r="U164" s="25" t="str">
        <f>TEXT(X_Cell_Site_StartDate,"mmmm")</f>
        <v>January</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233</v>
      </c>
    </row>
    <row r="165" spans="3:34" ht="20.100000000000001" customHeight="1" x14ac:dyDescent="0.25">
      <c r="U165" s="25" t="str">
        <f>TEXT(EDATE(X_Cell_Site_StartDate,1), "mmmm")</f>
        <v>February</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233</v>
      </c>
    </row>
    <row r="166" spans="3:34" ht="20.100000000000001" customHeight="1" x14ac:dyDescent="0.25">
      <c r="D166" s="109" t="s">
        <v>352</v>
      </c>
      <c r="U166" s="25" t="str">
        <f>TEXT(EDATE(X_Cell_Site_StartDate,2), "mmmm")</f>
        <v>March</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233</v>
      </c>
    </row>
    <row r="167" spans="3:34" ht="20.100000000000001" customHeight="1" x14ac:dyDescent="0.25">
      <c r="D167" s="110" t="s">
        <v>353</v>
      </c>
      <c r="U167" s="25" t="str">
        <f>TEXT(EDATE(X_Cell_Site_StartDate,3), "mmmm")</f>
        <v>April</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233</v>
      </c>
    </row>
    <row r="168" spans="3:34" ht="20.100000000000001" customHeight="1" x14ac:dyDescent="0.25">
      <c r="D168" s="111" t="s">
        <v>77</v>
      </c>
      <c r="E168" s="111" t="s">
        <v>211</v>
      </c>
      <c r="F168" s="111" t="s">
        <v>201</v>
      </c>
      <c r="G168" s="111" t="s">
        <v>212</v>
      </c>
      <c r="H168" s="111" t="s">
        <v>213</v>
      </c>
      <c r="I168" s="111" t="s">
        <v>214</v>
      </c>
      <c r="J168" s="111" t="s">
        <v>215</v>
      </c>
      <c r="K168" s="111" t="s">
        <v>216</v>
      </c>
      <c r="L168" s="111" t="s">
        <v>217</v>
      </c>
      <c r="M168" s="111" t="s">
        <v>218</v>
      </c>
      <c r="N168" s="111" t="s">
        <v>219</v>
      </c>
      <c r="U168" s="25" t="str">
        <f>TEXT(EDATE(X_Cell_Site_StartDate,4), "mmmm")</f>
        <v>May</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233</v>
      </c>
      <c r="AG168" s="26"/>
      <c r="AH168" s="26"/>
    </row>
    <row r="169" spans="3:34" ht="20.100000000000001" customHeight="1" x14ac:dyDescent="0.25">
      <c r="D169" s="25" t="s">
        <v>220</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str">
        <f>TEXT(EDATE(X_Cell_Site_StartDate,5), "mmmm")</f>
        <v>June</v>
      </c>
      <c r="V169" s="25">
        <f ca="1"/>
        <v>0.2</v>
      </c>
      <c r="W169" s="25">
        <f ca="1"/>
        <v>0.2</v>
      </c>
      <c r="X169" s="25">
        <f ca="1"/>
        <v>0.2</v>
      </c>
      <c r="Y169" s="25">
        <f ca="1"/>
        <v>0.2</v>
      </c>
      <c r="Z169" s="25">
        <f ca="1"/>
        <v>0.2</v>
      </c>
      <c r="AA169" s="25">
        <f ca="1"/>
        <v>0.2</v>
      </c>
      <c r="AB169" s="25">
        <f ca="1"/>
        <v>0.2</v>
      </c>
      <c r="AC169" s="25">
        <f ca="1"/>
        <v>0.2</v>
      </c>
      <c r="AD169" s="25">
        <f ca="1"/>
        <v>0.2</v>
      </c>
      <c r="AE169" s="25">
        <f ca="1"/>
        <v>0.2</v>
      </c>
      <c r="AF169" s="26" t="s">
        <v>233</v>
      </c>
      <c r="AG169" s="26"/>
      <c r="AH169" s="26"/>
    </row>
    <row r="170" spans="3:34" ht="20.100000000000001" customHeight="1" x14ac:dyDescent="0.25">
      <c r="D170" s="25" t="s">
        <v>221</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str">
        <f>TEXT(EDATE(X_Cell_Site_StartDate,6), "mmmm")</f>
        <v>July</v>
      </c>
      <c r="V170" s="25">
        <f ca="1"/>
        <v>0.2</v>
      </c>
      <c r="W170" s="25">
        <f ca="1"/>
        <v>0.2</v>
      </c>
      <c r="X170" s="25">
        <f ca="1"/>
        <v>0.2</v>
      </c>
      <c r="Y170" s="25">
        <f ca="1"/>
        <v>0.2</v>
      </c>
      <c r="Z170" s="25">
        <f ca="1"/>
        <v>0.2</v>
      </c>
      <c r="AA170" s="25">
        <f ca="1"/>
        <v>0.2</v>
      </c>
      <c r="AB170" s="25">
        <f ca="1"/>
        <v>0.2</v>
      </c>
      <c r="AC170" s="25">
        <f ca="1"/>
        <v>0.2</v>
      </c>
      <c r="AD170" s="25">
        <f ca="1"/>
        <v>0.2</v>
      </c>
      <c r="AE170" s="25">
        <f ca="1"/>
        <v>0.2</v>
      </c>
      <c r="AF170" s="26" t="s">
        <v>233</v>
      </c>
      <c r="AG170" s="26"/>
      <c r="AH170" s="26"/>
    </row>
    <row r="171" spans="3:34" ht="20.100000000000001" customHeight="1" x14ac:dyDescent="0.25">
      <c r="D171" s="25" t="s">
        <v>222</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str">
        <f>TEXT(EDATE(X_Cell_Site_StartDate,7), "mmmm")</f>
        <v>August</v>
      </c>
      <c r="V171" s="25">
        <f ca="1"/>
        <v>0.2</v>
      </c>
      <c r="W171" s="25">
        <f ca="1"/>
        <v>0.2</v>
      </c>
      <c r="X171" s="25">
        <f ca="1"/>
        <v>0.2</v>
      </c>
      <c r="Y171" s="25">
        <f ca="1"/>
        <v>0.2</v>
      </c>
      <c r="Z171" s="25">
        <f ca="1"/>
        <v>0.2</v>
      </c>
      <c r="AA171" s="25">
        <f ca="1"/>
        <v>0.2</v>
      </c>
      <c r="AB171" s="25">
        <f ca="1"/>
        <v>0.2</v>
      </c>
      <c r="AC171" s="25">
        <f ca="1"/>
        <v>0.2</v>
      </c>
      <c r="AD171" s="25">
        <f ca="1"/>
        <v>0.2</v>
      </c>
      <c r="AE171" s="25">
        <f ca="1"/>
        <v>0.2</v>
      </c>
      <c r="AF171" s="26" t="s">
        <v>233</v>
      </c>
      <c r="AG171" s="26"/>
      <c r="AH171" s="26"/>
    </row>
    <row r="172" spans="3:34" ht="20.100000000000001" customHeight="1" x14ac:dyDescent="0.25">
      <c r="D172" s="25" t="s">
        <v>223</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str">
        <f>TEXT(EDATE(X_Cell_Site_StartDate,8), "mmmm")</f>
        <v>September</v>
      </c>
      <c r="V172" s="25">
        <f ca="1"/>
        <v>0.2</v>
      </c>
      <c r="W172" s="25">
        <f ca="1"/>
        <v>0.2</v>
      </c>
      <c r="X172" s="25">
        <f ca="1"/>
        <v>0.2</v>
      </c>
      <c r="Y172" s="25">
        <f ca="1"/>
        <v>0.2</v>
      </c>
      <c r="Z172" s="25">
        <f ca="1"/>
        <v>0.2</v>
      </c>
      <c r="AA172" s="25">
        <f ca="1"/>
        <v>0.2</v>
      </c>
      <c r="AB172" s="25">
        <f ca="1"/>
        <v>0.2</v>
      </c>
      <c r="AC172" s="25">
        <f ca="1"/>
        <v>0.2</v>
      </c>
      <c r="AD172" s="25">
        <f ca="1"/>
        <v>0.2</v>
      </c>
      <c r="AE172" s="25">
        <f ca="1"/>
        <v>0.2</v>
      </c>
      <c r="AF172" s="26" t="s">
        <v>233</v>
      </c>
      <c r="AG172" s="26"/>
      <c r="AH172" s="26"/>
    </row>
    <row r="173" spans="3:34" ht="20.100000000000001" customHeight="1" x14ac:dyDescent="0.25">
      <c r="U173" s="25" t="str">
        <f>TEXT(EDATE(X_Cell_Site_StartDate,9), "mmmm")</f>
        <v>October</v>
      </c>
      <c r="V173" s="25">
        <f ca="1"/>
        <v>0.2</v>
      </c>
      <c r="W173" s="25">
        <f ca="1"/>
        <v>0.2</v>
      </c>
      <c r="X173" s="25">
        <f ca="1"/>
        <v>0.2</v>
      </c>
      <c r="Y173" s="25">
        <f ca="1"/>
        <v>0.2</v>
      </c>
      <c r="Z173" s="25">
        <f ca="1"/>
        <v>0.2</v>
      </c>
      <c r="AA173" s="25">
        <f ca="1"/>
        <v>0.2</v>
      </c>
      <c r="AB173" s="25">
        <f ca="1"/>
        <v>0.2</v>
      </c>
      <c r="AC173" s="25">
        <f ca="1"/>
        <v>0.2</v>
      </c>
      <c r="AD173" s="25">
        <f ca="1"/>
        <v>0.2</v>
      </c>
      <c r="AE173" s="25">
        <f ca="1"/>
        <v>0.2</v>
      </c>
      <c r="AF173" s="26" t="s">
        <v>233</v>
      </c>
      <c r="AG173" s="26"/>
      <c r="AH173" s="26"/>
    </row>
    <row r="174" spans="3:34" ht="20.100000000000001" customHeight="1" x14ac:dyDescent="0.25">
      <c r="U174" s="25" t="str">
        <f>TEXT(EDATE(X_Cell_Site_StartDate,10), "mmmm")</f>
        <v>November</v>
      </c>
      <c r="V174" s="25">
        <f ca="1"/>
        <v>0.2</v>
      </c>
      <c r="W174" s="25">
        <f ca="1"/>
        <v>0.2</v>
      </c>
      <c r="X174" s="25">
        <f ca="1"/>
        <v>0.2</v>
      </c>
      <c r="Y174" s="25">
        <f ca="1"/>
        <v>0.2</v>
      </c>
      <c r="Z174" s="25">
        <f ca="1"/>
        <v>0.2</v>
      </c>
      <c r="AA174" s="25">
        <f ca="1"/>
        <v>0.2</v>
      </c>
      <c r="AB174" s="25">
        <f ca="1"/>
        <v>0.2</v>
      </c>
      <c r="AC174" s="25">
        <f ca="1"/>
        <v>0.2</v>
      </c>
      <c r="AD174" s="25">
        <f ca="1"/>
        <v>0.2</v>
      </c>
      <c r="AE174" s="25">
        <f ca="1"/>
        <v>0.2</v>
      </c>
      <c r="AF174" s="26" t="s">
        <v>233</v>
      </c>
      <c r="AG174" s="26"/>
      <c r="AH174" s="26"/>
    </row>
    <row r="175" spans="3:34" ht="20.100000000000001" customHeight="1" x14ac:dyDescent="0.25">
      <c r="C175" s="114"/>
      <c r="D175" s="114"/>
      <c r="E175" s="114"/>
      <c r="F175" s="114"/>
      <c r="G175" s="114"/>
      <c r="H175" s="114"/>
      <c r="I175" s="114"/>
      <c r="J175" s="114"/>
      <c r="K175" s="114"/>
      <c r="L175" s="114"/>
      <c r="M175" s="114"/>
      <c r="N175" s="114"/>
      <c r="O175" s="114"/>
      <c r="P175" s="114"/>
      <c r="Q175" s="114"/>
      <c r="R175" s="114"/>
      <c r="U175" s="25" t="str">
        <f>TEXT(EDATE(X_Cell_Site_StartDate,11), "mmmm")</f>
        <v>December</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233</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09" t="s">
        <v>354</v>
      </c>
      <c r="AH177" s="26"/>
    </row>
    <row r="178" spans="4:34" ht="20.100000000000001" customHeight="1" x14ac:dyDescent="0.25">
      <c r="D178" s="100" t="s">
        <v>259</v>
      </c>
      <c r="E178" s="100" t="str" cm="1">
        <f t="array" aca="1" ref="E178" ca="1">Common_InputFunctions.Utility_DisplayFunctionName($E$207)</f>
        <v>=MMS_PastureBeef_Soil_N2ODirect_Equations.VEERG_4_2_1_3__2_TotalNitrogenExcretedToPastureRangeAndPaddock</v>
      </c>
      <c r="U178" s="110" t="s">
        <v>355</v>
      </c>
      <c r="AH178" s="26"/>
    </row>
    <row r="179" spans="4:34" ht="20.100000000000001" customHeight="1" x14ac:dyDescent="0.25">
      <c r="U179" s="111" t="s">
        <v>76</v>
      </c>
      <c r="V179" s="111" t="s">
        <v>244</v>
      </c>
      <c r="W179" s="111" t="s">
        <v>211</v>
      </c>
      <c r="X179" s="111" t="s">
        <v>201</v>
      </c>
      <c r="Y179" s="111" t="s">
        <v>212</v>
      </c>
      <c r="Z179" s="111" t="s">
        <v>213</v>
      </c>
      <c r="AA179" s="111" t="s">
        <v>214</v>
      </c>
      <c r="AB179" s="111" t="s">
        <v>215</v>
      </c>
      <c r="AC179" s="111" t="s">
        <v>216</v>
      </c>
      <c r="AD179" s="111" t="s">
        <v>217</v>
      </c>
      <c r="AE179" s="111" t="s">
        <v>218</v>
      </c>
      <c r="AF179" s="111" t="s">
        <v>219</v>
      </c>
      <c r="AH179" s="26"/>
    </row>
    <row r="180" spans="4:34" ht="20.100000000000001" customHeight="1" x14ac:dyDescent="0.25">
      <c r="U180" s="25" t="str">
        <f>TEXT(X_Cell_Site_StartDate,"mmmm")</f>
        <v>January</v>
      </c>
      <c r="V180" s="25" t="str" cm="1">
        <f t="array" ref="V180">IFERROR(_xlfn.IFS(SUMPRODUCT(ISNUMBER(SEARCH(TRIM(_xlfn.TEXTSPLIT($U$92,",")),U180))*1)&gt;0,"Calving season",SUMPRODUCT(ISNUMBER(SEARCH(TRIM(_xlfn.TEXTSPLIT($U$93,",")),U180))*1)&gt;0,"Season after calving"), "")</f>
        <v>Season after calving</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231</v>
      </c>
    </row>
    <row r="181" spans="4:34" ht="20.100000000000001" customHeight="1" x14ac:dyDescent="0.25">
      <c r="D181" s="88" t="s">
        <v>261</v>
      </c>
      <c r="E181" s="1" t="str" cm="1">
        <f t="array" ref="E181">MMS_PastureBeef_Soil_N2ODirect_Equations.VEERG_4_2_1_3__2_TotalNitrogenExcretedToPastureRangeAndPaddock_Variable()</f>
        <v>AE</v>
      </c>
      <c r="U181" s="25" t="str">
        <f>TEXT(EDATE(X_Cell_Site_StartDate,1), "mmmm")</f>
        <v>February</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231</v>
      </c>
    </row>
    <row r="182" spans="4:34" ht="20.100000000000001" customHeight="1" x14ac:dyDescent="0.25">
      <c r="D182" s="88" t="s">
        <v>131</v>
      </c>
      <c r="E182" s="15" t="str" cm="1">
        <f t="array" ref="E182">MMS_PastureBeef_Soil_N2ODirect_Equations.VEERG_4_2_1_3__2_TotalNitrogenExcretedToPastureRangeAndPaddock_Unit()</f>
        <v>kg N</v>
      </c>
      <c r="U182" s="25" t="str">
        <f>TEXT(EDATE(X_Cell_Site_StartDate,2), "mmmm")</f>
        <v>March</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231</v>
      </c>
    </row>
    <row r="183" spans="4:34" ht="20.100000000000001" customHeight="1" x14ac:dyDescent="0.25">
      <c r="U183" s="25" t="str">
        <f>TEXT(EDATE(X_Cell_Site_StartDate,3), "mmmm")</f>
        <v>April</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231</v>
      </c>
    </row>
    <row r="184" spans="4:34" ht="20.100000000000001" customHeight="1" x14ac:dyDescent="0.25">
      <c r="D184" s="102" t="str" cm="1">
        <f t="array" ref="D184:E186">_xlfn.CHOOSECOLS(MMS_PastureBeef_Soil_N2ODirect_Equations.VEERG_4_2_1_3__2_TotalNitrogenExcretedToPastureRangeAndPaddock_Arguments(),1,2)</f>
        <v>N_jkl</v>
      </c>
      <c r="E184" s="103" t="str">
        <v>number of beef cattle by time-period, class and subclass</v>
      </c>
      <c r="F184" s="105"/>
      <c r="G184" s="102" t="str" cm="1">
        <f t="array" ref="G184:H186">_xlfn.CHOOSECOLS(MMS_PastureBeef_Soil_N2ODirect_Equations.VEERG_4_2_1_3__2_TotalNitrogenExcretedToPastureRangeAndPaddock_Arguments(),3,4)</f>
        <v>head</v>
      </c>
      <c r="H184" s="106" t="str">
        <v>Input</v>
      </c>
      <c r="I184" s="108" t="str" cm="1">
        <f t="array" aca="1" ref="I184" ca="1">HYPERLINK(Common_InputFunctions.Utility_SourceHyperlink($D$188), $D$188)</f>
        <v>M1_Table_N_j_k_l</v>
      </c>
      <c r="U184" s="25" t="str">
        <f>TEXT(EDATE(X_Cell_Site_StartDate,4), "mmmm")</f>
        <v>May</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231</v>
      </c>
      <c r="AH184" s="26"/>
    </row>
    <row r="185" spans="4:34" ht="20.100000000000001" customHeight="1" x14ac:dyDescent="0.25">
      <c r="D185" s="102" t="str">
        <v>NE_jkl</v>
      </c>
      <c r="E185" s="103" t="str">
        <v>nitrogen excreted in each time-period, by each class and subclass</v>
      </c>
      <c r="F185" s="105"/>
      <c r="G185" s="102" t="str">
        <v>kg N/head/day</v>
      </c>
      <c r="H185" s="107" t="str">
        <v>Calculated from 4.2.1.3 (3)</v>
      </c>
      <c r="I185" s="108" t="str" cm="1">
        <f t="array" aca="1" ref="I185" ca="1">HYPERLINK(Common_InputFunctions.Utility_SourceHyperlink($D$166), $D$166)</f>
        <v>M1_Table_NE_j_k_l</v>
      </c>
      <c r="U185" s="25" t="str">
        <f>TEXT(EDATE(X_Cell_Site_StartDate,5), "mmmm")</f>
        <v>June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231</v>
      </c>
      <c r="AH185" s="26"/>
    </row>
    <row r="186" spans="4:34" ht="20.100000000000001" customHeight="1" x14ac:dyDescent="0.25">
      <c r="D186" s="102" t="str">
        <v>D_j</v>
      </c>
      <c r="E186" s="103" t="str">
        <v>number of days in each time-period (days)</v>
      </c>
      <c r="F186" s="105"/>
      <c r="G186" s="102" t="str">
        <v>days</v>
      </c>
      <c r="H186" s="106" t="str">
        <v>Input</v>
      </c>
      <c r="I186" s="108" t="str" cm="1">
        <f t="array" aca="1" ref="I186" ca="1">HYPERLINK(Common_InputFunctions.Utility_SourceHyperlink($D$196), $D$196)</f>
        <v>M1_Table_D_j</v>
      </c>
      <c r="U186" s="25" t="str">
        <f>TEXT(EDATE(X_Cell_Site_StartDate,6), "mmmm")</f>
        <v>July</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231</v>
      </c>
      <c r="AH186" s="26"/>
    </row>
    <row r="187" spans="4:34" ht="20.100000000000001" customHeight="1" x14ac:dyDescent="0.25">
      <c r="U187" s="25" t="str">
        <f>TEXT(EDATE(X_Cell_Site_StartDate,7), "mmmm")</f>
        <v>August</v>
      </c>
      <c r="V187" s="25" t="str" cm="1">
        <f t="array" ref="V187">IFERROR(_xlfn.IFS(SUMPRODUCT(ISNUMBER(SEARCH(TRIM(_xlfn.TEXTSPLIT($U$92,",")),U187))*1)&gt;0,"Calving season",SUMPRODUCT(ISNUMBER(SEARCH(TRIM(_xlfn.TEXTSPLIT($U$93,",")),U187))*1)&gt;0,"Season after calving"), "")</f>
        <v>Calving season</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231</v>
      </c>
      <c r="AH187" s="26"/>
    </row>
    <row r="188" spans="4:34" ht="20.100000000000001" customHeight="1" x14ac:dyDescent="0.25">
      <c r="D188" s="109" t="s">
        <v>309</v>
      </c>
      <c r="U188" s="25" t="str">
        <f>TEXT(EDATE(X_Cell_Site_StartDate,8), "mmmm")</f>
        <v>September</v>
      </c>
      <c r="V188" s="25" t="str" cm="1">
        <f t="array" ref="V188">IFERROR(_xlfn.IFS(SUMPRODUCT(ISNUMBER(SEARCH(TRIM(_xlfn.TEXTSPLIT($U$92,",")),U188))*1)&gt;0,"Calving season",SUMPRODUCT(ISNUMBER(SEARCH(TRIM(_xlfn.TEXTSPLIT($U$93,",")),U188))*1)&gt;0,"Season after calving"), "")</f>
        <v>Calving season</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231</v>
      </c>
    </row>
    <row r="189" spans="4:34" ht="20.100000000000001" customHeight="1" x14ac:dyDescent="0.25">
      <c r="D189" s="110" t="s">
        <v>311</v>
      </c>
      <c r="U189" s="25" t="str">
        <f>TEXT(EDATE(X_Cell_Site_StartDate,9), "mmmm")</f>
        <v>October</v>
      </c>
      <c r="V189" s="25" t="str" cm="1">
        <f t="array" ref="V189">IFERROR(_xlfn.IFS(SUMPRODUCT(ISNUMBER(SEARCH(TRIM(_xlfn.TEXTSPLIT($U$92,",")),U189))*1)&gt;0,"Calving season",SUMPRODUCT(ISNUMBER(SEARCH(TRIM(_xlfn.TEXTSPLIT($U$93,",")),U189))*1)&gt;0,"Season after calving"), "")</f>
        <v>Calving season</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231</v>
      </c>
    </row>
    <row r="190" spans="4:34" ht="20.100000000000001" customHeight="1" x14ac:dyDescent="0.25">
      <c r="D190" s="111" t="s">
        <v>77</v>
      </c>
      <c r="E190" s="112" t="s">
        <v>211</v>
      </c>
      <c r="F190" s="112" t="s">
        <v>201</v>
      </c>
      <c r="G190" s="112" t="s">
        <v>212</v>
      </c>
      <c r="H190" s="112" t="s">
        <v>213</v>
      </c>
      <c r="I190" s="112" t="s">
        <v>214</v>
      </c>
      <c r="J190" s="112" t="s">
        <v>215</v>
      </c>
      <c r="K190" s="112" t="s">
        <v>216</v>
      </c>
      <c r="L190" s="112" t="s">
        <v>217</v>
      </c>
      <c r="M190" s="112" t="s">
        <v>218</v>
      </c>
      <c r="N190" s="112" t="s">
        <v>219</v>
      </c>
      <c r="U190" s="25" t="str">
        <f>TEXT(EDATE(X_Cell_Site_StartDate,10), "mmmm")</f>
        <v>November</v>
      </c>
      <c r="V190" s="25" t="str" cm="1">
        <f t="array" ref="V190">IFERROR(_xlfn.IFS(SUMPRODUCT(ISNUMBER(SEARCH(TRIM(_xlfn.TEXTSPLIT($U$92,",")),U190))*1)&gt;0,"Calving season",SUMPRODUCT(ISNUMBER(SEARCH(TRIM(_xlfn.TEXTSPLIT($U$93,",")),U190))*1)&gt;0,"Season after calving"), "")</f>
        <v>Season after calving</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231</v>
      </c>
    </row>
    <row r="191" spans="4:34" ht="20.100000000000001" customHeight="1" x14ac:dyDescent="0.25">
      <c r="D191" s="25" t="s">
        <v>220</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313</v>
      </c>
      <c r="U191" s="25" t="str">
        <f>TEXT(EDATE(X_Cell_Site_StartDate,11), "mmmm")</f>
        <v>December</v>
      </c>
      <c r="V191" s="25" t="str" cm="1">
        <f t="array" ref="V191">IFERROR(_xlfn.IFS(SUMPRODUCT(ISNUMBER(SEARCH(TRIM(_xlfn.TEXTSPLIT($U$92,",")),U191))*1)&gt;0,"Calving season",SUMPRODUCT(ISNUMBER(SEARCH(TRIM(_xlfn.TEXTSPLIT($U$93,",")),U191))*1)&gt;0,"Season after calving"), "")</f>
        <v>Season after calving</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231</v>
      </c>
    </row>
    <row r="192" spans="4:34" ht="20.100000000000001" customHeight="1" x14ac:dyDescent="0.25">
      <c r="D192" s="25" t="s">
        <v>221</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313</v>
      </c>
    </row>
    <row r="193" spans="4:34" ht="20.100000000000001" customHeight="1" x14ac:dyDescent="0.25">
      <c r="D193" s="25" t="s">
        <v>222</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313</v>
      </c>
      <c r="U193" s="109" t="s">
        <v>356</v>
      </c>
    </row>
    <row r="194" spans="4:34" ht="20.100000000000001" customHeight="1" x14ac:dyDescent="0.25">
      <c r="D194" s="25" t="s">
        <v>223</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313</v>
      </c>
      <c r="U194" s="110" t="s">
        <v>357</v>
      </c>
    </row>
    <row r="195" spans="4:34" ht="20.100000000000001" customHeight="1" x14ac:dyDescent="0.25">
      <c r="U195" s="111" t="s">
        <v>76</v>
      </c>
      <c r="V195" s="111" t="s">
        <v>211</v>
      </c>
      <c r="W195" s="111" t="s">
        <v>201</v>
      </c>
      <c r="X195" s="111" t="s">
        <v>212</v>
      </c>
      <c r="Y195" s="111" t="s">
        <v>213</v>
      </c>
      <c r="Z195" s="111" t="s">
        <v>214</v>
      </c>
      <c r="AA195" s="111" t="s">
        <v>215</v>
      </c>
      <c r="AB195" s="111" t="s">
        <v>216</v>
      </c>
      <c r="AC195" s="111" t="s">
        <v>217</v>
      </c>
      <c r="AD195" s="111" t="s">
        <v>218</v>
      </c>
      <c r="AE195" s="111" t="s">
        <v>219</v>
      </c>
    </row>
    <row r="196" spans="4:34" ht="20.100000000000001" customHeight="1" x14ac:dyDescent="0.25">
      <c r="D196" s="109" t="s">
        <v>314</v>
      </c>
      <c r="U196" s="25" t="str">
        <f>TEXT(X_Cell_Site_StartDate,"mmmm")</f>
        <v>January</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0.10103589494585365</v>
      </c>
      <c r="Z196" s="25" cm="1">
        <f t="array" aca="1" ref="Z196" ca="1">MMS_PastureBeef_Soil_N2ODirect_Equations.VEERG_4_2_1_3__3_NitrogenExcreted(Z56,Z164,AA180,Z136,Z20)</f>
        <v>0.10613051058639233</v>
      </c>
      <c r="AA196" s="25" cm="1">
        <f t="array" aca="1" ref="AA196" ca="1">MMS_PastureBeef_Soil_N2ODirect_Equations.VEERG_4_2_1_3__3_NitrogenExcreted(AA56,AA164,AB180,AA136,AA20)</f>
        <v>0.10613051058639233</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0" t="s">
        <v>315</v>
      </c>
      <c r="U197" s="25" t="str">
        <f>TEXT(EDATE(X_Cell_Site_StartDate,1), "mmmm")</f>
        <v>February</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1" t="s">
        <v>77</v>
      </c>
      <c r="E198" s="112" t="s">
        <v>211</v>
      </c>
      <c r="F198" s="112" t="s">
        <v>201</v>
      </c>
      <c r="G198" s="112" t="s">
        <v>212</v>
      </c>
      <c r="H198" s="112" t="s">
        <v>213</v>
      </c>
      <c r="I198" s="112" t="s">
        <v>214</v>
      </c>
      <c r="J198" s="112" t="s">
        <v>215</v>
      </c>
      <c r="K198" s="112" t="s">
        <v>216</v>
      </c>
      <c r="L198" s="112" t="s">
        <v>217</v>
      </c>
      <c r="M198" s="112" t="s">
        <v>218</v>
      </c>
      <c r="N198" s="112" t="s">
        <v>219</v>
      </c>
      <c r="U198" s="25" t="str">
        <f>TEXT(EDATE(X_Cell_Site_StartDate,2), "mmmm")</f>
        <v>March</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220</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316</v>
      </c>
      <c r="U199" s="25" t="str">
        <f>TEXT(EDATE(X_Cell_Site_StartDate,3), "mmmm")</f>
        <v>April</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221</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316</v>
      </c>
      <c r="U200" s="25" t="str">
        <f>TEXT(EDATE(X_Cell_Site_StartDate,4), "mmmm")</f>
        <v>May</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222</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316</v>
      </c>
      <c r="U201" s="25" t="str">
        <f>TEXT(EDATE(X_Cell_Site_StartDate,5), "mmmm")</f>
        <v>June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223</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316</v>
      </c>
      <c r="U202" s="25" t="str">
        <f>TEXT(EDATE(X_Cell_Site_StartDate,6), "mmmm")</f>
        <v>July</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str">
        <f>TEXT(EDATE(X_Cell_Site_StartDate,7), "mmmm")</f>
        <v>August</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0.20672431471923791</v>
      </c>
      <c r="Z203" s="25" cm="1">
        <f t="array" aca="1" ref="Z203" ca="1">MMS_PastureBeef_Soil_N2ODirect_Equations.VEERG_4_2_1_3__3_NitrogenExcreted(Z63,Z171,AA187,Z143,Z27)</f>
        <v>0.28604447282279805</v>
      </c>
      <c r="AA203" s="25" cm="1">
        <f t="array" aca="1" ref="AA203" ca="1">MMS_PastureBeef_Soil_N2ODirect_Equations.VEERG_4_2_1_3__3_NitrogenExcreted(AA63,AA171,AB187,AA143,AA27)</f>
        <v>0.28604447282279805</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09" t="s">
        <v>358</v>
      </c>
      <c r="U204" s="25" t="str">
        <f>TEXT(EDATE(X_Cell_Site_StartDate,8), "mmmm")</f>
        <v>September</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0.30316514016990781</v>
      </c>
      <c r="Z204" s="25" cm="1">
        <f t="array" aca="1" ref="Z204" ca="1">MMS_PastureBeef_Soil_N2ODirect_Equations.VEERG_4_2_1_3__3_NitrogenExcreted(Z64,Z172,AA188,Z144,Z28)</f>
        <v>0.3456004349071124</v>
      </c>
      <c r="AA204" s="25" cm="1">
        <f t="array" aca="1" ref="AA204" ca="1">MMS_PastureBeef_Soil_N2ODirect_Equations.VEERG_4_2_1_3__3_NitrogenExcreted(AA64,AA172,AB188,AA144,AA28)</f>
        <v>0.3456004349071124</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0" t="s">
        <v>359</v>
      </c>
      <c r="U205" s="25" t="str">
        <f>TEXT(EDATE(X_Cell_Site_StartDate,9), "mmmm")</f>
        <v>October</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0.30316514016990781</v>
      </c>
      <c r="Z205" s="25" cm="1">
        <f t="array" aca="1" ref="Z205" ca="1">MMS_PastureBeef_Soil_N2ODirect_Equations.VEERG_4_2_1_3__3_NitrogenExcreted(Z65,Z173,AA189,Z145,Z29)</f>
        <v>0.3456004349071124</v>
      </c>
      <c r="AA205" s="25" cm="1">
        <f t="array" aca="1" ref="AA205" ca="1">MMS_PastureBeef_Soil_N2ODirect_Equations.VEERG_4_2_1_3__3_NitrogenExcreted(AA65,AA173,AB189,AA145,AA29)</f>
        <v>0.3456004349071124</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1" t="s">
        <v>77</v>
      </c>
      <c r="E206" s="111" t="s">
        <v>211</v>
      </c>
      <c r="F206" s="111" t="s">
        <v>201</v>
      </c>
      <c r="G206" s="111" t="s">
        <v>212</v>
      </c>
      <c r="H206" s="111" t="s">
        <v>213</v>
      </c>
      <c r="I206" s="111" t="s">
        <v>214</v>
      </c>
      <c r="J206" s="111" t="s">
        <v>215</v>
      </c>
      <c r="K206" s="111" t="s">
        <v>216</v>
      </c>
      <c r="L206" s="111" t="s">
        <v>217</v>
      </c>
      <c r="M206" s="111" t="s">
        <v>218</v>
      </c>
      <c r="N206" s="111" t="s">
        <v>219</v>
      </c>
      <c r="U206" s="25" t="str">
        <f>TEXT(EDATE(X_Cell_Site_StartDate,10), "mmmm")</f>
        <v>November</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0.26903566847628974</v>
      </c>
      <c r="Z206" s="25" cm="1">
        <f t="array" aca="1" ref="Z206" ca="1">MMS_PastureBeef_Soil_N2ODirect_Equations.VEERG_4_2_1_3__3_NitrogenExcreted(Z66,Z174,AA190,Z146,Z30)</f>
        <v>0.30689114439091625</v>
      </c>
      <c r="AA206" s="25" cm="1">
        <f t="array" aca="1" ref="AA206" ca="1">MMS_PastureBeef_Soil_N2ODirect_Equations.VEERG_4_2_1_3__3_NitrogenExcreted(AA66,AA174,AB190,AA146,AA30)</f>
        <v>0.30689114439091625</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220</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str">
        <f>TEXT(EDATE(X_Cell_Site_StartDate,11), "mmmm")</f>
        <v>December</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0.10103589494585365</v>
      </c>
      <c r="Z207" s="25" cm="1">
        <f t="array" aca="1" ref="Z207" ca="1">MMS_PastureBeef_Soil_N2ODirect_Equations.VEERG_4_2_1_3__3_NitrogenExcreted(Z67,Z175,AA191,Z147,Z31)</f>
        <v>0.10613051058639233</v>
      </c>
      <c r="AA207" s="25" cm="1">
        <f t="array" aca="1" ref="AA207" ca="1">MMS_PastureBeef_Soil_N2ODirect_Equations.VEERG_4_2_1_3__3_NitrogenExcreted(AA67,AA175,AB191,AA147,AA31)</f>
        <v>0.10613051058639233</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221</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222</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223</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4"/>
      <c r="U210" s="114"/>
      <c r="V210" s="114"/>
      <c r="W210" s="114"/>
      <c r="X210" s="114"/>
      <c r="Y210" s="114"/>
      <c r="Z210" s="114"/>
      <c r="AA210" s="114"/>
      <c r="AB210" s="114"/>
      <c r="AC210" s="114"/>
      <c r="AD210" s="114"/>
      <c r="AE210" s="114"/>
      <c r="AF210" s="114"/>
      <c r="AG210" s="114"/>
      <c r="AH210" s="114"/>
      <c r="AI210" s="114"/>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22" t="s">
        <v>360</v>
      </c>
      <c r="E212" s="114">
        <f ca="1">SUM(E207:N210)</f>
        <v>60490.349382369524</v>
      </c>
      <c r="F212" s="121" t="str">
        <f>E182</f>
        <v>kg N</v>
      </c>
    </row>
    <row r="213" spans="3:35" ht="20.100000000000001" customHeight="1" x14ac:dyDescent="0.25">
      <c r="U213" s="109" t="s">
        <v>310</v>
      </c>
    </row>
    <row r="214" spans="3:35" ht="20.100000000000001" customHeight="1" x14ac:dyDescent="0.25">
      <c r="U214" s="110" t="s">
        <v>312</v>
      </c>
    </row>
    <row r="215" spans="3:35" ht="20.100000000000001" customHeight="1" x14ac:dyDescent="0.25">
      <c r="C215" s="114"/>
      <c r="D215" s="114"/>
      <c r="E215" s="114"/>
      <c r="F215" s="114"/>
      <c r="G215" s="114"/>
      <c r="H215" s="114"/>
      <c r="I215" s="114"/>
      <c r="J215" s="114"/>
      <c r="K215" s="114"/>
      <c r="L215" s="114"/>
      <c r="M215" s="114"/>
      <c r="N215" s="114"/>
      <c r="O215" s="114"/>
      <c r="P215" s="114"/>
      <c r="Q215" s="114"/>
      <c r="R215" s="114"/>
      <c r="U215" s="111" t="s">
        <v>76</v>
      </c>
      <c r="V215" s="112" t="s">
        <v>211</v>
      </c>
      <c r="W215" s="112" t="s">
        <v>201</v>
      </c>
      <c r="X215" s="112" t="s">
        <v>212</v>
      </c>
      <c r="Y215" s="112" t="s">
        <v>213</v>
      </c>
      <c r="Z215" s="112" t="s">
        <v>214</v>
      </c>
      <c r="AA215" s="112" t="s">
        <v>215</v>
      </c>
      <c r="AB215" s="112" t="s">
        <v>216</v>
      </c>
      <c r="AC215" s="112" t="s">
        <v>217</v>
      </c>
      <c r="AD215" s="112" t="s">
        <v>218</v>
      </c>
      <c r="AE215" s="112" t="s">
        <v>219</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TEXT(X_Cell_Site_StartDate,"mmmm")</f>
        <v>January</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313</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str">
        <f>TEXT(EDATE(X_Cell_Site_StartDate,1), "mmmm")</f>
        <v>February</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313</v>
      </c>
      <c r="AG217" s="26"/>
      <c r="AH217" s="26"/>
    </row>
    <row r="218" spans="3:35" ht="20.100000000000001" customHeight="1" x14ac:dyDescent="0.25">
      <c r="D218" s="100" t="s">
        <v>259</v>
      </c>
      <c r="E218" s="100" t="str">
        <f ca="1">Common_InputFunctions.Utility_DisplayFunctionName(VEERG_4_2_1_3__1_DirectNitrousOxideEmissionsOnPasture_Result_Method1)</f>
        <v>=@MMS_PastureBeef_Soil_N2ODirect_Equations.VEERG_4_2_1_3__1_DirectNitrousOxideEmissionsOnPasture</v>
      </c>
      <c r="U218" s="25" t="str">
        <f>TEXT(EDATE(X_Cell_Site_StartDate,2), "mmmm")</f>
        <v>March</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313</v>
      </c>
      <c r="AG218" s="26"/>
      <c r="AH218" s="26"/>
    </row>
    <row r="219" spans="3:35" ht="20.100000000000001" customHeight="1" x14ac:dyDescent="0.25">
      <c r="U219" s="25" t="str">
        <f>TEXT(EDATE(X_Cell_Site_StartDate,3), "mmmm")</f>
        <v>April</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313</v>
      </c>
      <c r="AG219" s="26"/>
      <c r="AH219" s="26"/>
    </row>
    <row r="220" spans="3:35" ht="20.100000000000001" customHeight="1" x14ac:dyDescent="0.25">
      <c r="U220" s="25" t="str">
        <f>TEXT(EDATE(X_Cell_Site_StartDate,4), "mmmm")</f>
        <v>May</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313</v>
      </c>
      <c r="AG220" s="26"/>
      <c r="AH220" s="26"/>
    </row>
    <row r="221" spans="3:35" ht="20.100000000000001" customHeight="1" x14ac:dyDescent="0.25">
      <c r="D221" s="88" t="s">
        <v>261</v>
      </c>
      <c r="E221" s="1" t="str" cm="1">
        <f t="array" ref="E221">MMS_PastureBeef_Soil_N2ODirect_Equations.VEERG_4_2_1_3__1_DirectNitrousOxideEmissionsOnPasture_Variable()</f>
        <v>E_N2Odir</v>
      </c>
      <c r="U221" s="25" t="str">
        <f>TEXT(EDATE(X_Cell_Site_StartDate,5), "mmmm")</f>
        <v>June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313</v>
      </c>
      <c r="AG221" s="26"/>
      <c r="AH221" s="26"/>
    </row>
    <row r="222" spans="3:35" ht="20.100000000000001" customHeight="1" x14ac:dyDescent="0.25">
      <c r="D222" s="88" t="s">
        <v>131</v>
      </c>
      <c r="E222" s="15" t="str" cm="1">
        <f t="array" ref="E222">MMS_PastureBeef_Soil_N2ODirect_Equations.VEERG_4_2_1_3__1_DirectNitrousOxideEmissionsOnPasture_Unit()</f>
        <v>t N2O</v>
      </c>
      <c r="U222" s="25" t="str">
        <f>TEXT(EDATE(X_Cell_Site_StartDate,6), "mmmm")</f>
        <v>July</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313</v>
      </c>
      <c r="AG222" s="26"/>
      <c r="AH222" s="26"/>
    </row>
    <row r="223" spans="3:35" ht="20.100000000000001" customHeight="1" x14ac:dyDescent="0.25">
      <c r="U223" s="25" t="str">
        <f>TEXT(EDATE(X_Cell_Site_StartDate,7), "mmmm")</f>
        <v>August</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313</v>
      </c>
      <c r="AG223" s="26"/>
      <c r="AH223" s="26"/>
    </row>
    <row r="224" spans="3:35" ht="20.100000000000001" customHeight="1" x14ac:dyDescent="0.25">
      <c r="D224" s="123" t="str" cm="1">
        <f t="array" ref="D224:G227">MMS_PastureBeef_Soil_N2ODirect_Equations.VEERG_4_2_1_3__1_DirectNitrousOxideEmissionsOnPasture_Arguments()</f>
        <v>AE</v>
      </c>
      <c r="E224" s="124" t="str">
        <v>total mass of nitrogen excreted on PRP for beef cattle</v>
      </c>
      <c r="F224" s="125" t="str">
        <v>kg N</v>
      </c>
      <c r="G224" s="126" t="str">
        <v>Calculated from 4.2.1.3 (2)</v>
      </c>
      <c r="H224" s="123" t="str">
        <f>"See " &amp; D204</f>
        <v>See M1_Table_AE</v>
      </c>
      <c r="U224" s="25" t="str">
        <f>TEXT(EDATE(X_Cell_Site_StartDate,8), "mmmm")</f>
        <v>September</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313</v>
      </c>
      <c r="AG224" s="26"/>
      <c r="AH224" s="26"/>
    </row>
    <row r="225" spans="4:34" ht="20.100000000000001" customHeight="1" x14ac:dyDescent="0.25">
      <c r="D225" s="123" t="str">
        <v>EF_PRP</v>
      </c>
      <c r="E225" s="124" t="str">
        <v>emission factor for nitrous oxide from urine and dung deposited to soil</v>
      </c>
      <c r="F225" s="125" t="str">
        <v>kg N2O-N/kg N deposited</v>
      </c>
      <c r="G225" s="126" t="str">
        <v>Constant</v>
      </c>
      <c r="H225" s="118">
        <f>_xlfn.XLOOKUP(H227,Table_SourceData_EFPastureRangeAndPaddock[Climate zone],Table_SourceData_EFPastureRangeAndPaddock[EFPRP])</f>
        <v>2E-3</v>
      </c>
      <c r="U225" s="25" t="str">
        <f>TEXT(EDATE(X_Cell_Site_StartDate,9), "mmmm")</f>
        <v>October</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313</v>
      </c>
      <c r="AG225" s="26"/>
      <c r="AH225" s="26"/>
    </row>
    <row r="226" spans="4:34" ht="20.100000000000001" customHeight="1" x14ac:dyDescent="0.25">
      <c r="D226" s="123" t="str">
        <v>C_N2O</v>
      </c>
      <c r="E226" s="124" t="str">
        <v>factor to convert elemental mass of nitrous oxide to molecular mass</v>
      </c>
      <c r="F226" s="125" t="str">
        <v/>
      </c>
      <c r="G226" s="126" t="str">
        <v>Constant</v>
      </c>
      <c r="H226" s="118">
        <f>Common_InputFunctions.Utility_LookupValueInTableNumber("N2O",Table_GasToMolecularConversionFactor[Gas],Table_GasToMolecularConversionFactor[Conversion factor combined])</f>
        <v>1.5714285714285714</v>
      </c>
      <c r="U226" s="25" t="str">
        <f>TEXT(EDATE(X_Cell_Site_StartDate,10), "mmmm")</f>
        <v>November</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313</v>
      </c>
      <c r="AG226" s="26"/>
      <c r="AH226" s="26"/>
    </row>
    <row r="227" spans="4:34" ht="20.100000000000001" customHeight="1" x14ac:dyDescent="0.25">
      <c r="D227" s="123" t="str">
        <v>z</v>
      </c>
      <c r="E227" s="124" t="str">
        <v>wet or dry climate zone</v>
      </c>
      <c r="F227" s="125" t="str">
        <v/>
      </c>
      <c r="G227" s="126" t="str">
        <v>Input</v>
      </c>
      <c r="H227" s="123" t="str">
        <f>X_Cell_Site_WetOrDryClimateZone</f>
        <v>Dry climate zone</v>
      </c>
      <c r="U227" s="25" t="str">
        <f>TEXT(EDATE(X_Cell_Site_StartDate,11), "mmmm")</f>
        <v>December</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313</v>
      </c>
      <c r="AG227" s="26"/>
      <c r="AH227" s="26"/>
    </row>
    <row r="228" spans="4:34" ht="20.100000000000001" customHeight="1" x14ac:dyDescent="0.25"/>
    <row r="229" spans="4:34" ht="20.100000000000001" customHeight="1" x14ac:dyDescent="0.25">
      <c r="D229" s="115" t="s">
        <v>361</v>
      </c>
      <c r="E229" s="116">
        <f ca="1">MMS_PastureBeef_Soil_N2ODirect_Equations.VEERG_4_2_1_3__1_DirectNitrousOxideEmissionsOnPasture(VEERG_4_2_1_3__2_TotalNitrogenExcretedToPastureRangeAndPaddock_Result_Method1,$H$225,$H$226)</f>
        <v>0.19011252663030423</v>
      </c>
      <c r="F229" s="117" t="str">
        <f>$E$222</f>
        <v>t N2O</v>
      </c>
      <c r="U229" s="109" t="s">
        <v>318</v>
      </c>
    </row>
    <row r="230" spans="4:34" ht="20.100000000000001" customHeight="1" x14ac:dyDescent="0.25">
      <c r="U230" s="110" t="s">
        <v>320</v>
      </c>
    </row>
    <row r="231" spans="4:34" ht="20.100000000000001" customHeight="1" x14ac:dyDescent="0.25">
      <c r="D231" s="118" t="str" cm="1">
        <f t="array" ref="D231:E232">Common_Equations.Common_ConvertN2OToCO2e_Arguments()</f>
        <v>EN2O</v>
      </c>
      <c r="E231" s="119" t="str">
        <v>Nitrous oxide emissions (t N2O)</v>
      </c>
      <c r="F231" s="120"/>
      <c r="G231" s="25">
        <f ca="1">VEERG_4_2_1_3__1_DirectNitrousOxideEmissionsOnPasture_Result_Method1</f>
        <v>0.19011252663030423</v>
      </c>
      <c r="U231" s="111" t="s">
        <v>76</v>
      </c>
      <c r="V231" s="112" t="s">
        <v>211</v>
      </c>
      <c r="W231" s="112" t="s">
        <v>201</v>
      </c>
      <c r="X231" s="112" t="s">
        <v>212</v>
      </c>
      <c r="Y231" s="112" t="s">
        <v>213</v>
      </c>
      <c r="Z231" s="112" t="s">
        <v>214</v>
      </c>
      <c r="AA231" s="112" t="s">
        <v>215</v>
      </c>
      <c r="AB231" s="112" t="s">
        <v>216</v>
      </c>
      <c r="AC231" s="112" t="s">
        <v>217</v>
      </c>
      <c r="AD231" s="112" t="s">
        <v>218</v>
      </c>
      <c r="AE231" s="112" t="s">
        <v>219</v>
      </c>
    </row>
    <row r="232" spans="4:34" ht="20.100000000000001" customHeight="1" x14ac:dyDescent="0.25">
      <c r="D232" s="118" t="str">
        <v>GWPN2O</v>
      </c>
      <c r="E232" s="119" t="str">
        <v>Global warming potential for nitrous oxide (t CO2-e / t N2O)</v>
      </c>
      <c r="F232" s="120"/>
      <c r="G232" s="25">
        <f>Common_InputFunctions.Utility_LookupValueInTableNumber("N2O",Table_GWPData[Gas],Table_GWPData[CO2-e factor])</f>
        <v>265</v>
      </c>
      <c r="U232" s="25" t="str">
        <f>TEXT(X_Cell_Site_StartDate,"mmmm")</f>
        <v>January</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316</v>
      </c>
      <c r="AG232" s="26"/>
      <c r="AH232" s="26"/>
    </row>
    <row r="233" spans="4:34" ht="20.100000000000001" customHeight="1" x14ac:dyDescent="0.25">
      <c r="U233" s="25" t="str">
        <f>TEXT(EDATE(X_Cell_Site_StartDate,1), "mmmm")</f>
        <v>February</v>
      </c>
      <c r="V233" s="25">
        <f ca="1"/>
        <v>29</v>
      </c>
      <c r="W233" s="25">
        <f ca="1"/>
        <v>29</v>
      </c>
      <c r="X233" s="25">
        <f ca="1"/>
        <v>29</v>
      </c>
      <c r="Y233" s="25">
        <f ca="1"/>
        <v>29</v>
      </c>
      <c r="Z233" s="25">
        <f ca="1"/>
        <v>29</v>
      </c>
      <c r="AA233" s="25">
        <f ca="1"/>
        <v>29</v>
      </c>
      <c r="AB233" s="25">
        <f ca="1"/>
        <v>29</v>
      </c>
      <c r="AC233" s="25">
        <f ca="1"/>
        <v>29</v>
      </c>
      <c r="AD233" s="25">
        <f ca="1"/>
        <v>29</v>
      </c>
      <c r="AE233" s="25">
        <f ca="1"/>
        <v>29</v>
      </c>
      <c r="AF233" s="26" t="s">
        <v>316</v>
      </c>
      <c r="AG233" s="26"/>
      <c r="AH233" s="26"/>
    </row>
    <row r="234" spans="4:34" ht="20.100000000000001" customHeight="1" x14ac:dyDescent="0.25">
      <c r="D234" s="114" t="s">
        <v>323</v>
      </c>
      <c r="E234" s="114" cm="1">
        <f t="array" aca="1" ref="E234" ca="1">Common_Equations.Common_ConvertN2OToCO2e(G231,G232)</f>
        <v>50.379819557030622</v>
      </c>
      <c r="F234" s="121" t="str" cm="1">
        <f t="array" ref="F234">Common_Equations.Common_ConvertN2OToCO2e_Unit()</f>
        <v>t CO2e</v>
      </c>
      <c r="U234" s="25" t="str">
        <f>TEXT(EDATE(X_Cell_Site_StartDate,2), "mmmm")</f>
        <v>March</v>
      </c>
      <c r="V234" s="25">
        <f ca="1"/>
        <v>31</v>
      </c>
      <c r="W234" s="25">
        <f ca="1"/>
        <v>31</v>
      </c>
      <c r="X234" s="25">
        <f ca="1"/>
        <v>31</v>
      </c>
      <c r="Y234" s="25">
        <f ca="1"/>
        <v>31</v>
      </c>
      <c r="Z234" s="25">
        <f ca="1"/>
        <v>31</v>
      </c>
      <c r="AA234" s="25">
        <f ca="1"/>
        <v>31</v>
      </c>
      <c r="AB234" s="25">
        <f ca="1"/>
        <v>31</v>
      </c>
      <c r="AC234" s="25">
        <f ca="1"/>
        <v>31</v>
      </c>
      <c r="AD234" s="25">
        <f ca="1"/>
        <v>31</v>
      </c>
      <c r="AE234" s="25">
        <f ca="1"/>
        <v>31</v>
      </c>
      <c r="AF234" s="26" t="s">
        <v>316</v>
      </c>
      <c r="AG234" s="26"/>
      <c r="AH234" s="26"/>
    </row>
    <row r="235" spans="4:34" ht="20.100000000000001" customHeight="1" x14ac:dyDescent="0.25">
      <c r="U235" s="25" t="str">
        <f>TEXT(EDATE(X_Cell_Site_StartDate,3), "mmmm")</f>
        <v>April</v>
      </c>
      <c r="V235" s="25">
        <f ca="1"/>
        <v>30</v>
      </c>
      <c r="W235" s="25">
        <f ca="1"/>
        <v>30</v>
      </c>
      <c r="X235" s="25">
        <f ca="1"/>
        <v>30</v>
      </c>
      <c r="Y235" s="25">
        <f ca="1"/>
        <v>30</v>
      </c>
      <c r="Z235" s="25">
        <f ca="1"/>
        <v>30</v>
      </c>
      <c r="AA235" s="25">
        <f ca="1"/>
        <v>30</v>
      </c>
      <c r="AB235" s="25">
        <f ca="1"/>
        <v>30</v>
      </c>
      <c r="AC235" s="25">
        <f ca="1"/>
        <v>30</v>
      </c>
      <c r="AD235" s="25">
        <f ca="1"/>
        <v>30</v>
      </c>
      <c r="AE235" s="25">
        <f ca="1"/>
        <v>30</v>
      </c>
      <c r="AF235" s="26" t="s">
        <v>316</v>
      </c>
      <c r="AG235" s="26"/>
      <c r="AH235" s="26"/>
    </row>
    <row r="236" spans="4:34" ht="20.100000000000001" customHeight="1" x14ac:dyDescent="0.25">
      <c r="U236" s="25" t="str">
        <f>TEXT(EDATE(X_Cell_Site_StartDate,4), "mmmm")</f>
        <v>May</v>
      </c>
      <c r="V236" s="25">
        <f ca="1"/>
        <v>31</v>
      </c>
      <c r="W236" s="25">
        <f ca="1"/>
        <v>31</v>
      </c>
      <c r="X236" s="25">
        <f ca="1"/>
        <v>31</v>
      </c>
      <c r="Y236" s="25">
        <f ca="1"/>
        <v>31</v>
      </c>
      <c r="Z236" s="25">
        <f ca="1"/>
        <v>31</v>
      </c>
      <c r="AA236" s="25">
        <f ca="1"/>
        <v>31</v>
      </c>
      <c r="AB236" s="25">
        <f ca="1"/>
        <v>31</v>
      </c>
      <c r="AC236" s="25">
        <f ca="1"/>
        <v>31</v>
      </c>
      <c r="AD236" s="25">
        <f ca="1"/>
        <v>31</v>
      </c>
      <c r="AE236" s="25">
        <f ca="1"/>
        <v>31</v>
      </c>
      <c r="AF236" s="26" t="s">
        <v>316</v>
      </c>
      <c r="AG236" s="26"/>
      <c r="AH236" s="26"/>
    </row>
    <row r="237" spans="4:34" ht="20.100000000000001" customHeight="1" x14ac:dyDescent="0.25">
      <c r="U237" s="25" t="str">
        <f>TEXT(EDATE(X_Cell_Site_StartDate,5), "mmmm")</f>
        <v>June</v>
      </c>
      <c r="V237" s="25">
        <f ca="1"/>
        <v>30</v>
      </c>
      <c r="W237" s="25">
        <f ca="1"/>
        <v>30</v>
      </c>
      <c r="X237" s="25">
        <f ca="1"/>
        <v>30</v>
      </c>
      <c r="Y237" s="25">
        <f ca="1"/>
        <v>30</v>
      </c>
      <c r="Z237" s="25">
        <f ca="1"/>
        <v>30</v>
      </c>
      <c r="AA237" s="25">
        <f ca="1"/>
        <v>30</v>
      </c>
      <c r="AB237" s="25">
        <f ca="1"/>
        <v>30</v>
      </c>
      <c r="AC237" s="25">
        <f ca="1"/>
        <v>30</v>
      </c>
      <c r="AD237" s="25">
        <f ca="1"/>
        <v>30</v>
      </c>
      <c r="AE237" s="25">
        <f ca="1"/>
        <v>30</v>
      </c>
      <c r="AF237" s="26" t="s">
        <v>316</v>
      </c>
      <c r="AG237" s="26"/>
      <c r="AH237" s="26"/>
    </row>
    <row r="238" spans="4:34" ht="20.100000000000001" customHeight="1" x14ac:dyDescent="0.25">
      <c r="U238" s="25" t="str">
        <f>TEXT(EDATE(X_Cell_Site_StartDate,6), "mmmm")</f>
        <v>July</v>
      </c>
      <c r="V238" s="25">
        <f ca="1"/>
        <v>31</v>
      </c>
      <c r="W238" s="25">
        <f ca="1"/>
        <v>31</v>
      </c>
      <c r="X238" s="25">
        <f ca="1"/>
        <v>31</v>
      </c>
      <c r="Y238" s="25">
        <f ca="1"/>
        <v>31</v>
      </c>
      <c r="Z238" s="25">
        <f ca="1"/>
        <v>31</v>
      </c>
      <c r="AA238" s="25">
        <f ca="1"/>
        <v>31</v>
      </c>
      <c r="AB238" s="25">
        <f ca="1"/>
        <v>31</v>
      </c>
      <c r="AC238" s="25">
        <f ca="1"/>
        <v>31</v>
      </c>
      <c r="AD238" s="25">
        <f ca="1"/>
        <v>31</v>
      </c>
      <c r="AE238" s="25">
        <f ca="1"/>
        <v>31</v>
      </c>
      <c r="AF238" s="26" t="s">
        <v>316</v>
      </c>
      <c r="AG238" s="26"/>
      <c r="AH238" s="26"/>
    </row>
    <row r="239" spans="4:34" ht="20.100000000000001" customHeight="1" x14ac:dyDescent="0.25">
      <c r="U239" s="25" t="str">
        <f>TEXT(EDATE(X_Cell_Site_StartDate,7), "mmmm")</f>
        <v>August</v>
      </c>
      <c r="V239" s="25">
        <f ca="1"/>
        <v>31</v>
      </c>
      <c r="W239" s="25">
        <f ca="1"/>
        <v>31</v>
      </c>
      <c r="X239" s="25">
        <f ca="1"/>
        <v>31</v>
      </c>
      <c r="Y239" s="25">
        <f ca="1"/>
        <v>31</v>
      </c>
      <c r="Z239" s="25">
        <f ca="1"/>
        <v>31</v>
      </c>
      <c r="AA239" s="25">
        <f ca="1"/>
        <v>31</v>
      </c>
      <c r="AB239" s="25">
        <f ca="1"/>
        <v>31</v>
      </c>
      <c r="AC239" s="25">
        <f ca="1"/>
        <v>31</v>
      </c>
      <c r="AD239" s="25">
        <f ca="1"/>
        <v>31</v>
      </c>
      <c r="AE239" s="25">
        <f ca="1"/>
        <v>31</v>
      </c>
      <c r="AF239" s="26" t="s">
        <v>316</v>
      </c>
      <c r="AG239" s="26"/>
      <c r="AH239" s="26"/>
    </row>
    <row r="240" spans="4:34" ht="20.100000000000001" customHeight="1" x14ac:dyDescent="0.25">
      <c r="U240" s="25" t="str">
        <f>TEXT(EDATE(X_Cell_Site_StartDate,8), "mmmm")</f>
        <v>September</v>
      </c>
      <c r="V240" s="25">
        <f ca="1"/>
        <v>30</v>
      </c>
      <c r="W240" s="25">
        <f ca="1"/>
        <v>30</v>
      </c>
      <c r="X240" s="25">
        <f ca="1"/>
        <v>30</v>
      </c>
      <c r="Y240" s="25">
        <f ca="1"/>
        <v>30</v>
      </c>
      <c r="Z240" s="25">
        <f ca="1"/>
        <v>30</v>
      </c>
      <c r="AA240" s="25">
        <f ca="1"/>
        <v>30</v>
      </c>
      <c r="AB240" s="25">
        <f ca="1"/>
        <v>30</v>
      </c>
      <c r="AC240" s="25">
        <f ca="1"/>
        <v>30</v>
      </c>
      <c r="AD240" s="25">
        <f ca="1"/>
        <v>30</v>
      </c>
      <c r="AE240" s="25">
        <f ca="1"/>
        <v>30</v>
      </c>
      <c r="AF240" s="26" t="s">
        <v>316</v>
      </c>
      <c r="AG240" s="26"/>
      <c r="AH240" s="26"/>
    </row>
    <row r="241" spans="21:34" ht="20.100000000000001" customHeight="1" x14ac:dyDescent="0.25">
      <c r="U241" s="25" t="str">
        <f>TEXT(EDATE(X_Cell_Site_StartDate,9), "mmmm")</f>
        <v>October</v>
      </c>
      <c r="V241" s="25">
        <f ca="1"/>
        <v>31</v>
      </c>
      <c r="W241" s="25">
        <f ca="1"/>
        <v>31</v>
      </c>
      <c r="X241" s="25">
        <f ca="1"/>
        <v>31</v>
      </c>
      <c r="Y241" s="25">
        <f ca="1"/>
        <v>31</v>
      </c>
      <c r="Z241" s="25">
        <f ca="1"/>
        <v>31</v>
      </c>
      <c r="AA241" s="25">
        <f ca="1"/>
        <v>31</v>
      </c>
      <c r="AB241" s="25">
        <f ca="1"/>
        <v>31</v>
      </c>
      <c r="AC241" s="25">
        <f ca="1"/>
        <v>31</v>
      </c>
      <c r="AD241" s="25">
        <f ca="1"/>
        <v>31</v>
      </c>
      <c r="AE241" s="25">
        <f ca="1"/>
        <v>31</v>
      </c>
      <c r="AF241" s="26" t="s">
        <v>316</v>
      </c>
      <c r="AG241" s="26"/>
      <c r="AH241" s="26"/>
    </row>
    <row r="242" spans="21:34" ht="20.100000000000001" customHeight="1" x14ac:dyDescent="0.25">
      <c r="U242" s="25" t="str">
        <f>TEXT(EDATE(X_Cell_Site_StartDate,10), "mmmm")</f>
        <v>November</v>
      </c>
      <c r="V242" s="25">
        <f ca="1"/>
        <v>30</v>
      </c>
      <c r="W242" s="25">
        <f ca="1"/>
        <v>30</v>
      </c>
      <c r="X242" s="25">
        <f ca="1"/>
        <v>30</v>
      </c>
      <c r="Y242" s="25">
        <f ca="1"/>
        <v>30</v>
      </c>
      <c r="Z242" s="25">
        <f ca="1"/>
        <v>30</v>
      </c>
      <c r="AA242" s="25">
        <f ca="1"/>
        <v>30</v>
      </c>
      <c r="AB242" s="25">
        <f ca="1"/>
        <v>30</v>
      </c>
      <c r="AC242" s="25">
        <f ca="1"/>
        <v>30</v>
      </c>
      <c r="AD242" s="25">
        <f ca="1"/>
        <v>30</v>
      </c>
      <c r="AE242" s="25">
        <f ca="1"/>
        <v>30</v>
      </c>
      <c r="AF242" s="26" t="s">
        <v>316</v>
      </c>
      <c r="AG242" s="26"/>
      <c r="AH242" s="26"/>
    </row>
    <row r="243" spans="21:34" ht="20.100000000000001" customHeight="1" x14ac:dyDescent="0.25">
      <c r="U243" s="25" t="str">
        <f>TEXT(EDATE(X_Cell_Site_StartDate,11), "mmmm")</f>
        <v>December</v>
      </c>
      <c r="V243" s="25">
        <f ca="1"/>
        <v>31</v>
      </c>
      <c r="W243" s="25">
        <f ca="1"/>
        <v>31</v>
      </c>
      <c r="X243" s="25">
        <f ca="1"/>
        <v>31</v>
      </c>
      <c r="Y243" s="25">
        <f ca="1"/>
        <v>31</v>
      </c>
      <c r="Z243" s="25">
        <f ca="1"/>
        <v>31</v>
      </c>
      <c r="AA243" s="25">
        <f ca="1"/>
        <v>31</v>
      </c>
      <c r="AB243" s="25">
        <f ca="1"/>
        <v>31</v>
      </c>
      <c r="AC243" s="25">
        <f ca="1"/>
        <v>31</v>
      </c>
      <c r="AD243" s="25">
        <f ca="1"/>
        <v>31</v>
      </c>
      <c r="AE243" s="25">
        <f ca="1"/>
        <v>31</v>
      </c>
      <c r="AF243" s="26" t="s">
        <v>316</v>
      </c>
      <c r="AG243" s="26"/>
      <c r="AH243" s="26"/>
    </row>
    <row r="244" spans="21:34" ht="20.100000000000001" customHeight="1" x14ac:dyDescent="0.25"/>
    <row r="245" spans="21:34" ht="20.100000000000001" customHeight="1" x14ac:dyDescent="0.25">
      <c r="U245" s="109" t="s">
        <v>362</v>
      </c>
    </row>
    <row r="246" spans="21:34" ht="20.100000000000001" customHeight="1" x14ac:dyDescent="0.25">
      <c r="U246" s="110" t="s">
        <v>363</v>
      </c>
    </row>
    <row r="247" spans="21:34" ht="20.100000000000001" customHeight="1" x14ac:dyDescent="0.25">
      <c r="U247" s="111" t="s">
        <v>76</v>
      </c>
      <c r="V247" s="111" t="s">
        <v>211</v>
      </c>
      <c r="W247" s="111" t="s">
        <v>201</v>
      </c>
      <c r="X247" s="111" t="s">
        <v>212</v>
      </c>
      <c r="Y247" s="111" t="s">
        <v>213</v>
      </c>
      <c r="Z247" s="111" t="s">
        <v>214</v>
      </c>
      <c r="AA247" s="111" t="s">
        <v>215</v>
      </c>
      <c r="AB247" s="111" t="s">
        <v>216</v>
      </c>
      <c r="AC247" s="111" t="s">
        <v>217</v>
      </c>
      <c r="AD247" s="111" t="s">
        <v>218</v>
      </c>
      <c r="AE247" s="111" t="s">
        <v>219</v>
      </c>
    </row>
    <row r="248" spans="21:34" ht="20.100000000000001" customHeight="1" x14ac:dyDescent="0.25">
      <c r="U248" s="25" t="str">
        <f>TEXT(X_Cell_Site_StartDate,"mmmm")</f>
        <v>January</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313.21127433214627</v>
      </c>
      <c r="Z248" s="25" cm="1">
        <f t="array" aca="1" ref="Z248" ca="1">MMS_PastureBeef_Soil_N2ODirect_Equations.VEERG_4_2_1_3__2_TotalNitrogenExcretedToPastureRangeAndPaddock(Z216,Z196,Z232)</f>
        <v>329.00458281781619</v>
      </c>
      <c r="AA248" s="25" cm="1">
        <f t="array" aca="1" ref="AA248" ca="1">MMS_PastureBeef_Soil_N2ODirect_Equations.VEERG_4_2_1_3__2_TotalNitrogenExcretedToPastureRangeAndPaddock(AA216,AA196,AA232)</f>
        <v>329.00458281781619</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str">
        <f>TEXT(EDATE(X_Cell_Site_StartDate,1), "mmmm")</f>
        <v>February</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str">
        <f>TEXT(EDATE(X_Cell_Site_StartDate,2), "mmmm")</f>
        <v>March</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str">
        <f>TEXT(EDATE(X_Cell_Site_StartDate,3), "mmmm")</f>
        <v>April</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str">
        <f>TEXT(EDATE(X_Cell_Site_StartDate,4), "mmmm")</f>
        <v>May</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str">
        <f>TEXT(EDATE(X_Cell_Site_StartDate,5), "mmmm")</f>
        <v>June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str">
        <f>TEXT(EDATE(X_Cell_Site_StartDate,6), "mmmm")</f>
        <v>July</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str">
        <f>TEXT(EDATE(X_Cell_Site_StartDate,7), "mmmm")</f>
        <v>August</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640.84537562963749</v>
      </c>
      <c r="Z255" s="25" cm="1">
        <f t="array" aca="1" ref="Z255" ca="1">MMS_PastureBeef_Soil_N2ODirect_Equations.VEERG_4_2_1_3__2_TotalNitrogenExcretedToPastureRangeAndPaddock(Z223,Z203,Z239)</f>
        <v>886.7378657506739</v>
      </c>
      <c r="AA255" s="25" cm="1">
        <f t="array" aca="1" ref="AA255" ca="1">MMS_PastureBeef_Soil_N2ODirect_Equations.VEERG_4_2_1_3__2_TotalNitrogenExcretedToPastureRangeAndPaddock(AA223,AA203,AA239)</f>
        <v>886.7378657506739</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str">
        <f>TEXT(EDATE(X_Cell_Site_StartDate,8), "mmmm")</f>
        <v>September</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909.49542050972343</v>
      </c>
      <c r="Z256" s="25" cm="1">
        <f t="array" aca="1" ref="Z256" ca="1">MMS_PastureBeef_Soil_N2ODirect_Equations.VEERG_4_2_1_3__2_TotalNitrogenExcretedToPastureRangeAndPaddock(Z224,Z204,Z240)</f>
        <v>1036.8013047213371</v>
      </c>
      <c r="AA256" s="25" cm="1">
        <f t="array" aca="1" ref="AA256" ca="1">MMS_PastureBeef_Soil_N2ODirect_Equations.VEERG_4_2_1_3__2_TotalNitrogenExcretedToPastureRangeAndPaddock(AA224,AA204,AA240)</f>
        <v>1036.8013047213371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str">
        <f>TEXT(EDATE(X_Cell_Site_StartDate,9), "mmmm")</f>
        <v>October</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939.81193452671414</v>
      </c>
      <c r="Z257" s="25" cm="1">
        <f t="array" aca="1" ref="Z257" ca="1">MMS_PastureBeef_Soil_N2ODirect_Equations.VEERG_4_2_1_3__2_TotalNitrogenExcretedToPastureRangeAndPaddock(Z225,Z205,Z241)</f>
        <v>1071.3613482120484</v>
      </c>
      <c r="AA257" s="25" cm="1">
        <f t="array" aca="1" ref="AA257" ca="1">MMS_PastureBeef_Soil_N2ODirect_Equations.VEERG_4_2_1_3__2_TotalNitrogenExcretedToPastureRangeAndPaddock(AA225,AA205,AA241)</f>
        <v>1071.3613482120484</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str">
        <f>TEXT(EDATE(X_Cell_Site_StartDate,10), "mmmm")</f>
        <v>November</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807.10700542886923</v>
      </c>
      <c r="Z258" s="25" cm="1">
        <f t="array" aca="1" ref="Z258" ca="1">MMS_PastureBeef_Soil_N2ODirect_Equations.VEERG_4_2_1_3__2_TotalNitrogenExcretedToPastureRangeAndPaddock(Z226,Z206,Z242)</f>
        <v>920.67343317274879</v>
      </c>
      <c r="AA258" s="25" cm="1">
        <f t="array" aca="1" ref="AA258" ca="1">MMS_PastureBeef_Soil_N2ODirect_Equations.VEERG_4_2_1_3__2_TotalNitrogenExcretedToPastureRangeAndPaddock(AA226,AA206,AA242)</f>
        <v>920.67343317274879</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str">
        <f>TEXT(EDATE(X_Cell_Site_StartDate,11), "mmmm")</f>
        <v>December</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313.21127433214627</v>
      </c>
      <c r="Z259" s="25" cm="1">
        <f t="array" aca="1" ref="Z259" ca="1">MMS_PastureBeef_Soil_N2ODirect_Equations.VEERG_4_2_1_3__2_TotalNitrogenExcretedToPastureRangeAndPaddock(Z227,Z207,Z243)</f>
        <v>329.00458281781619</v>
      </c>
      <c r="AA259" s="25" cm="1">
        <f t="array" aca="1" ref="AA259" ca="1">MMS_PastureBeef_Soil_N2ODirect_Equations.VEERG_4_2_1_3__2_TotalNitrogenExcretedToPastureRangeAndPaddock(AA227,AA207,AA243)</f>
        <v>329.00458281781619</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22" t="s">
        <v>360</v>
      </c>
      <c r="V261" s="114">
        <f ca="1">SUM(V248:AE259)</f>
        <v>58623.490314488175</v>
      </c>
      <c r="W261" s="15" t="str">
        <f>$E$182</f>
        <v>kg N</v>
      </c>
    </row>
    <row r="262" spans="20:35" ht="20.100000000000001" customHeight="1" x14ac:dyDescent="0.25"/>
    <row r="263" spans="20:35" ht="20.100000000000001" customHeight="1" x14ac:dyDescent="0.25"/>
    <row r="264" spans="20:35" ht="20.100000000000001" customHeight="1" x14ac:dyDescent="0.25">
      <c r="T264" s="114"/>
      <c r="U264" s="114"/>
      <c r="V264" s="114"/>
      <c r="W264" s="114"/>
      <c r="X264" s="114"/>
      <c r="Y264" s="114"/>
      <c r="Z264" s="114"/>
      <c r="AA264" s="114"/>
      <c r="AB264" s="114"/>
      <c r="AC264" s="114"/>
      <c r="AD264" s="114"/>
      <c r="AE264" s="114"/>
      <c r="AF264" s="114"/>
      <c r="AG264" s="114"/>
      <c r="AH264" s="114"/>
      <c r="AI264" s="114"/>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5" t="s">
        <v>361</v>
      </c>
      <c r="V267" s="116">
        <f ca="1">MMS_PastureBeef_Soil_N2ODirect_Equations.VEERG_4_2_1_3__1_DirectNitrousOxideEmissionsOnPasture(VEERG_4_2_1_3__2_TotalNitrogenExcretedToPastureRangeAndPaddock_Result_Method2,$H$225,$H$226)</f>
        <v>0.18424525527410571</v>
      </c>
      <c r="W267" s="117" t="str">
        <f>$E$222</f>
        <v>t N2O</v>
      </c>
    </row>
    <row r="268" spans="20:35" ht="20.100000000000001" customHeight="1" x14ac:dyDescent="0.25"/>
    <row r="269" spans="20:35" ht="20.100000000000001" customHeight="1" x14ac:dyDescent="0.25">
      <c r="U269" s="118" t="str" cm="1">
        <f t="array" ref="U269:V270">Common_Equations.Common_ConvertN2OToCO2e_Arguments()</f>
        <v>EN2O</v>
      </c>
      <c r="V269" s="119" t="str">
        <v>Nitrous oxide emissions (t N2O)</v>
      </c>
      <c r="W269" s="120"/>
      <c r="X269" s="25">
        <f ca="1">VEERG_4_2_1_3__1_DirectNitrousOxideEmissionsOnPasture_Result_Method2</f>
        <v>0.18424525527410571</v>
      </c>
    </row>
    <row r="270" spans="20:35" ht="20.100000000000001" customHeight="1" x14ac:dyDescent="0.25">
      <c r="U270" s="118" t="str">
        <v>GWPN2O</v>
      </c>
      <c r="V270" s="119" t="str">
        <v>Global warming potential for nitrous oxide (t CO2-e / t N2O)</v>
      </c>
      <c r="W270" s="120"/>
      <c r="X270" s="25">
        <f>Common_InputFunctions.Utility_LookupValueInTableNumber("N2O",Table_GWPData[Gas],Table_GWPData[CO2-e factor])</f>
        <v>265</v>
      </c>
    </row>
    <row r="271" spans="20:35" ht="20.100000000000001" customHeight="1" x14ac:dyDescent="0.25"/>
    <row r="272" spans="20:35" ht="20.100000000000001" customHeight="1" x14ac:dyDescent="0.25">
      <c r="U272" s="114" t="s">
        <v>323</v>
      </c>
      <c r="V272" s="114" cm="1">
        <f t="array" aca="1" ref="V272" ca="1">Common_Equations.Common_ConvertN2OToCO2e(X269,X270)</f>
        <v>48.824992647638012</v>
      </c>
      <c r="W272" s="121"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0551B539-6228-48ED-8CA3-80B637DBF384}"/>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BBE4-C06E-4C35-8A18-5F69FC1C98EF}">
  <dimension ref="A1:V165"/>
  <sheetViews>
    <sheetView showGridLines="0" topLeftCell="H1"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364</v>
      </c>
    </row>
    <row r="2" spans="1:22" s="3" customFormat="1" ht="20.100000000000001" customHeight="1" x14ac:dyDescent="0.25">
      <c r="A2"/>
    </row>
    <row r="3" spans="1:22" ht="20.100000000000001" customHeight="1" x14ac:dyDescent="0.25">
      <c r="A3" s="5" t="str">
        <f>HYPERLINK("#'Home'!A1", "Home")</f>
        <v>Home</v>
      </c>
      <c r="C3" s="33"/>
      <c r="D3" s="33" t="s">
        <v>148</v>
      </c>
      <c r="E3" s="33"/>
      <c r="F3" s="33"/>
      <c r="G3" s="33"/>
      <c r="H3" s="33"/>
      <c r="I3" s="33"/>
      <c r="J3" s="33"/>
      <c r="K3" s="33"/>
      <c r="M3" s="33"/>
      <c r="N3" s="33" t="s">
        <v>149</v>
      </c>
      <c r="O3" s="33"/>
      <c r="P3" s="33"/>
      <c r="Q3" s="33"/>
      <c r="R3" s="33"/>
      <c r="S3" s="33"/>
      <c r="T3" s="33"/>
      <c r="U3" s="33"/>
      <c r="V3" s="33"/>
    </row>
    <row r="4" spans="1:22" ht="20.100000000000001" customHeight="1" x14ac:dyDescent="0.25">
      <c r="A4" s="5" t="str">
        <f>HYPERLINK("#'Overview'!A1", "Overview")</f>
        <v>Overview</v>
      </c>
    </row>
    <row r="5" spans="1:22" ht="20.100000000000001" customHeight="1" x14ac:dyDescent="0.25">
      <c r="A5" s="5" t="str">
        <f>HYPERLINK("#'Results'!A1", "Results")</f>
        <v>Results</v>
      </c>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D7" s="100" t="s">
        <v>259</v>
      </c>
      <c r="E7" s="100" t="str" cm="1">
        <f t="array" aca="1" ref="E7" ca="1">Common_InputFunctions.Utility_DisplayFunctionName(E16)</f>
        <v>=MMS_PastureBeef_Soil_AtmosphericDeposition_Equations.VEERG_4_2_1_5__2_MassOfNitrogenVolatilisedOnPasture</v>
      </c>
    </row>
    <row r="8" spans="1:22" ht="20.100000000000001" customHeight="1" x14ac:dyDescent="0.25">
      <c r="A8" s="7" t="s">
        <v>0</v>
      </c>
    </row>
    <row r="9" spans="1:22" ht="20.100000000000001" customHeight="1" x14ac:dyDescent="0.25">
      <c r="A9" s="5" t="str">
        <f>HYPERLINK("#'Input - Enterprise'!A1", "Enterprise")</f>
        <v>Enterprise</v>
      </c>
    </row>
    <row r="10" spans="1:22" ht="20.100000000000001" customHeight="1" x14ac:dyDescent="0.25">
      <c r="A10" s="5" t="str">
        <f>HYPERLINK("#'Input - Site'!A1", "Site")</f>
        <v>Site</v>
      </c>
      <c r="D10" s="88" t="s">
        <v>261</v>
      </c>
      <c r="E10" s="1" t="str" cm="1">
        <f t="array" ref="E10">MMS_PastureBeef_Soil_AtmosphericDeposition_Equations.VEERG_4_2_1_5__2_MassOfNitrogenVolatilisedOnPasture_Variable()</f>
        <v>M_vol</v>
      </c>
    </row>
    <row r="11" spans="1:22" ht="20.100000000000001" customHeight="1" x14ac:dyDescent="0.25">
      <c r="A11" s="5" t="str">
        <f>HYPERLINK("#'Input - Pasture Beef'!A1", "Pasture Beef")</f>
        <v>Pasture Beef</v>
      </c>
      <c r="D11" s="88" t="s">
        <v>131</v>
      </c>
      <c r="E11" s="15" t="str" cm="1">
        <f t="array" ref="E11">MMS_PastureBeef_Soil_AtmosphericDeposition_Equations.VEERG_4_2_1_5__2_MassOfNitrogenVolatilisedOnPasture_Unit()</f>
        <v>kg N</v>
      </c>
    </row>
    <row r="12" spans="1:22" ht="20.100000000000001" customHeight="1" x14ac:dyDescent="0.25">
      <c r="A12" s="5" t="str">
        <f>HYPERLINK("#'Input - Pasture Beef (Enteric)'!A1", "Pasture Beef (Enteric)")</f>
        <v>Pasture Beef (Enteric)</v>
      </c>
    </row>
    <row r="13" spans="1:22" ht="20.100000000000001" customHeight="1" x14ac:dyDescent="0.25">
      <c r="A13" s="5" t="str">
        <f>HYPERLINK("#'Input - Livestock sales'!A1", "Livestock sales")</f>
        <v>Livestock sales</v>
      </c>
      <c r="D13" s="102" t="str" cm="1">
        <f t="array" ref="D13:E14">_xlfn.CHOOSECOLS(MMS_PastureBeef_Soil_AtmosphericDeposition_Equations.VEERG_4_2_1_5__2_MassOfNitrogenVolatilisedOnPasture_Arguments(),1,2)</f>
        <v>AE</v>
      </c>
      <c r="E13" s="103" t="str">
        <v>total mass of nitrogen excreted on PRP for beef cattle</v>
      </c>
      <c r="F13" s="104"/>
      <c r="G13" s="105"/>
      <c r="H13" s="102" t="str" cm="1">
        <f t="array" ref="H13:I14">_xlfn.CHOOSECOLS(MMS_PastureBeef_Soil_AtmosphericDeposition_Equations.VEERG_4_2_1_5__2_MassOfNitrogenVolatilisedOnPasture_Arguments(),3,4)</f>
        <v>kg N</v>
      </c>
      <c r="I13" s="107" t="str">
        <v>Calculated from 4.2.1.3 (2)</v>
      </c>
      <c r="J13" s="102">
        <f ca="1">VEERG_4_2_1_3__2_TotalNitrogenExcretedToPastureRangeAndPaddock_Result_Method1</f>
        <v>60490.349382369524</v>
      </c>
      <c r="N13" s="102" t="str" cm="1">
        <f t="array" ref="N13:O14">_xlfn.CHOOSECOLS(MMS_PastureBeef_Soil_AtmosphericDeposition_Equations.VEERG_4_2_1_5__2_MassOfNitrogenVolatilisedOnPasture_Arguments(),1,2)</f>
        <v>AE</v>
      </c>
      <c r="O13" s="103" t="str">
        <v>total mass of nitrogen excreted on PRP for beef cattle</v>
      </c>
      <c r="P13" s="104"/>
      <c r="Q13" s="105"/>
      <c r="R13" s="102" t="str" cm="1">
        <f t="array" ref="R13:S14">_xlfn.CHOOSECOLS(MMS_PastureBeef_Soil_AtmosphericDeposition_Equations.VEERG_4_2_1_5__2_MassOfNitrogenVolatilisedOnPasture_Arguments(),3,4)</f>
        <v>kg N</v>
      </c>
      <c r="S13" s="107" t="str">
        <v>Calculated from 4.2.1.3 (2)</v>
      </c>
      <c r="T13" s="118">
        <f ca="1">VEERG_4_2_1_3__2_TotalNitrogenExcretedToPastureRangeAndPaddock_Result_Method2</f>
        <v>58623.490314488175</v>
      </c>
    </row>
    <row r="14" spans="1:22" ht="20.100000000000001" customHeight="1" x14ac:dyDescent="0.25">
      <c r="A14" s="5" t="str">
        <f>HYPERLINK("#'Input - Beef cattle purchases'!A1", "Beef cattle purchases")</f>
        <v>Beef cattle purchases</v>
      </c>
      <c r="D14" s="102" t="str">
        <v>FracGASMsoil</v>
      </c>
      <c r="E14" s="103" t="str">
        <v>fraction of nitrogen volatilised from urine and faeces deposited on pasture ((kg NH3-N + NOx-N)/kg N)</v>
      </c>
      <c r="F14" s="104"/>
      <c r="G14" s="105"/>
      <c r="H14" s="102" t="str">
        <v>fraction</v>
      </c>
      <c r="I14" s="107" t="str">
        <v>Constant</v>
      </c>
      <c r="J14" s="102">
        <f>SourceData_PastureBeef_FracGASMSoil_Data</f>
        <v>0.21</v>
      </c>
      <c r="N14" s="102" t="str">
        <v>FracGASMsoil</v>
      </c>
      <c r="O14" s="103" t="str">
        <v>fraction of nitrogen volatilised from urine and faeces deposited on pasture ((kg NH3-N + NOx-N)/kg N)</v>
      </c>
      <c r="P14" s="104"/>
      <c r="Q14" s="105"/>
      <c r="R14" s="102" t="str">
        <v>fraction</v>
      </c>
      <c r="S14" s="107" t="str">
        <v>Constant</v>
      </c>
      <c r="T14" s="118"/>
    </row>
    <row r="15" spans="1:22" ht="20.100000000000001" customHeight="1" x14ac:dyDescent="0.25">
      <c r="A15" s="5" t="str">
        <f>HYPERLINK("#'Input - Pasture'!A1", "Pasture")</f>
        <v>Pasture</v>
      </c>
    </row>
    <row r="16" spans="1:22" ht="20.100000000000001" customHeight="1" x14ac:dyDescent="0.25">
      <c r="A16" s="5" t="str">
        <f>HYPERLINK("#'Input - Fert Prod System'!A1", "Fert Prod System")</f>
        <v>Fert Prod System</v>
      </c>
      <c r="D16" s="122" t="s">
        <v>365</v>
      </c>
      <c r="E16" s="114" cm="1">
        <f t="array" aca="1" ref="E16" ca="1">MMS_PastureBeef_Soil_AtmosphericDeposition_Equations.VEERG_4_2_1_5__2_MassOfNitrogenVolatilisedOnPasture(J13,J14)</f>
        <v>12702.973370297599</v>
      </c>
      <c r="F16" s="121" t="str">
        <f>E11</f>
        <v>kg N</v>
      </c>
      <c r="L16" s="94"/>
      <c r="N16" s="122" t="s">
        <v>365</v>
      </c>
      <c r="O16" s="114" cm="1">
        <f t="array" aca="1" ref="O16" ca="1">MMS_PastureBeef_Soil_AtmosphericDeposition_Equations.VEERG_4_2_1_5__2_MassOfNitrogenVolatilisedOnPasture(T13,$J$14)</f>
        <v>12310.932966042516</v>
      </c>
      <c r="P16" s="121">
        <f>O11</f>
        <v>0</v>
      </c>
    </row>
    <row r="17" spans="1:22" ht="20.100000000000001" customHeight="1" x14ac:dyDescent="0.25">
      <c r="A17" s="5" t="str">
        <f>HYPERLINK("#'Input - Fertiliser'!A1", "Fertiliser")</f>
        <v>Fertiliser</v>
      </c>
      <c r="L17" s="94"/>
    </row>
    <row r="18" spans="1:22" ht="20.100000000000001" customHeight="1" x14ac:dyDescent="0.25">
      <c r="A18" s="5" t="str">
        <f>HYPERLINK("#'Input - Fuel'!A1", "Fuel")</f>
        <v>Fuel</v>
      </c>
      <c r="L18" s="94"/>
    </row>
    <row r="19" spans="1:22" ht="20.100000000000001" customHeight="1" x14ac:dyDescent="0.25">
      <c r="A19" s="5" t="str">
        <f>HYPERLINK("#'Input - Electricity'!A1", "Electricity")</f>
        <v>Electricity</v>
      </c>
      <c r="C19" s="114"/>
      <c r="D19" s="114"/>
      <c r="E19" s="114"/>
      <c r="F19" s="114"/>
      <c r="G19" s="114"/>
      <c r="H19" s="114"/>
      <c r="I19" s="114"/>
      <c r="J19" s="114"/>
      <c r="K19" s="114"/>
      <c r="L19" s="94"/>
      <c r="M19" s="114"/>
      <c r="N19" s="114"/>
      <c r="O19" s="114"/>
      <c r="P19" s="114"/>
      <c r="Q19" s="114"/>
      <c r="R19" s="114"/>
      <c r="S19" s="114"/>
      <c r="T19" s="114"/>
      <c r="U19" s="114"/>
      <c r="V19" s="114"/>
    </row>
    <row r="20" spans="1:22" ht="20.100000000000001" customHeight="1" x14ac:dyDescent="0.25">
      <c r="A20" s="5" t="str">
        <f>HYPERLINK("#'Input - Farm Inputs'!A1", "Farm Inputs")</f>
        <v>Farm Inputs</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HYPERLINK("#'Input - Freight'!A1", "Freight")</f>
        <v>Freight</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5" t="str">
        <f>HYPERLINK("#'Input - Manure sent off-site'!A1", "Manure sent off-site")</f>
        <v>Manure sent off-site</v>
      </c>
      <c r="D22" s="100" t="s">
        <v>259</v>
      </c>
      <c r="E22" s="100"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5" t="str">
        <f>HYPERLINK("#'Input - Solid waste'!A1", "Solid waste")</f>
        <v>Solid waste</v>
      </c>
    </row>
    <row r="24" spans="1:22" ht="20.100000000000001" customHeight="1" x14ac:dyDescent="0.25"/>
    <row r="25" spans="1:22" ht="20.100000000000001" customHeight="1" x14ac:dyDescent="0.25">
      <c r="D25" s="88" t="s">
        <v>261</v>
      </c>
      <c r="E25" s="1" t="str" cm="1">
        <f t="array" ref="E25">MMS_PastureBeef_Soil_AtmosphericDeposition_Equations.VEERG_4_2_1_5__1_AtmosphericDepositionEmissionsFromUrineAndDungOnPasture_Variable()</f>
        <v>E_N2Oad</v>
      </c>
    </row>
    <row r="26" spans="1:22" ht="20.100000000000001" customHeight="1" x14ac:dyDescent="0.25">
      <c r="A26" s="6" t="s">
        <v>2</v>
      </c>
      <c r="D26" s="88" t="s">
        <v>131</v>
      </c>
      <c r="E26" s="15" t="str" cm="1">
        <f t="array" ref="E26">MMS_PastureBeef_Soil_AtmosphericDeposition_Equations.VEERG_4_2_1_5__1_AtmosphericDepositionEmissionsFromUrineAndDungOnPasture_Unit()</f>
        <v>t N2O</v>
      </c>
    </row>
    <row r="27" spans="1:22" ht="20.100000000000001" customHeight="1" x14ac:dyDescent="0.25">
      <c r="A27" s="5" t="str">
        <f>HYPERLINK("#'3.2.1.1-2 Enteric Methane'!A1", "3.2.1.1-2 Enteric methane")</f>
        <v>3.2.1.1-2 Enteric methane</v>
      </c>
    </row>
    <row r="28" spans="1:22" ht="20.100000000000001" customHeight="1" x14ac:dyDescent="0.25">
      <c r="A28" s="5" t="str">
        <f>HYPERLINK("#'4.2.1.1-2 Methane'!A1", "4.2.1.1-2 Manure methane")</f>
        <v>4.2.1.1-2 Manure methane</v>
      </c>
      <c r="D28" s="102" t="str" cm="1">
        <f t="array" ref="D28:E33">_xlfn.CHOOSECOLS(MMS_PastureBeef_Soil_AtmosphericDeposition_Equations.VEERG_4_2_1_5__1_AtmosphericDepositionEmissionsFromUrineAndDungOnPasture_Arguments(),1,2)</f>
        <v>M_vol</v>
      </c>
      <c r="E28" s="103" t="str">
        <v>mass of nitrogen volatilised from urine and faeces deposited on pasture</v>
      </c>
      <c r="F28" s="105"/>
      <c r="G28" s="102" t="str" cm="1">
        <f t="array" ref="G28:H33">_xlfn.CHOOSECOLS(MMS_PastureBeef_Soil_AtmosphericDeposition_Equations.VEERG_4_2_1_5__1_AtmosphericDepositionEmissionsFromUrineAndDungOnPasture_Arguments(),3,4)</f>
        <v>kg N</v>
      </c>
      <c r="H28" s="107" t="str">
        <v>Calculated from 4.2.1.5 (2)</v>
      </c>
      <c r="I28" s="102">
        <f ca="1">E16</f>
        <v>12702.973370297599</v>
      </c>
      <c r="N28" s="102" t="str" cm="1">
        <f t="array" ref="N28:O33">_xlfn.CHOOSECOLS(MMS_PastureBeef_Soil_AtmosphericDeposition_Equations.VEERG_4_2_1_5__1_AtmosphericDepositionEmissionsFromUrineAndDungOnPasture_Arguments(),1,2)</f>
        <v>M_vol</v>
      </c>
      <c r="O28" s="103" t="str">
        <v>mass of nitrogen volatilised from urine and faeces deposited on pasture</v>
      </c>
      <c r="P28" s="105"/>
      <c r="Q28" s="102" t="str" cm="1">
        <f t="array" ref="Q28:R33">_xlfn.CHOOSECOLS(MMS_PastureBeef_Soil_AtmosphericDeposition_Equations.VEERG_4_2_1_5__1_AtmosphericDepositionEmissionsFromUrineAndDungOnPasture_Arguments(),3,4)</f>
        <v>kg N</v>
      </c>
      <c r="R28" s="107" t="str">
        <v>Calculated from 4.2.1.5 (2)</v>
      </c>
      <c r="S28" s="118">
        <f ca="1">O16</f>
        <v>12310.932966042516</v>
      </c>
    </row>
    <row r="29" spans="1:22" ht="20.100000000000001" customHeight="1" x14ac:dyDescent="0.25">
      <c r="A29" s="5" t="str">
        <f>HYPERLINK("#'4.2.1.3-4 Soil direct N20'!A1", "4.2.1.3-4 Soil direct N2O")</f>
        <v>4.2.1.3-4 Soil direct N2O</v>
      </c>
      <c r="D29" s="102" t="str">
        <v>EF_N2O</v>
      </c>
      <c r="E29" s="103" t="str">
        <v>nitrous oxide emission factor for atmospheric deposition</v>
      </c>
      <c r="F29" s="105"/>
      <c r="G29" s="102" t="str">
        <v>kg N2O-N/kg N</v>
      </c>
      <c r="H29" s="107" t="str">
        <v>Constant</v>
      </c>
      <c r="I29" s="102">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2" t="str">
        <v>EF_N2O</v>
      </c>
      <c r="O29" s="103" t="str">
        <v>nitrous oxide emission factor for atmospheric deposition</v>
      </c>
      <c r="P29" s="105"/>
      <c r="Q29" s="102" t="str">
        <v>kg N2O-N/kg N</v>
      </c>
      <c r="R29" s="107" t="str">
        <v>Constant</v>
      </c>
      <c r="S29" s="118"/>
    </row>
    <row r="30" spans="1:22" ht="20.100000000000001" customHeight="1" x14ac:dyDescent="0.25">
      <c r="A30" s="101" t="str">
        <f>HYPERLINK("#'4.2.1.5-6 Soil Atmos Dep'!A1", "4.2.1.5-6 Soil atm. deposition")</f>
        <v>4.2.1.5-6 Soil atm. deposition</v>
      </c>
      <c r="D30" s="102" t="str">
        <v>C_N2O</v>
      </c>
      <c r="E30" s="103" t="str">
        <v>factor to convert elemental mass of N2O to molecular mass</v>
      </c>
      <c r="F30" s="105"/>
      <c r="G30" s="102" t="str">
        <v/>
      </c>
      <c r="H30" s="107" t="str">
        <v>Constant</v>
      </c>
      <c r="I30" s="102">
        <f>Common_InputFunctions.Utility_LookupValueInTableNumber("N2O",Table_GasToMolecularConversionFactor[Gas],Table_GasToMolecularConversionFactor[Conversion factor combined])</f>
        <v>1.5714285714285714</v>
      </c>
      <c r="N30" s="102" t="str">
        <v>C_N2O</v>
      </c>
      <c r="O30" s="103" t="str">
        <v>factor to convert elemental mass of N2O to molecular mass</v>
      </c>
      <c r="P30" s="105"/>
      <c r="Q30" s="102" t="str">
        <v/>
      </c>
      <c r="R30" s="107" t="str">
        <v>Constant</v>
      </c>
      <c r="S30" s="118"/>
    </row>
    <row r="31" spans="1:22" ht="20.100000000000001" customHeight="1" x14ac:dyDescent="0.25">
      <c r="A31" s="5" t="str">
        <f>HYPERLINK("#'4.2.1.7-8 Soil leach runoff'!A1", "4.2.1.7-8 Soil leach &amp; runoff")</f>
        <v>4.2.1.7-8 Soil leach &amp; runoff</v>
      </c>
      <c r="D31" s="102" t="str">
        <v>j</v>
      </c>
      <c r="E31" s="103" t="str">
        <v>production system</v>
      </c>
      <c r="F31" s="105"/>
      <c r="G31" s="102" t="str">
        <v/>
      </c>
      <c r="H31" s="106" t="str">
        <v>Input</v>
      </c>
      <c r="I31" s="102" t="str">
        <f>X_Cell_PastureBeef_GrazingProductionSystem</f>
        <v>Pasture</v>
      </c>
      <c r="N31" s="102" t="str">
        <v>j</v>
      </c>
      <c r="O31" s="103" t="str">
        <v>production system</v>
      </c>
      <c r="P31" s="105"/>
      <c r="Q31" s="102" t="str">
        <v/>
      </c>
      <c r="R31" s="106" t="str">
        <v>Input</v>
      </c>
      <c r="S31" s="118"/>
    </row>
    <row r="32" spans="1:22" ht="20.100000000000001" customHeight="1" x14ac:dyDescent="0.25">
      <c r="A32" s="5" t="str">
        <f>HYPERLINK("#'5.1.1.1-2 Inorganic fert N2O'!A1", "5.1.1.1-2 Inorganic fert N2O")</f>
        <v>5.1.1.1-2 Inorganic fert N2O</v>
      </c>
      <c r="D32" s="102" t="str">
        <v>i</v>
      </c>
      <c r="E32" s="103" t="str">
        <v>irrigation method</v>
      </c>
      <c r="F32" s="105"/>
      <c r="G32" s="102" t="str">
        <v/>
      </c>
      <c r="H32" s="106" t="str">
        <v>Input</v>
      </c>
      <c r="I32" s="102" t="str">
        <f>X_Cell_PastureBeef_GrazingIrrigationMethod</f>
        <v>Sprinkler irrigation</v>
      </c>
      <c r="N32" s="102" t="str">
        <v>i</v>
      </c>
      <c r="O32" s="103" t="str">
        <v>irrigation method</v>
      </c>
      <c r="P32" s="105"/>
      <c r="Q32" s="102" t="str">
        <v/>
      </c>
      <c r="R32" s="106" t="str">
        <v>Input</v>
      </c>
      <c r="S32" s="118"/>
    </row>
    <row r="33" spans="1:19" ht="20.100000000000001" customHeight="1" x14ac:dyDescent="0.25">
      <c r="A33" s="5" t="str">
        <f>HYPERLINK("#'5.1.1.3-4 Inorganic fert CO2'!A1", "5.1.1.3-4 Inorganic fert CO2")</f>
        <v>5.1.1.3-4 Inorganic fert CO2</v>
      </c>
      <c r="D33" s="102" t="str">
        <v>r</v>
      </c>
      <c r="E33" s="103" t="str">
        <v>rainfall zone</v>
      </c>
      <c r="F33" s="105"/>
      <c r="G33" s="102" t="str">
        <v/>
      </c>
      <c r="H33" s="106" t="str">
        <v>Input</v>
      </c>
      <c r="I33" s="102" t="str">
        <f>X_Cell_Site_RainfallZone</f>
        <v>High rainfall</v>
      </c>
      <c r="N33" s="102" t="str">
        <v>r</v>
      </c>
      <c r="O33" s="103" t="str">
        <v>rainfall zone</v>
      </c>
      <c r="P33" s="105"/>
      <c r="Q33" s="102" t="str">
        <v/>
      </c>
      <c r="R33" s="106" t="str">
        <v>Input</v>
      </c>
      <c r="S33" s="118"/>
    </row>
    <row r="34" spans="1:19" ht="20.100000000000001" customHeight="1" x14ac:dyDescent="0.25">
      <c r="A34" s="5" t="str">
        <f>HYPERLINK("#'5.2.1.1-2 Organic Fert N2O'!A1", "5.2.1.1-2 Organic fert N2O")</f>
        <v>5.2.1.1-2 Organic fert N2O</v>
      </c>
    </row>
    <row r="35" spans="1:19" ht="20.100000000000001" customHeight="1" x14ac:dyDescent="0.25">
      <c r="A35" s="5" t="str">
        <f>HYPERLINK("#'5.3.1.1-2 Lime CO2'!A1", "5.3.1.1-2 Lime CO2")</f>
        <v>5.3.1.1-2 Lime CO2</v>
      </c>
      <c r="D35" s="122" t="s">
        <v>366</v>
      </c>
      <c r="E35" s="114" cm="1">
        <f t="array" aca="1" ref="E35" ca="1">MMS_PastureBeef_Soil_AtmosphericDeposition_Equations.VEERG_4_2_1_5__1_AtmosphericDepositionEmissionsFromUrineAndDungOnPasture(I28,I29,I30)</f>
        <v>0.11777471024747345</v>
      </c>
      <c r="F35" s="121" t="str">
        <f>$E$26</f>
        <v>t N2O</v>
      </c>
      <c r="N35" s="122" t="s">
        <v>366</v>
      </c>
      <c r="O35" s="114" cm="1">
        <f t="array" aca="1" ref="O35" ca="1">MMS_PastureBeef_Soil_AtmosphericDeposition_Equations.VEERG_4_2_1_5__1_AtmosphericDepositionEmissionsFromUrineAndDungOnPasture(S28,I29,I30)</f>
        <v>0.11413993564230847</v>
      </c>
      <c r="P35" s="121" t="str">
        <f>$E$26</f>
        <v>t N2O</v>
      </c>
    </row>
    <row r="36" spans="1:19" ht="20.100000000000001" customHeight="1" x14ac:dyDescent="0.25">
      <c r="A36" s="5" t="str">
        <f>HYPERLINK("#'5.4.1.1-4 Atmos deposition'!A1", "5.4.1.1-4 Atmos. deposition")</f>
        <v>5.4.1.1-4 Atmos. deposition</v>
      </c>
    </row>
    <row r="37" spans="1:19" ht="20.100000000000001" customHeight="1" x14ac:dyDescent="0.25">
      <c r="A37" s="5" t="str">
        <f>HYPERLINK("#'5.5.1.1-2 Leaching and runoff'!A1", "5.5.1.1-2 Leaching &amp; runoff")</f>
        <v>5.5.1.1-2 Leaching &amp; runoff</v>
      </c>
      <c r="D37" s="118" t="str" cm="1">
        <f t="array" ref="D37:E38">Common_Equations.Common_ConvertN2OToCO2e_Arguments()</f>
        <v>EN2O</v>
      </c>
      <c r="E37" s="119" t="str">
        <v>Nitrous oxide emissions (t N2O)</v>
      </c>
      <c r="F37" s="120"/>
      <c r="G37" s="25">
        <f ca="1">VEERG_4_2_1_5__1_AtmosphericDepositionEmissionsFromUrineAndDungOnPasture_Result_Method1</f>
        <v>0.11777471024747345</v>
      </c>
      <c r="N37" s="118" t="str" cm="1">
        <f t="array" ref="N37:O38">Common_Equations.Common_ConvertN2OToCO2e_Arguments()</f>
        <v>EN2O</v>
      </c>
      <c r="O37" s="119" t="str">
        <v>Nitrous oxide emissions (t N2O)</v>
      </c>
      <c r="P37" s="120"/>
      <c r="Q37" s="25">
        <f ca="1">VEERG_4_2_1_5__1_AtmosphericDepositionEmissionsFromUrineAndDungOnPasture_Result_Method2</f>
        <v>0.11413993564230847</v>
      </c>
    </row>
    <row r="38" spans="1:19" ht="20.100000000000001" customHeight="1" x14ac:dyDescent="0.25">
      <c r="A38" s="5" t="str">
        <f>HYPERLINK("#'6.2.1.1-2 Pasture residue N2O'!A1", "6.2.1.1-2 Pasture residue N2O")</f>
        <v>6.2.1.1-2 Pasture residue N2O</v>
      </c>
      <c r="D38" s="118" t="str">
        <v>GWPN2O</v>
      </c>
      <c r="E38" s="119" t="str">
        <v>Global warming potential for nitrous oxide (t CO2-e / t N2O)</v>
      </c>
      <c r="F38" s="120"/>
      <c r="G38" s="25">
        <f>Common_InputFunctions.Utility_LookupValueInTableNumber("N2O",Table_GWPData[Gas],Table_GWPData[CO2-e factor])</f>
        <v>265</v>
      </c>
      <c r="N38" s="118" t="str">
        <v>GWPN2O</v>
      </c>
      <c r="O38" s="119" t="str">
        <v>Global warming potential for nitrous oxide (t CO2-e / t N2O)</v>
      </c>
      <c r="P38" s="120"/>
      <c r="Q38" s="25">
        <f>Common_InputFunctions.Utility_LookupValueInTableNumber("N2O",Table_GWPData[Gas],Table_GWPData[CO2-e factor])</f>
        <v>265</v>
      </c>
    </row>
    <row r="39" spans="1:19" ht="20.100000000000001" customHeight="1" x14ac:dyDescent="0.25">
      <c r="A39" s="5" t="str">
        <f>HYPERLINK("#'6.3.1.1-2 Leach runoff pasture'!A1", "6.3.1.1-2 Leach &amp; runoff (pasture)")</f>
        <v>6.3.1.1-2 Leach &amp; runoff (pasture)</v>
      </c>
    </row>
    <row r="40" spans="1:19" ht="20.100000000000001" customHeight="1" x14ac:dyDescent="0.25">
      <c r="A40" s="5" t="str">
        <f>HYPERLINK("#'8.1.1.1-2 Transport fuel'!A1", "8.1.1.1-2 Transport fuel")</f>
        <v>8.1.1.1-2 Transport fuel</v>
      </c>
      <c r="D40" s="114" t="s">
        <v>323</v>
      </c>
      <c r="E40" s="114" cm="1">
        <f t="array" aca="1" ref="E40" ca="1">Common_Equations.Common_ConvertN2OToCO2e(G37,G38)</f>
        <v>31.210298215580465</v>
      </c>
      <c r="F40" s="121" t="str" cm="1">
        <f t="array" ref="F40">Common_Equations.Common_ConvertN2OToCO2e_Unit()</f>
        <v>t CO2e</v>
      </c>
      <c r="N40" s="114" t="s">
        <v>323</v>
      </c>
      <c r="O40" s="114" cm="1">
        <f t="array" aca="1" ref="O40" ca="1">Common_Equations.Common_ConvertN2OToCO2e(Q37,Q38)</f>
        <v>30.247082945211744</v>
      </c>
      <c r="P40" s="121" t="str" cm="1">
        <f t="array" ref="P40">Common_Equations.Common_ConvertN2OToCO2e_Unit()</f>
        <v>t CO2e</v>
      </c>
    </row>
    <row r="41" spans="1:19" ht="20.100000000000001" customHeight="1" x14ac:dyDescent="0.25">
      <c r="A41" s="5" t="str">
        <f>HYPERLINK("#'8.2.1.1-2 Stationary fuel'!A1", "8.2.1.1-2 Stationary fuel")</f>
        <v>8.2.1.1-2 Stationary fuel</v>
      </c>
    </row>
    <row r="42" spans="1:19" ht="20.100000000000001" customHeight="1" x14ac:dyDescent="0.25">
      <c r="A42" s="5" t="str">
        <f>HYPERLINK("#'14.1.1-2 Purchased electricity'!A1", "14.1.1-2 Purchased electricity")</f>
        <v>14.1.1-2 Purchased electricity</v>
      </c>
    </row>
    <row r="43" spans="1:19" ht="20.100000000000001" customHeight="1" x14ac:dyDescent="0.25">
      <c r="A43" s="5" t="str">
        <f>HYPERLINK("#'15 Scope 3'!A1", "15 Scope 3")</f>
        <v>15 Scope 3</v>
      </c>
    </row>
    <row r="44" spans="1:19" ht="20.100000000000001" customHeight="1" x14ac:dyDescent="0.25">
      <c r="A44" s="5" t="str">
        <f>HYPERLINK("#'Calcs - Manure sent off-site'!A1", "Calcs - Manure sent off-site")</f>
        <v>Calcs - Manure sent off-site</v>
      </c>
    </row>
    <row r="45" spans="1:19" ht="20.100000000000001" customHeight="1" x14ac:dyDescent="0.25">
      <c r="A45" s="5" t="str">
        <f>HYPERLINK("#'10.1.1-2 Solid waste treatment'!A1", "10.1.1-2 Solid waste treatment")</f>
        <v>10.1.1-2 Solid waste treatment</v>
      </c>
    </row>
    <row r="46" spans="1:19" ht="20.100000000000001" customHeight="1" x14ac:dyDescent="0.25"/>
    <row r="47" spans="1:19" ht="20.100000000000001" customHeight="1" x14ac:dyDescent="0.25"/>
    <row r="48" spans="1:19"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468C7258-C4BA-410B-97DC-A6637AF72BA7}"/>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430C-CF6C-41DB-98CF-58556500F9C3}">
  <dimension ref="A1:S165"/>
  <sheetViews>
    <sheetView showGridLines="0" topLeftCell="E1"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367</v>
      </c>
    </row>
    <row r="2" spans="1:19" s="3" customFormat="1" ht="20.100000000000001" customHeight="1" x14ac:dyDescent="0.25">
      <c r="A2"/>
    </row>
    <row r="3" spans="1:19" ht="20.100000000000001" customHeight="1" x14ac:dyDescent="0.25">
      <c r="A3" s="5" t="str">
        <f>HYPERLINK("#'Home'!A1", "Home")</f>
        <v>Home</v>
      </c>
      <c r="C3" s="33"/>
      <c r="D3" s="33" t="s">
        <v>148</v>
      </c>
      <c r="E3" s="33"/>
      <c r="F3" s="33"/>
      <c r="G3" s="33"/>
      <c r="H3" s="33"/>
      <c r="I3" s="33"/>
      <c r="J3" s="33"/>
      <c r="L3" s="33"/>
      <c r="M3" s="33" t="s">
        <v>149</v>
      </c>
      <c r="N3" s="33"/>
      <c r="O3" s="33"/>
      <c r="P3" s="33"/>
      <c r="Q3" s="33"/>
      <c r="R3" s="33"/>
      <c r="S3" s="33"/>
    </row>
    <row r="4" spans="1:19" ht="20.100000000000001" customHeight="1" x14ac:dyDescent="0.25">
      <c r="A4" s="5" t="str">
        <f>HYPERLINK("#'Overview'!A1", "Overview")</f>
        <v>Overview</v>
      </c>
    </row>
    <row r="5" spans="1:19" ht="20.100000000000001" customHeight="1" x14ac:dyDescent="0.25">
      <c r="A5" s="5" t="str">
        <f>HYPERLINK("#'Results'!A1", "Results")</f>
        <v>Results</v>
      </c>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D7" s="100" t="s">
        <v>259</v>
      </c>
      <c r="E7" s="100" t="str" cm="1">
        <f t="array" aca="1" ref="E7" ca="1">Common_InputFunctions.Utility_DisplayFunctionName(E20)</f>
        <v>=MMS_PastureBeef_Soil_LeachingAndRunoff.VEERG_4_2_1_7__2_MassOfNitrogenLostToLeachingAndRunoffOnPasture</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88" t="s">
        <v>261</v>
      </c>
      <c r="E10" s="1" t="str" cm="1">
        <f t="array" ref="E10">MMS_PastureBeef_Soil_LeachingAndRunoff.VEERG_4_2_1_7__2_MassOfNitrogenLostToLeachingAndRunoffOnPasture_Variable()</f>
        <v>M_leach</v>
      </c>
    </row>
    <row r="11" spans="1:19" ht="20.100000000000001" customHeight="1" x14ac:dyDescent="0.25">
      <c r="A11" s="5" t="str">
        <f>HYPERLINK("#'Input - Pasture Beef'!A1", "Pasture Beef")</f>
        <v>Pasture Beef</v>
      </c>
      <c r="D11" s="88" t="s">
        <v>131</v>
      </c>
      <c r="E11" s="15" t="str" cm="1">
        <f t="array" ref="E11">MMS_PastureBeef_Soil_LeachingAndRunoff.VEERG_4_2_1_7__2_MassOfNitrogenLostToLeachingAndRunoffOnPasture_Unit()</f>
        <v>kg N</v>
      </c>
    </row>
    <row r="12" spans="1:19" ht="20.100000000000001" customHeight="1" x14ac:dyDescent="0.25">
      <c r="A12" s="5" t="str">
        <f>HYPERLINK("#'Input - Pasture Beef (Enteric)'!A1", "Pasture Beef (Enteric)")</f>
        <v>Pasture Beef (Enteric)</v>
      </c>
    </row>
    <row r="13" spans="1:19" ht="20.100000000000001" customHeight="1" x14ac:dyDescent="0.25">
      <c r="A13" s="5" t="str">
        <f>HYPERLINK("#'Input - Livestock sales'!A1", "Livestock sales")</f>
        <v>Livestock sales</v>
      </c>
      <c r="D13" s="102" t="str" cm="1">
        <f t="array" ref="D13:E18">_xlfn.CHOOSECOLS(MMS_PastureBeef_Soil_LeachingAndRunoff.VEERG_4_2_1_7__2_MassOfNitrogenLostToLeachingAndRunoffOnPasture_Arguments(),1,2)</f>
        <v>AE</v>
      </c>
      <c r="E13" s="103" t="str">
        <v>total mass of nitrogen excreted on PRP for beef cattle</v>
      </c>
      <c r="F13" s="105"/>
      <c r="G13" s="102" t="str" cm="1">
        <f t="array" ref="G13:H18">_xlfn.CHOOSECOLS(MMS_PastureBeef_Soil_LeachingAndRunoff.VEERG_4_2_1_7__2_MassOfNitrogenLostToLeachingAndRunoffOnPasture_Arguments(),3,4)</f>
        <v>kg N</v>
      </c>
      <c r="H13" s="107" t="str">
        <v>Calculated from 4.2.1.3 (2)</v>
      </c>
      <c r="I13" s="102">
        <f ca="1">VEERG_4_2_1_3__2_TotalNitrogenExcretedToPastureRangeAndPaddock_Result_Method1</f>
        <v>60490.349382369524</v>
      </c>
      <c r="M13" s="102" t="str" cm="1">
        <f t="array" ref="M13:N18">_xlfn.CHOOSECOLS(MMS_PastureBeef_Soil_LeachingAndRunoff.VEERG_4_2_1_7__2_MassOfNitrogenLostToLeachingAndRunoffOnPasture_Arguments(),1,2)</f>
        <v>AE</v>
      </c>
      <c r="N13" s="103" t="str">
        <v>total mass of nitrogen excreted on PRP for beef cattle</v>
      </c>
      <c r="O13" s="105"/>
      <c r="P13" s="102" t="str" cm="1">
        <f t="array" ref="P13:Q18">_xlfn.CHOOSECOLS(MMS_PastureBeef_Soil_LeachingAndRunoff.VEERG_4_2_1_7__2_MassOfNitrogenLostToLeachingAndRunoffOnPasture_Arguments(),3,4)</f>
        <v>kg N</v>
      </c>
      <c r="Q13" s="107" t="str">
        <v>Calculated from 4.2.1.3 (2)</v>
      </c>
      <c r="R13" s="102">
        <f ca="1">VEERG_4_2_1_3__2_TotalNitrogenExcretedToPastureRangeAndPaddock_Result_Method2</f>
        <v>58623.490314488175</v>
      </c>
    </row>
    <row r="14" spans="1:19" ht="20.100000000000001" customHeight="1" x14ac:dyDescent="0.25">
      <c r="A14" s="5" t="str">
        <f>HYPERLINK("#'Input - Beef cattle purchases'!A1", "Beef cattle purchases")</f>
        <v>Beef cattle purchases</v>
      </c>
      <c r="D14" s="102" t="str">
        <v>FracWet</v>
      </c>
      <c r="E14" s="103" t="str">
        <v>fraction of N available for leaching and runoff</v>
      </c>
      <c r="F14" s="105"/>
      <c r="G14" s="102" t="str">
        <v>fraction</v>
      </c>
      <c r="H14" s="107" t="str">
        <v>Constant</v>
      </c>
      <c r="I14" s="102">
        <f>Common_InputFunctions.CommonCropping_GetFracWET(I16,I18,#REF!,#REF!,Table_SourceData_FracWETIrrigation[Irrigation type i],Table_SourceData_FracWETIrrigation[FracWET])</f>
        <v>1</v>
      </c>
      <c r="M14" s="102" t="str">
        <v>FracWet</v>
      </c>
      <c r="N14" s="103" t="str">
        <v>fraction of N available for leaching and runoff</v>
      </c>
      <c r="O14" s="105"/>
      <c r="P14" s="102" t="str">
        <v>fraction</v>
      </c>
      <c r="Q14" s="107" t="str">
        <v>Constant</v>
      </c>
      <c r="R14" s="102"/>
    </row>
    <row r="15" spans="1:19" ht="20.100000000000001" customHeight="1" x14ac:dyDescent="0.25">
      <c r="A15" s="5" t="str">
        <f>HYPERLINK("#'Input - Pasture'!A1", "Pasture")</f>
        <v>Pasture</v>
      </c>
      <c r="D15" s="102" t="str">
        <v>FracLEACH</v>
      </c>
      <c r="E15" s="103" t="str">
        <v>fraction of all N that is lost through leaching and runoff</v>
      </c>
      <c r="F15" s="105"/>
      <c r="G15" s="102" t="str">
        <v>fraction</v>
      </c>
      <c r="H15" s="107" t="str">
        <v>Constant</v>
      </c>
      <c r="I15" s="102">
        <f>SourceData_PastureBeef_FracLEACH_Data</f>
        <v>0.24</v>
      </c>
      <c r="M15" s="102" t="str">
        <v>FracLEACH</v>
      </c>
      <c r="N15" s="103" t="str">
        <v>fraction of all N that is lost through leaching and runoff</v>
      </c>
      <c r="O15" s="105"/>
      <c r="P15" s="102" t="str">
        <v>fraction</v>
      </c>
      <c r="Q15" s="107" t="str">
        <v>Constant</v>
      </c>
      <c r="R15" s="102"/>
    </row>
    <row r="16" spans="1:19" ht="20.100000000000001" customHeight="1" x14ac:dyDescent="0.25">
      <c r="A16" s="5" t="str">
        <f>HYPERLINK("#'Input - Fert Prod System'!A1", "Fert Prod System")</f>
        <v>Fert Prod System</v>
      </c>
      <c r="D16" s="102" t="str">
        <v>z</v>
      </c>
      <c r="E16" s="103" t="str">
        <v>location in leaching zone</v>
      </c>
      <c r="F16" s="105"/>
      <c r="G16" s="102" t="str">
        <v/>
      </c>
      <c r="H16" s="106" t="str">
        <v>Input</v>
      </c>
      <c r="I16" s="102" t="str">
        <f>X_Cell_Site_LeachingZone</f>
        <v>NO - Not in leaching zone</v>
      </c>
      <c r="M16" s="102" t="str">
        <v>z</v>
      </c>
      <c r="N16" s="103" t="str">
        <v>location in leaching zone</v>
      </c>
      <c r="O16" s="105"/>
      <c r="P16" s="102" t="str">
        <v/>
      </c>
      <c r="Q16" s="106" t="str">
        <v>Input</v>
      </c>
      <c r="R16" s="102"/>
    </row>
    <row r="17" spans="1:19" ht="20.100000000000001" customHeight="1" x14ac:dyDescent="0.25">
      <c r="A17" s="5" t="str">
        <f>HYPERLINK("#'Input - Fertiliser'!A1", "Fertiliser")</f>
        <v>Fertiliser</v>
      </c>
      <c r="D17" s="102" t="str">
        <v>j</v>
      </c>
      <c r="E17" s="103" t="str">
        <v>production system</v>
      </c>
      <c r="F17" s="105"/>
      <c r="G17" s="102" t="str">
        <v/>
      </c>
      <c r="H17" s="106" t="str">
        <v>Input</v>
      </c>
      <c r="I17" s="102" t="str">
        <f>X_Cell_PastureBeef_GrazingProductionSystem</f>
        <v>Pasture</v>
      </c>
      <c r="M17" s="102" t="str">
        <v>j</v>
      </c>
      <c r="N17" s="103" t="str">
        <v>production system</v>
      </c>
      <c r="O17" s="105"/>
      <c r="P17" s="102" t="str">
        <v/>
      </c>
      <c r="Q17" s="106" t="str">
        <v>Input</v>
      </c>
      <c r="R17" s="102"/>
    </row>
    <row r="18" spans="1:19" ht="20.100000000000001" customHeight="1" x14ac:dyDescent="0.25">
      <c r="A18" s="5" t="str">
        <f>HYPERLINK("#'Input - Fuel'!A1", "Fuel")</f>
        <v>Fuel</v>
      </c>
      <c r="D18" s="102" t="str">
        <v>ir</v>
      </c>
      <c r="E18" s="103" t="str">
        <v>irrigation method</v>
      </c>
      <c r="F18" s="105"/>
      <c r="G18" s="102" t="str">
        <v/>
      </c>
      <c r="H18" s="106" t="str">
        <v>Input</v>
      </c>
      <c r="I18" s="102" t="str">
        <f>X_Cell_PastureBeef_GrazingIrrigationMethod</f>
        <v>Sprinkler irrigation</v>
      </c>
      <c r="M18" s="102" t="str">
        <v>ir</v>
      </c>
      <c r="N18" s="103" t="str">
        <v>irrigation method</v>
      </c>
      <c r="O18" s="105"/>
      <c r="P18" s="102" t="str">
        <v/>
      </c>
      <c r="Q18" s="106" t="str">
        <v>Input</v>
      </c>
      <c r="R18" s="102"/>
    </row>
    <row r="19" spans="1:19" ht="20.100000000000001" customHeight="1" x14ac:dyDescent="0.25">
      <c r="A19" s="5" t="str">
        <f>HYPERLINK("#'Input - Electricity'!A1", "Electricity")</f>
        <v>Electricity</v>
      </c>
    </row>
    <row r="20" spans="1:19" ht="20.100000000000001" customHeight="1" x14ac:dyDescent="0.25">
      <c r="A20" s="5" t="str">
        <f>HYPERLINK("#'Input - Farm Inputs'!A1", "Farm Inputs")</f>
        <v>Farm Inputs</v>
      </c>
      <c r="D20" s="122" t="s">
        <v>368</v>
      </c>
      <c r="E20" s="114" cm="1">
        <f t="array" aca="1" ref="E20" ca="1">MMS_PastureBeef_Soil_LeachingAndRunoff.VEERG_4_2_1_7__2_MassOfNitrogenLostToLeachingAndRunoffOnPasture($I$13,$I$14,$I$15)</f>
        <v>14517.683851768685</v>
      </c>
      <c r="F20" s="121" t="str">
        <f>$E$11</f>
        <v>kg N</v>
      </c>
      <c r="K20" s="94"/>
      <c r="M20" s="122" t="s">
        <v>368</v>
      </c>
      <c r="N20" s="114" cm="1">
        <f t="array" aca="1" ref="N20" ca="1">MMS_PastureBeef_Soil_LeachingAndRunoff.VEERG_4_2_1_7__2_MassOfNitrogenLostToLeachingAndRunoffOnPasture($R$13,$I$14,$I$15)</f>
        <v>14069.637675477161</v>
      </c>
      <c r="O20" s="121" t="str">
        <f>$E$11</f>
        <v>kg N</v>
      </c>
    </row>
    <row r="21" spans="1:19" ht="20.100000000000001" customHeight="1" x14ac:dyDescent="0.25">
      <c r="A21" s="5" t="str">
        <f>HYPERLINK("#'Input - Freight'!A1", "Freight")</f>
        <v>Freight</v>
      </c>
      <c r="K21" s="94"/>
    </row>
    <row r="22" spans="1:19" ht="20.100000000000001" customHeight="1" x14ac:dyDescent="0.25">
      <c r="A22" s="5" t="str">
        <f>HYPERLINK("#'Input - Manure sent off-site'!A1", "Manure sent off-site")</f>
        <v>Manure sent off-site</v>
      </c>
      <c r="K22" s="94"/>
    </row>
    <row r="23" spans="1:19" ht="20.100000000000001" customHeight="1" x14ac:dyDescent="0.25">
      <c r="A23" s="5" t="str">
        <f>HYPERLINK("#'Input - Solid waste'!A1", "Solid waste")</f>
        <v>Solid waste</v>
      </c>
      <c r="C23" s="114"/>
      <c r="D23" s="114"/>
      <c r="E23" s="114"/>
      <c r="F23" s="114"/>
      <c r="G23" s="114"/>
      <c r="H23" s="114"/>
      <c r="I23" s="114"/>
      <c r="J23" s="114"/>
      <c r="K23" s="94"/>
      <c r="L23" s="114"/>
      <c r="M23" s="114"/>
      <c r="N23" s="114"/>
      <c r="O23" s="114"/>
      <c r="P23" s="114"/>
      <c r="Q23" s="114"/>
      <c r="R23" s="114"/>
      <c r="S23" s="114"/>
    </row>
    <row r="24" spans="1:19" ht="20.100000000000001" customHeight="1" x14ac:dyDescent="0.25">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27" t="str" cm="1">
        <f t="array" ref="D25">MMS_PastureBeef_Soil_LeachingAndRunoff.VEERG_4_2_1_7__1_LeachingAndRunoffEmissionsFromUrineAndDungOnPasture_Source()</f>
        <v>VEERG 2026: 4.2.1.7, Equation (1)</v>
      </c>
    </row>
    <row r="26" spans="1:19" ht="20.100000000000001" customHeight="1" x14ac:dyDescent="0.25">
      <c r="A26" s="6" t="s">
        <v>2</v>
      </c>
      <c r="D26" s="100" t="s">
        <v>259</v>
      </c>
      <c r="E26" s="100"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c r="A27" s="5" t="str">
        <f>HYPERLINK("#'3.2.1.1-2 Enteric Methane'!A1", "3.2.1.1-2 Enteric methane")</f>
        <v>3.2.1.1-2 Enteric methane</v>
      </c>
    </row>
    <row r="28" spans="1:19" ht="20.100000000000001" customHeight="1" x14ac:dyDescent="0.25">
      <c r="A28" s="5" t="str">
        <f>HYPERLINK("#'4.2.1.1-2 Methane'!A1", "4.2.1.1-2 Manure methane")</f>
        <v>4.2.1.1-2 Manure methane</v>
      </c>
    </row>
    <row r="29" spans="1:19" ht="20.100000000000001" customHeight="1" x14ac:dyDescent="0.25">
      <c r="A29" s="5" t="str">
        <f>HYPERLINK("#'4.2.1.3-4 Soil direct N20'!A1", "4.2.1.3-4 Soil direct N2O")</f>
        <v>4.2.1.3-4 Soil direct N2O</v>
      </c>
      <c r="D29" s="88" t="s">
        <v>261</v>
      </c>
      <c r="E29" s="1" t="str" cm="1">
        <f t="array" ref="E29">MMS_PastureBeef_Soil_LeachingAndRunoff.VEERG_4_2_1_7__1_LeachingAndRunoffEmissionsFromUrineAndDungOnPasture_Variable()</f>
        <v>E_N2Oleach</v>
      </c>
    </row>
    <row r="30" spans="1:19" ht="20.100000000000001" customHeight="1" x14ac:dyDescent="0.25">
      <c r="A30" s="5" t="str">
        <f>HYPERLINK("#'4.2.1.5-6 Soil Atmos Dep'!A1", "4.2.1.5-6 Soil atm. deposition")</f>
        <v>4.2.1.5-6 Soil atm. deposition</v>
      </c>
      <c r="D30" s="88" t="s">
        <v>131</v>
      </c>
      <c r="E30" s="15" t="str" cm="1">
        <f t="array" ref="E30">MMS_PastureBeef_Soil_LeachingAndRunoff.VEERG_4_2_1_7__1_LeachingAndRunoffEmissionsFromUrineAndDungOnPasture_Unit()</f>
        <v>t N2O</v>
      </c>
    </row>
    <row r="31" spans="1:19" ht="20.100000000000001" customHeight="1" x14ac:dyDescent="0.25">
      <c r="A31" s="101" t="str">
        <f>HYPERLINK("#'4.2.1.7-8 Soil leach runoff'!A1", "4.2.1.7-8 Soil leach &amp; runoff")</f>
        <v>4.2.1.7-8 Soil leach &amp; runoff</v>
      </c>
    </row>
    <row r="32" spans="1:19" ht="20.100000000000001" customHeight="1" x14ac:dyDescent="0.25">
      <c r="A32" s="5" t="str">
        <f>HYPERLINK("#'5.1.1.1-2 Inorganic fert N2O'!A1", "5.1.1.1-2 Inorganic fert N2O")</f>
        <v>5.1.1.1-2 Inorganic fert N2O</v>
      </c>
      <c r="D32" s="102" t="str" cm="1">
        <f t="array" ref="D32:E34">_xlfn.CHOOSECOLS(MMS_PastureBeef_Soil_LeachingAndRunoff.VEERG_4_2_1_7__1_LeachingAndRunoffEmissionsFromUrineAndDungOnPasture_Arguments(),1,2)</f>
        <v>M_leach</v>
      </c>
      <c r="E32" s="103" t="str">
        <v>mass of nitrogen lost to leaching and runoff</v>
      </c>
      <c r="F32" s="105"/>
      <c r="G32" s="102" t="str" cm="1">
        <f t="array" ref="G32:H34">_xlfn.CHOOSECOLS(MMS_PastureBeef_Soil_LeachingAndRunoff.VEERG_4_2_1_7__1_LeachingAndRunoffEmissionsFromUrineAndDungOnPasture_Arguments(),3,4)</f>
        <v>kg N</v>
      </c>
      <c r="H32" s="107" t="str">
        <v>Calculated from 4.2.1.7 (2)</v>
      </c>
      <c r="I32" s="102">
        <f ca="1">$E$20</f>
        <v>14517.683851768685</v>
      </c>
      <c r="M32" s="102" t="str" cm="1">
        <f t="array" ref="M32:N34">_xlfn.CHOOSECOLS(MMS_PastureBeef_Soil_LeachingAndRunoff.VEERG_4_2_1_7__1_LeachingAndRunoffEmissionsFromUrineAndDungOnPasture_Arguments(),1,2)</f>
        <v>M_leach</v>
      </c>
      <c r="N32" s="103" t="str">
        <v>mass of nitrogen lost to leaching and runoff</v>
      </c>
      <c r="O32" s="105"/>
      <c r="P32" s="102" t="str" cm="1">
        <f t="array" ref="P32:Q34">_xlfn.CHOOSECOLS(MMS_PastureBeef_Soil_LeachingAndRunoff.VEERG_4_2_1_7__1_LeachingAndRunoffEmissionsFromUrineAndDungOnPasture_Arguments(),3,4)</f>
        <v>kg N</v>
      </c>
      <c r="Q32" s="107" t="str">
        <v>Calculated from 4.2.1.7 (2)</v>
      </c>
      <c r="R32" s="102">
        <f ca="1">$N$20</f>
        <v>14069.637675477161</v>
      </c>
    </row>
    <row r="33" spans="1:18" ht="20.100000000000001" customHeight="1" x14ac:dyDescent="0.25">
      <c r="A33" s="5" t="str">
        <f>HYPERLINK("#'5.1.1.3-4 Inorganic fert CO2'!A1", "5.1.1.3-4 Inorganic fert CO2")</f>
        <v>5.1.1.3-4 Inorganic fert CO2</v>
      </c>
      <c r="D33" s="102" t="str">
        <v>EF_leach</v>
      </c>
      <c r="E33" s="103" t="str">
        <v>emission factor for leaching and runoff</v>
      </c>
      <c r="F33" s="105"/>
      <c r="G33" s="102" t="str">
        <v>kg N2O-N/kg N</v>
      </c>
      <c r="H33" s="107" t="str">
        <v>Constant</v>
      </c>
      <c r="I33" s="102">
        <f>'Constants - Common'!$E$170</f>
        <v>1.0999999999999999E-2</v>
      </c>
      <c r="M33" s="102" t="str">
        <v>EF_leach</v>
      </c>
      <c r="N33" s="103" t="str">
        <v>emission factor for leaching and runoff</v>
      </c>
      <c r="O33" s="105"/>
      <c r="P33" s="102" t="str">
        <v>kg N2O-N/kg N</v>
      </c>
      <c r="Q33" s="107" t="str">
        <v>Constant</v>
      </c>
      <c r="R33" s="102"/>
    </row>
    <row r="34" spans="1:18" ht="20.100000000000001" customHeight="1" x14ac:dyDescent="0.25">
      <c r="A34" s="5" t="str">
        <f>HYPERLINK("#'5.2.1.1-2 Organic Fert N2O'!A1", "5.2.1.1-2 Organic fert N2O")</f>
        <v>5.2.1.1-2 Organic fert N2O</v>
      </c>
      <c r="D34" s="102" t="str">
        <v>C_N2O</v>
      </c>
      <c r="E34" s="103" t="str">
        <v>factor to convert elemental mass of N2O to molecular mass</v>
      </c>
      <c r="F34" s="105"/>
      <c r="G34" s="102" t="str">
        <v/>
      </c>
      <c r="H34" s="107" t="str">
        <v>Constant</v>
      </c>
      <c r="I34" s="102">
        <f>Common_InputFunctions.Utility_LookupValueInTableNumber("N2O",Table_GasToMolecularConversionFactor[Gas],Table_GasToMolecularConversionFactor[Conversion factor combined])</f>
        <v>1.5714285714285714</v>
      </c>
      <c r="M34" s="102" t="str">
        <v>C_N2O</v>
      </c>
      <c r="N34" s="103" t="str">
        <v>factor to convert elemental mass of N2O to molecular mass</v>
      </c>
      <c r="O34" s="105"/>
      <c r="P34" s="102" t="str">
        <v/>
      </c>
      <c r="Q34" s="107" t="str">
        <v>Constant</v>
      </c>
      <c r="R34" s="102"/>
    </row>
    <row r="35" spans="1:18" ht="20.100000000000001" customHeight="1" x14ac:dyDescent="0.25">
      <c r="A35" s="5" t="str">
        <f>HYPERLINK("#'5.3.1.1-2 Lime CO2'!A1", "5.3.1.1-2 Lime CO2")</f>
        <v>5.3.1.1-2 Lime CO2</v>
      </c>
    </row>
    <row r="36" spans="1:18" ht="20.100000000000001" customHeight="1" x14ac:dyDescent="0.25">
      <c r="A36" s="5" t="str">
        <f>HYPERLINK("#'5.4.1.1-4 Atmos deposition'!A1", "5.4.1.1-4 Atmos. deposition")</f>
        <v>5.4.1.1-4 Atmos. deposition</v>
      </c>
      <c r="D36" s="122" t="s">
        <v>369</v>
      </c>
      <c r="E36" s="114" cm="1">
        <f t="array" aca="1" ref="E36" ca="1">MMS_PastureBeef_Soil_LeachingAndRunoff.VEERG_4_2_1_7__1_LeachingAndRunoffEmissionsFromUrineAndDungOnPasture(I32,I33,I34)</f>
        <v>0.2509485351520015</v>
      </c>
      <c r="F36" s="121" t="str">
        <f>$E$30</f>
        <v>t N2O</v>
      </c>
      <c r="M36" s="122" t="s">
        <v>369</v>
      </c>
      <c r="N36" s="114" cm="1">
        <f t="array" aca="1" ref="N36" ca="1">MMS_PastureBeef_Soil_LeachingAndRunoff.VEERG_4_2_1_7__1_LeachingAndRunoffEmissionsFromUrineAndDungOnPasture(R32,I33,I34)</f>
        <v>0.24320373696181949</v>
      </c>
      <c r="O36" s="121" t="str">
        <f>$E$30</f>
        <v>t N2O</v>
      </c>
    </row>
    <row r="37" spans="1:18" ht="20.100000000000001" customHeight="1" x14ac:dyDescent="0.25">
      <c r="A37" s="5" t="str">
        <f>HYPERLINK("#'5.5.1.1-2 Leaching and runoff'!A1", "5.5.1.1-2 Leaching &amp; runoff")</f>
        <v>5.5.1.1-2 Leaching &amp; runoff</v>
      </c>
    </row>
    <row r="38" spans="1:18" ht="20.100000000000001" customHeight="1" x14ac:dyDescent="0.25">
      <c r="A38" s="5" t="str">
        <f>HYPERLINK("#'6.2.1.1-2 Pasture residue N2O'!A1", "6.2.1.1-2 Pasture residue N2O")</f>
        <v>6.2.1.1-2 Pasture residue N2O</v>
      </c>
      <c r="D38" s="118" t="str" cm="1">
        <f t="array" ref="D38:E39">Common_Equations.Common_ConvertN2OToCO2e_Arguments()</f>
        <v>EN2O</v>
      </c>
      <c r="E38" s="119" t="str">
        <v>Nitrous oxide emissions (t N2O)</v>
      </c>
      <c r="F38" s="120"/>
      <c r="G38" s="25">
        <f ca="1">VEERG_4_2_1_7__1_LeachingAndRunoffEmissionsFromUrineAndDungOnPasture_Result_Method1</f>
        <v>0.2509485351520015</v>
      </c>
      <c r="M38" s="118" t="str" cm="1">
        <f t="array" ref="M38:N39">Common_Equations.Common_ConvertN2OToCO2e_Arguments()</f>
        <v>EN2O</v>
      </c>
      <c r="N38" s="119" t="str">
        <v>Nitrous oxide emissions (t N2O)</v>
      </c>
      <c r="O38" s="120"/>
      <c r="P38" s="25">
        <f ca="1">VEERG_4_2_1_7__1_LeachingAndRunoffEmissionsFromUrineAndDungOnPasture_Result_Method2</f>
        <v>0.24320373696181949</v>
      </c>
    </row>
    <row r="39" spans="1:18" ht="20.100000000000001" customHeight="1" x14ac:dyDescent="0.25">
      <c r="A39" s="5" t="str">
        <f>HYPERLINK("#'6.3.1.1-2 Leach runoff pasture'!A1", "6.3.1.1-2 Leach &amp; runoff (pasture)")</f>
        <v>6.3.1.1-2 Leach &amp; runoff (pasture)</v>
      </c>
      <c r="D39" s="118" t="str">
        <v>GWPN2O</v>
      </c>
      <c r="E39" s="119" t="str">
        <v>Global warming potential for nitrous oxide (t CO2-e / t N2O)</v>
      </c>
      <c r="F39" s="120"/>
      <c r="G39" s="25">
        <f>Common_InputFunctions.Utility_LookupValueInTableNumber("N2O",Table_GWPData[Gas],Table_GWPData[CO2-e factor])</f>
        <v>265</v>
      </c>
      <c r="M39" s="118" t="str">
        <v>GWPN2O</v>
      </c>
      <c r="N39" s="119" t="str">
        <v>Global warming potential for nitrous oxide (t CO2-e / t N2O)</v>
      </c>
      <c r="O39" s="120"/>
      <c r="P39" s="25">
        <f>Common_InputFunctions.Utility_LookupValueInTableNumber("N2O",Table_GWPData[Gas],Table_GWPData[CO2-e factor])</f>
        <v>265</v>
      </c>
    </row>
    <row r="40" spans="1:18" ht="20.100000000000001" customHeight="1" x14ac:dyDescent="0.25">
      <c r="A40" s="5" t="str">
        <f>HYPERLINK("#'8.1.1.1-2 Transport fuel'!A1", "8.1.1.1-2 Transport fuel")</f>
        <v>8.1.1.1-2 Transport fuel</v>
      </c>
    </row>
    <row r="41" spans="1:18" ht="20.100000000000001" customHeight="1" x14ac:dyDescent="0.25">
      <c r="A41" s="5" t="str">
        <f>HYPERLINK("#'8.2.1.1-2 Stationary fuel'!A1", "8.2.1.1-2 Stationary fuel")</f>
        <v>8.2.1.1-2 Stationary fuel</v>
      </c>
      <c r="D41" s="114" t="s">
        <v>323</v>
      </c>
      <c r="E41" s="114" cm="1">
        <f t="array" aca="1" ref="E41" ca="1">Common_Equations.Common_ConvertN2OToCO2e(G38,G39)</f>
        <v>66.50136181528039</v>
      </c>
      <c r="F41" s="121" t="str" cm="1">
        <f t="array" ref="F41">Common_Equations.Common_ConvertN2OToCO2e_Unit()</f>
        <v>t CO2e</v>
      </c>
      <c r="M41" s="114" t="s">
        <v>323</v>
      </c>
      <c r="N41" s="114" cm="1">
        <f t="array" aca="1" ref="N41" ca="1">Common_Equations.Common_ConvertN2OToCO2e(P38,P39)</f>
        <v>64.448990294882165</v>
      </c>
      <c r="O41" s="121" t="str" cm="1">
        <f t="array" ref="O41">Common_Equations.Common_ConvertN2OToCO2e_Unit()</f>
        <v>t CO2e</v>
      </c>
    </row>
    <row r="42" spans="1:18" ht="20.100000000000001" customHeight="1" x14ac:dyDescent="0.25">
      <c r="A42" s="5" t="str">
        <f>HYPERLINK("#'14.1.1-2 Purchased electricity'!A1", "14.1.1-2 Purchased electricity")</f>
        <v>14.1.1-2 Purchased electricity</v>
      </c>
    </row>
    <row r="43" spans="1:18" ht="20.100000000000001" customHeight="1" x14ac:dyDescent="0.25">
      <c r="A43" s="5" t="str">
        <f>HYPERLINK("#'15 Scope 3'!A1", "15 Scope 3")</f>
        <v>15 Scope 3</v>
      </c>
    </row>
    <row r="44" spans="1:18" ht="20.100000000000001" customHeight="1" x14ac:dyDescent="0.25">
      <c r="A44" s="5" t="str">
        <f>HYPERLINK("#'Calcs - Manure sent off-site'!A1", "Calcs - Manure sent off-site")</f>
        <v>Calcs - Manure sent off-site</v>
      </c>
    </row>
    <row r="45" spans="1:18" ht="20.100000000000001" customHeight="1" x14ac:dyDescent="0.25">
      <c r="A45" s="5" t="str">
        <f>HYPERLINK("#'10.1.1-2 Solid waste treatment'!A1", "10.1.1-2 Solid waste treatment")</f>
        <v>10.1.1-2 Solid waste treatment</v>
      </c>
    </row>
    <row r="46" spans="1:18" ht="20.100000000000001" customHeight="1" x14ac:dyDescent="0.25"/>
    <row r="47" spans="1:18" ht="20.100000000000001" customHeight="1" x14ac:dyDescent="0.25"/>
    <row r="48" spans="1:18"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81F42848-5407-4E6C-A59D-C5D94E325FB1}"/>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D1692-5DB3-4AD5-8111-1C787060A6D0}">
  <dimension ref="A1:X342"/>
  <sheetViews>
    <sheetView showGridLines="0" topLeftCell="B46"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532</v>
      </c>
      <c r="K1"/>
    </row>
    <row r="2" spans="1:24" s="3" customFormat="1" ht="20.100000000000001" customHeight="1" x14ac:dyDescent="0.25">
      <c r="A2"/>
      <c r="K2"/>
    </row>
    <row r="3" spans="1:24" ht="20.100000000000001" customHeight="1" x14ac:dyDescent="0.25">
      <c r="A3" s="5" t="str">
        <f>HYPERLINK("#'Home'!A1", "Home")</f>
        <v>Home</v>
      </c>
      <c r="C3" s="33"/>
      <c r="D3" s="33" t="s">
        <v>148</v>
      </c>
      <c r="E3" s="33"/>
      <c r="F3" s="33"/>
      <c r="G3" s="33"/>
      <c r="H3" s="33"/>
      <c r="I3" s="33"/>
      <c r="J3" s="33"/>
      <c r="L3" s="33"/>
      <c r="M3" s="33" t="s">
        <v>149</v>
      </c>
      <c r="N3" s="33"/>
      <c r="O3" s="33"/>
      <c r="P3" s="33"/>
      <c r="Q3" s="33"/>
      <c r="R3" s="33"/>
      <c r="S3" s="33"/>
      <c r="T3" s="33"/>
      <c r="U3" s="33"/>
      <c r="V3" s="33"/>
      <c r="W3" s="33"/>
      <c r="X3" s="33"/>
    </row>
    <row r="4" spans="1:24" ht="20.100000000000001" customHeight="1" x14ac:dyDescent="0.25">
      <c r="A4" s="5" t="str">
        <f>HYPERLINK("#'Overview'!A1", "Overview")</f>
        <v>Overview</v>
      </c>
    </row>
    <row r="5" spans="1:24" ht="20.100000000000001" customHeight="1" x14ac:dyDescent="0.25">
      <c r="A5" s="5" t="str">
        <f>HYPERLINK("#'Results'!A1", "Results")</f>
        <v>Results</v>
      </c>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D7" s="100" t="s">
        <v>259</v>
      </c>
      <c r="E7" s="100" t="str" cm="1">
        <f t="array" aca="1" ref="E7" ca="1">Common_InputFunctions.Utility_DisplayFunctionName(G19)</f>
        <v>=Fertiliser_Equations_InorganicN2O.VEERG_5_1_1_1__2_MassOfNitrogenInInorganicFertiliser</v>
      </c>
    </row>
    <row r="8" spans="1:24" ht="20.100000000000001" customHeight="1" x14ac:dyDescent="0.25">
      <c r="A8" s="7" t="s">
        <v>0</v>
      </c>
    </row>
    <row r="9" spans="1:24" ht="20.100000000000001" customHeight="1" x14ac:dyDescent="0.25">
      <c r="A9" s="5" t="str">
        <f>HYPERLINK("#'Input - Enterprise'!A1", "Enterprise")</f>
        <v>Enterprise</v>
      </c>
      <c r="M9" s="88" t="s">
        <v>261</v>
      </c>
      <c r="N9" s="1" t="str" cm="1">
        <f t="array" ref="N9">Fertiliser_Equations_InorganicN2O.VEERG_5_1_1_2__1_EmissionFactorIrrigatedMaize_Variable()</f>
        <v>EF_fjIrrigatedMaizeN2O</v>
      </c>
    </row>
    <row r="10" spans="1:24" ht="20.100000000000001" customHeight="1" x14ac:dyDescent="0.25">
      <c r="A10" s="5" t="str">
        <f>HYPERLINK("#'Input - Site'!A1", "Site")</f>
        <v>Site</v>
      </c>
      <c r="D10" s="88" t="s">
        <v>261</v>
      </c>
      <c r="E10" s="1" t="str" cm="1">
        <f t="array" ref="E10">Fertiliser_Equations_InorganicN2O.VEERG_5_1_1_1__2_MassOfNitrogenInInorganicFertiliser_Variable()</f>
        <v>MN_jf</v>
      </c>
      <c r="M10" s="88" t="s">
        <v>131</v>
      </c>
      <c r="N10" s="15" t="str" cm="1">
        <f t="array" ref="N10">Fertiliser_Equations_InorganicN2O.VEERG_5_1_1_2__1_EmissionFactorIrrigatedMaize_Unit()</f>
        <v>kg N2O-N/kg N applied</v>
      </c>
    </row>
    <row r="11" spans="1:24" ht="20.100000000000001" customHeight="1" x14ac:dyDescent="0.25">
      <c r="A11" s="5" t="str">
        <f>HYPERLINK("#'Input - Pasture Beef'!A1", "Pasture Beef")</f>
        <v>Pasture Beef</v>
      </c>
      <c r="D11" s="88" t="s">
        <v>131</v>
      </c>
      <c r="E11" s="15" t="str" cm="1">
        <f t="array" ref="E11">Fertiliser_Equations_InorganicN2O.VEERG_5_1_1_1__2_MassOfNitrogenInInorganicFertiliser_Unit()</f>
        <v>kg N</v>
      </c>
    </row>
    <row r="12" spans="1:24" ht="20.100000000000001" customHeight="1" x14ac:dyDescent="0.25">
      <c r="A12" s="5" t="str">
        <f>HYPERLINK("#'Input - Pasture Beef (Enteric)'!A1", "Pasture Beef (Enteric)")</f>
        <v>Pasture Beef (Enteric)</v>
      </c>
      <c r="M12" s="118" t="str" cm="1">
        <f t="array" ref="M12:N13">_xlfn.CHOOSECOLS(Fertiliser_Equations_InorganicN2O.VEERG_5_1_1_2__1_EmissionFactorIrrigatedMaize_Arguments(), 1, 2)</f>
        <v>N_fjIrrigatedMaize</v>
      </c>
      <c r="N12" s="119" t="str">
        <v>application rate of inorganic fertiliser type f in the irrigated maize crop</v>
      </c>
      <c r="O12" s="165"/>
      <c r="P12" s="118" t="str" cm="1">
        <f t="array" ref="P12:Q13">_xlfn.CHOOSECOLS(Fertiliser_Equations_InorganicN2O.VEERG_5_1_1_2__1_EmissionFactorIrrigatedMaize_Arguments(), 3,4)</f>
        <v>kg N/ha</v>
      </c>
      <c r="Q12" s="106" t="str">
        <v>Input</v>
      </c>
      <c r="R12" s="166" t="str" cm="1">
        <f t="array" aca="1" ref="R12" ca="1">HYPERLINK(Common_InputFunctions.Utility_SourceHyperlink($M$41), $M$41)</f>
        <v>M2_Table_FertApplications</v>
      </c>
      <c r="S12" s="167"/>
    </row>
    <row r="13" spans="1:24" ht="20.100000000000001" customHeight="1" x14ac:dyDescent="0.25">
      <c r="A13" s="5" t="str">
        <f>HYPERLINK("#'Input - Livestock sales'!A1", "Livestock sales")</f>
        <v>Livestock sales</v>
      </c>
      <c r="D13" s="118" t="str" cm="1">
        <f t="array" ref="D13:E14">_xlfn.CHOOSECOLS(Fertiliser_Equations_InorganicN2O.VEERG_5_1_1_1__2_MassOfNitrogenInInorganicFertiliser_Arguments(), 1,2)</f>
        <v>TM_jf</v>
      </c>
      <c r="E13" s="118" t="str">
        <v>total mass of inorganic fertiliser type f applied to production system j</v>
      </c>
      <c r="F13" s="118"/>
      <c r="G13" s="118" t="str" cm="1">
        <f t="array" ref="G13:H14">_xlfn.CHOOSECOLS(Fertiliser_Equations_InorganicN2O.VEERG_5_1_1_1__2_MassOfNitrogenInInorganicFertiliser_Arguments(), 3,4)</f>
        <v>kg</v>
      </c>
      <c r="H13" s="106" t="str">
        <v>Input</v>
      </c>
      <c r="I13" s="108" t="str" cm="1">
        <f t="array" aca="1" ref="I13" ca="1">HYPERLINK(Common_InputFunctions.Utility_SourceHyperlink($D$16), $D$16)</f>
        <v>Table_MN_j_f</v>
      </c>
      <c r="M13" s="118" t="str">
        <v>f</v>
      </c>
      <c r="N13" s="119" t="str">
        <v>Inorganic fertiliser type</v>
      </c>
      <c r="O13" s="165"/>
      <c r="P13" s="118" t="str">
        <v/>
      </c>
      <c r="Q13" s="107" t="str">
        <v>Constant</v>
      </c>
      <c r="R13" s="119" t="s">
        <v>533</v>
      </c>
      <c r="S13" s="167"/>
    </row>
    <row r="14" spans="1:24" ht="20.100000000000001" customHeight="1" x14ac:dyDescent="0.25">
      <c r="A14" s="5" t="str">
        <f>HYPERLINK("#'Input - Beef cattle purchases'!A1", "Beef cattle purchases")</f>
        <v>Beef cattle purchases</v>
      </c>
      <c r="D14" s="118" t="str">
        <v>FN_inorganicf</v>
      </c>
      <c r="E14" s="119" t="str">
        <v xml:space="preserve">fraction of nitrogen in inorganic fertiliser type f </v>
      </c>
      <c r="F14" s="168"/>
      <c r="G14" s="118" t="str">
        <v>kg N/kg</v>
      </c>
      <c r="H14" s="107" t="str">
        <v>Constant</v>
      </c>
      <c r="I14" s="108" t="str" cm="1">
        <f t="array" aca="1" ref="I14" ca="1">HYPERLINK(Common_InputFunctions.Utility_SourceHyperlink($D$16), $D$16)</f>
        <v>Table_MN_j_f</v>
      </c>
    </row>
    <row r="15" spans="1:24" ht="20.100000000000001" customHeight="1" x14ac:dyDescent="0.25">
      <c r="A15" s="5" t="str">
        <f>HYPERLINK("#'Input - Pasture'!A1", "Pasture")</f>
        <v>Pasture</v>
      </c>
    </row>
    <row r="16" spans="1:24" ht="20.100000000000001" customHeight="1" x14ac:dyDescent="0.25">
      <c r="A16" s="5" t="str">
        <f>HYPERLINK("#'Input - Fert Prod System'!A1", "Fert Prod System")</f>
        <v>Fert Prod System</v>
      </c>
      <c r="D16" s="109" t="s">
        <v>534</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5" t="str">
        <f>HYPERLINK("#'Input - Fertiliser'!A1", "Fertiliser")</f>
        <v>Fertiliser</v>
      </c>
      <c r="D17" s="110" t="s">
        <v>535</v>
      </c>
      <c r="M17" s="27" t="str" cm="1">
        <f t="array" ref="M17">Fertiliser_Equations_InorganicN2O.VEERG_5_1_1_2__2_EmissionFactorNonIrrigatedGrainsHighRainfall_Source()</f>
        <v>VEERG 2026: 5.1.1.2, Equation (2)</v>
      </c>
    </row>
    <row r="18" spans="1:19" ht="20.100000000000001" customHeight="1" x14ac:dyDescent="0.25">
      <c r="A18" s="5" t="str">
        <f>HYPERLINK("#'Input - Fuel'!A1", "Fuel")</f>
        <v>Fuel</v>
      </c>
      <c r="D18" s="111" t="s">
        <v>536</v>
      </c>
      <c r="E18" s="112" t="s">
        <v>537</v>
      </c>
      <c r="F18" s="111" t="s">
        <v>538</v>
      </c>
      <c r="G18" s="111" t="s">
        <v>539</v>
      </c>
    </row>
    <row r="19" spans="1:19" ht="20.100000000000001" customHeight="1" x14ac:dyDescent="0.25">
      <c r="A19" s="5" t="str">
        <f>HYPERLINK("#'Input - Electricity'!A1", "Electricity")</f>
        <v>Electricity</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HYPERLINK("#'Input - Farm Inputs'!A1", "Farm Inputs")</f>
        <v>Farm Inputs</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261</v>
      </c>
      <c r="N20" s="1" t="str" cm="1">
        <f t="array" ref="N20">Fertiliser_Equations_InorganicN2O.VEERG_5_1_1_2__2_EmissionFactorNonIrrigatedGrainsHighRainfall_Variable()</f>
        <v>EF_fjNonIrrigatedGrainsN2O</v>
      </c>
    </row>
    <row r="21" spans="1:19" ht="20.100000000000001" customHeight="1" x14ac:dyDescent="0.25">
      <c r="A21" s="5" t="str">
        <f>HYPERLINK("#'Input - Freight'!A1", "Freight")</f>
        <v>Freight</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46000</v>
      </c>
      <c r="M21" s="88" t="s">
        <v>131</v>
      </c>
      <c r="N21" s="15" t="str" cm="1">
        <f t="array" ref="N21">Fertiliser_Equations_InorganicN2O.VEERG_5_1_1_2__2_EmissionFactorNonIrrigatedGrainsHighRainfall_Unit()</f>
        <v>kg N2O-N/kg N applied</v>
      </c>
    </row>
    <row r="22" spans="1:19" ht="20.100000000000001" customHeight="1" x14ac:dyDescent="0.25">
      <c r="A22" s="5" t="str">
        <f>HYPERLINK("#'Input - Manure sent off-site'!A1", "Manure sent off-site")</f>
        <v>Manure sent off-site</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HYPERLINK("#'Input - Solid waste'!A1", "Solid waste")</f>
        <v>Solid waste</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18" t="str" cm="1">
        <f t="array" ref="M23:N24">_xlfn.CHOOSECOLS(Fertiliser_Equations_InorganicN2O.VEERG_5_1_1_2__2_EmissionFactorNonIrrigatedGrainsHighRainfall_Arguments(), 1, 2)</f>
        <v>N_fjNonIrrigatedGrains</v>
      </c>
      <c r="N23" s="119" t="str">
        <v>application rate of inorganic fertiliser type f in the grains crop</v>
      </c>
      <c r="O23" s="165"/>
      <c r="P23" s="118" t="str" cm="1">
        <f t="array" ref="P23:Q24">_xlfn.CHOOSECOLS(Fertiliser_Equations_InorganicN2O.VEERG_5_1_1_2__2_EmissionFactorNonIrrigatedGrainsHighRainfall_Arguments(), 3,4)</f>
        <v>kg N/ha</v>
      </c>
      <c r="Q23" s="106" t="str">
        <v>Input</v>
      </c>
      <c r="R23" s="166" t="str" cm="1">
        <f t="array" aca="1" ref="R23" ca="1">HYPERLINK(Common_InputFunctions.Utility_SourceHyperlink($M$41), $M$41)</f>
        <v>M2_Table_FertApplications</v>
      </c>
      <c r="S23" s="168"/>
    </row>
    <row r="24" spans="1:19" ht="20.100000000000001" customHeight="1" x14ac:dyDescent="0.25">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18" t="str">
        <v>f</v>
      </c>
      <c r="N24" s="119" t="str">
        <v>Inorganic fertiliser type</v>
      </c>
      <c r="O24" s="165"/>
      <c r="P24" s="118" t="str">
        <v/>
      </c>
      <c r="Q24" s="107" t="str">
        <v>Constant</v>
      </c>
      <c r="R24" s="119" t="s">
        <v>533</v>
      </c>
      <c r="S24" s="168"/>
    </row>
    <row r="25" spans="1:19" ht="20.100000000000001" customHeight="1" x14ac:dyDescent="0.25">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6" t="s">
        <v>2</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HYPERLINK("#'3.2.1.1-2 Enteric Methane'!A1", "3.2.1.1-2 Enteric methane")</f>
        <v>3.2.1.1-2 Enteric methane</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19800</v>
      </c>
      <c r="I27" s="26"/>
      <c r="M27" s="2" t="str" cm="1">
        <f t="array" ref="M27">Fertiliser_Equations_InorganicN2O.VEERG_5_1_1_2__3_EmissionFactorCotton_Title()</f>
        <v>Emission factor for nitrous oxide for cotton</v>
      </c>
    </row>
    <row r="28" spans="1:19" ht="20.100000000000001" customHeight="1" x14ac:dyDescent="0.25">
      <c r="A28" s="5" t="str">
        <f>HYPERLINK("#'4.2.1.1-2 Methane'!A1", "4.2.1.1-2 Manure methane")</f>
        <v>4.2.1.1-2 Manure methane</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HYPERLINK("#'4.2.1.3-4 Soil direct N20'!A1", "4.2.1.3-4 Soil direct N2O")</f>
        <v>4.2.1.3-4 Soil direct N2O</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HYPERLINK("#'4.2.1.5-6 Soil Atmos Dep'!A1", "4.2.1.5-6 Soil atm. deposition")</f>
        <v>4.2.1.5-6 Soil atm. deposition</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61580</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HYPERLINK("#'4.2.1.7-8 Soil leach runoff'!A1", "4.2.1.7-8 Soil leach &amp; runoff")</f>
        <v>4.2.1.7-8 Soil leach &amp; runoff</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101" t="str">
        <f>HYPERLINK("#'5.1.1.1-2 Inorganic fert N2O'!A1", "5.1.1.1-2 Inorganic fert N2O")</f>
        <v>5.1.1.1-2 Inorganic fert N2O</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261</v>
      </c>
      <c r="N32" s="1" t="str" cm="1">
        <f t="array" ref="N32">Fertiliser_Equations_InorganicN2O.VEERG_5_1_1_2__3_EmissionFactorCotton_Variable()</f>
        <v>EF_fjCottonN2O</v>
      </c>
    </row>
    <row r="33" spans="1:23" ht="20.100000000000001" customHeight="1" x14ac:dyDescent="0.25">
      <c r="A33" s="5" t="str">
        <f>HYPERLINK("#'5.1.1.3-4 Inorganic fert CO2'!A1", "5.1.1.3-4 Inorganic fert CO2")</f>
        <v>5.1.1.3-4 Inorganic fert CO2</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131</v>
      </c>
      <c r="N33" s="15" t="str" cm="1">
        <f t="array" ref="N33">Fertiliser_Equations_InorganicN2O.VEERG_5_1_1_2__3_EmissionFactorCotton_Unit()</f>
        <v>kg N2O-N/kg N applied</v>
      </c>
    </row>
    <row r="34" spans="1:23" ht="20.100000000000001" customHeight="1" x14ac:dyDescent="0.25">
      <c r="A34" s="5" t="str">
        <f>HYPERLINK("#'5.2.1.1-2 Organic Fert N2O'!A1", "5.2.1.1-2 Organic fert N2O")</f>
        <v>5.2.1.1-2 Organic fert N2O</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A35" s="5" t="str">
        <f>HYPERLINK("#'5.3.1.1-2 Lime CO2'!A1", "5.3.1.1-2 Lime CO2")</f>
        <v>5.3.1.1-2 Lime CO2</v>
      </c>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18" t="str" cm="1">
        <f t="array" ref="M35:N36">_xlfn.CHOOSECOLS(Fertiliser_Equations_InorganicN2O.VEERG_5_1_1_2__3_EmissionFactorCotton_Arguments(), 1, 2)</f>
        <v>N_fjCotton</v>
      </c>
      <c r="N35" s="119" t="str">
        <v>application rate of inorganic fertiliser type f in the cotton crop</v>
      </c>
      <c r="O35" s="165"/>
      <c r="P35" s="119" t="str" cm="1">
        <f t="array" ref="P35:Q36">_xlfn.CHOOSECOLS(Fertiliser_Equations_InorganicN2O.VEERG_5_1_1_2__3_EmissionFactorCotton_Arguments(), 3,4)</f>
        <v>kg N/ha</v>
      </c>
      <c r="Q35" s="106" t="str">
        <v>Input</v>
      </c>
      <c r="R35" s="166" t="str" cm="1">
        <f t="array" aca="1" ref="R35" ca="1">HYPERLINK(Common_InputFunctions.Utility_SourceHyperlink($M$41), $M$41)</f>
        <v>M2_Table_FertApplications</v>
      </c>
      <c r="S35" s="168"/>
    </row>
    <row r="36" spans="1:23" ht="20.100000000000001" customHeight="1" x14ac:dyDescent="0.25">
      <c r="A36" s="5" t="str">
        <f>HYPERLINK("#'5.4.1.1-4 Atmos deposition'!A1", "5.4.1.1-4 Atmos. deposition")</f>
        <v>5.4.1.1-4 Atmos. deposition</v>
      </c>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18" t="str">
        <v>f</v>
      </c>
      <c r="N36" s="119" t="str">
        <v>Inorganic fertiliser type</v>
      </c>
      <c r="O36" s="165"/>
      <c r="P36" s="119" t="str">
        <v/>
      </c>
      <c r="Q36" s="107" t="str">
        <v>Constant</v>
      </c>
      <c r="R36" s="119" t="s">
        <v>533</v>
      </c>
      <c r="S36" s="168"/>
    </row>
    <row r="37" spans="1:23" ht="20.100000000000001" customHeight="1" x14ac:dyDescent="0.25">
      <c r="A37" s="5" t="str">
        <f>HYPERLINK("#'5.5.1.1-2 Leaching and runoff'!A1", "5.5.1.1-2 Leaching &amp; runoff")</f>
        <v>5.5.1.1-2 Leaching &amp; runoff</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7750</v>
      </c>
      <c r="H37" s="88"/>
      <c r="I37" s="26"/>
    </row>
    <row r="38" spans="1:23" ht="20.100000000000001" customHeight="1" x14ac:dyDescent="0.25">
      <c r="A38" s="5" t="str">
        <f>HYPERLINK("#'6.2.1.1-2 Pasture residue N2O'!A1", "6.2.1.1-2 Pasture residue N2O")</f>
        <v>6.2.1.1-2 Pasture residue N2O</v>
      </c>
      <c r="N38" s="92"/>
      <c r="O38" s="92"/>
      <c r="P38" s="92"/>
    </row>
    <row r="39" spans="1:23" ht="20.100000000000001" customHeight="1" x14ac:dyDescent="0.25">
      <c r="A39" s="5" t="str">
        <f>HYPERLINK("#'6.3.1.1-2 Leach runoff pasture'!A1", "6.3.1.1-2 Leach &amp; runoff (pasture)")</f>
        <v>6.3.1.1-2 Leach &amp; runoff (pasture)</v>
      </c>
      <c r="C39" s="114"/>
      <c r="D39" s="114"/>
      <c r="E39" s="114"/>
      <c r="F39" s="114"/>
      <c r="G39" s="114"/>
      <c r="H39" s="114"/>
      <c r="I39" s="114"/>
      <c r="J39" s="114"/>
      <c r="M39" s="92" t="s">
        <v>540</v>
      </c>
    </row>
    <row r="40" spans="1:23" ht="20.100000000000001" customHeight="1" x14ac:dyDescent="0.25">
      <c r="A40" s="5" t="str">
        <f>HYPERLINK("#'8.1.1.1-2 Transport fuel'!A1", "8.1.1.1-2 Transport fuel")</f>
        <v>8.1.1.1-2 Transport fuel</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HYPERLINK("#'8.2.1.1-2 Stationary fuel'!A1", "8.2.1.1-2 Stationary fuel")</f>
        <v>8.2.1.1-2 Stationary fuel</v>
      </c>
      <c r="D41" s="27" t="str" cm="1">
        <f t="array" ref="D41">Fertiliser_Equations_InorganicN2O.VEERG_5_1_1_1__1_InorganicFertiliserApplicationN2OEmissions_Source()</f>
        <v>VEERG 2026: 5.1.1.1, Equation (1)</v>
      </c>
      <c r="M41" s="109" t="s">
        <v>541</v>
      </c>
      <c r="T41" s="129" t="s">
        <v>542</v>
      </c>
    </row>
    <row r="42" spans="1:23" ht="20.100000000000001" customHeight="1" x14ac:dyDescent="0.25">
      <c r="A42" s="5" t="str">
        <f>HYPERLINK("#'14.1.1-2 Purchased electricity'!A1", "14.1.1-2 Purchased electricity")</f>
        <v>14.1.1-2 Purchased electricity</v>
      </c>
      <c r="D42" s="100" t="s">
        <v>259</v>
      </c>
      <c r="E42" s="100" t="str" cm="1">
        <f t="array" aca="1" ref="E42" ca="1">Common_InputFunctions.Utility_DisplayFunctionName($E$60)</f>
        <v>=Fertiliser_Equations_InorganicN2O.VEERG_5_1_1_1__1_InorganicFertiliserApplicationN2OEmissions</v>
      </c>
      <c r="F42" s="26"/>
      <c r="M42" s="110" t="s">
        <v>543</v>
      </c>
    </row>
    <row r="43" spans="1:23" ht="20.100000000000001" customHeight="1" x14ac:dyDescent="0.25">
      <c r="A43" s="5" t="str">
        <f>HYPERLINK("#'15 Scope 3'!A1", "15 Scope 3")</f>
        <v>15 Scope 3</v>
      </c>
      <c r="F43" s="26"/>
      <c r="O43" s="169" t="s">
        <v>544</v>
      </c>
      <c r="P43" s="169" t="s">
        <v>545</v>
      </c>
      <c r="Q43" s="169" t="s">
        <v>546</v>
      </c>
      <c r="R43" s="169" t="str">
        <f>$N$10</f>
        <v>kg N2O-N/kg N applied</v>
      </c>
      <c r="S43" s="169" t="str">
        <f>$N$21</f>
        <v>kg N2O-N/kg N applied</v>
      </c>
      <c r="T43" s="169" t="s">
        <v>544</v>
      </c>
      <c r="U43" s="169" t="s">
        <v>546</v>
      </c>
      <c r="V43" s="169" t="str">
        <f>$N$33</f>
        <v>kg N2O-N/kg N applied</v>
      </c>
      <c r="W43" s="169" t="s">
        <v>547</v>
      </c>
    </row>
    <row r="44" spans="1:23" ht="20.100000000000001" customHeight="1" x14ac:dyDescent="0.25">
      <c r="A44" s="5" t="str">
        <f>HYPERLINK("#'Calcs - Manure sent off-site'!A1", "Calcs - Manure sent off-site")</f>
        <v>Calcs - Manure sent off-site</v>
      </c>
      <c r="F44" s="26"/>
      <c r="M44" s="111" t="s">
        <v>548</v>
      </c>
      <c r="N44" s="112" t="s">
        <v>548</v>
      </c>
      <c r="O44" s="112" t="s">
        <v>549</v>
      </c>
      <c r="P44" s="112" t="s">
        <v>550</v>
      </c>
      <c r="Q44" s="111" t="s">
        <v>551</v>
      </c>
      <c r="R44" s="111" t="str">
        <f>N9</f>
        <v>EF_fjIrrigatedMaizeN2O</v>
      </c>
      <c r="S44" s="111" t="str">
        <f>N20</f>
        <v>EF_fjNonIrrigatedGrainsN2O</v>
      </c>
      <c r="T44" s="111" t="s">
        <v>552</v>
      </c>
      <c r="U44" s="111" t="s">
        <v>553</v>
      </c>
      <c r="V44" s="111" t="str">
        <f>N32</f>
        <v>EF_fjCottonN2O</v>
      </c>
      <c r="W44" s="111" t="s">
        <v>554</v>
      </c>
    </row>
    <row r="45" spans="1:23" ht="20.100000000000001" customHeight="1" x14ac:dyDescent="0.25">
      <c r="A45" s="5" t="str">
        <f>HYPERLINK("#'10.1.1-2 Solid waste treatment'!A1", "10.1.1-2 Solid waste treatment")</f>
        <v>10.1.1-2 Solid waste treatment</v>
      </c>
      <c r="F45" s="26"/>
      <c r="M45" s="25" t="s">
        <v>555</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1000</v>
      </c>
      <c r="Q45" s="25">
        <f>O45*P45</f>
        <v>3276</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3276</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46" spans="1:23" ht="20.100000000000001" customHeight="1" x14ac:dyDescent="0.25">
      <c r="D46" s="88" t="s">
        <v>261</v>
      </c>
      <c r="E46" s="1" t="str" cm="1">
        <f t="array" ref="E46">Fertiliser_Equations_InorganicN2O.VEERG_5_1_1_1__1_InorganicFertiliserApplicationN2OEmissions_Variable()</f>
        <v>E_N2O</v>
      </c>
      <c r="F46" s="26"/>
      <c r="M46" s="25" t="s">
        <v>555</v>
      </c>
      <c r="N46" s="25" t="str">
        <v>CalPhos</v>
      </c>
      <c r="O46" s="25">
        <v>0</v>
      </c>
      <c r="P46" s="25">
        <v>1000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131</v>
      </c>
      <c r="E47" s="15" t="str" cm="1">
        <f t="array" ref="E47">Fertiliser_Equations_InorganicN2O.VEERG_5_1_1_1__1_InorganicFertiliserApplicationN2OEmissions_Unit()</f>
        <v>t N2O</v>
      </c>
      <c r="F47" s="26"/>
      <c r="M47" s="25" t="s">
        <v>555</v>
      </c>
      <c r="N47" s="25" t="str">
        <v>CalPhos</v>
      </c>
      <c r="O47" s="25">
        <v>0</v>
      </c>
      <c r="P47" s="25">
        <v>1000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s="97" t="s">
        <v>1</v>
      </c>
      <c r="F48" s="26"/>
      <c r="M48" s="25" t="s">
        <v>555</v>
      </c>
      <c r="N48" s="25" t="str">
        <v>Aqua Grow</v>
      </c>
      <c r="O48" s="25">
        <v>12.096</v>
      </c>
      <c r="P48" s="25">
        <v>1000</v>
      </c>
      <c r="Q48" s="25">
        <f t="shared" si="2"/>
        <v>12096</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12096</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49" spans="1:24" ht="20.100000000000001" customHeight="1" x14ac:dyDescent="0.25">
      <c r="A49" s="5" t="str">
        <f>HYPERLINK("#'Constants - Pasture Beef'!A1", "Constants - Pasture Beef")</f>
        <v>Constants - Pasture Beef</v>
      </c>
      <c r="D49" s="118" t="str" cm="1">
        <f t="array" ref="D49:E55">_xlfn.CHOOSECOLS(Fertiliser_Equations_InorganicN2O.VEERG_5_1_1_1__1_InorganicFertiliserApplicationN2OEmissions_Arguments(), 1, 2)</f>
        <v>MN_jf</v>
      </c>
      <c r="E49" s="119" t="str">
        <v>mass of nitrogen in inorganic fertiliser type f applied to production system j</v>
      </c>
      <c r="F49" s="165"/>
      <c r="G49" s="118" t="str" cm="1">
        <f t="array" ref="G49:H55">_xlfn.CHOOSECOLS(Fertiliser_Equations_InorganicN2O.VEERG_5_1_1_1__1_InorganicFertiliserApplicationN2OEmissions_Arguments(), 3,4)</f>
        <v>kg N</v>
      </c>
      <c r="H49" s="107" t="str">
        <v>Calculated from 5.1.1.1 (2)</v>
      </c>
      <c r="I49" s="108" t="str" cm="1">
        <f t="array" aca="1" ref="I49" ca="1">HYPERLINK(Common_InputFunctions.Utility_SourceHyperlink(D16), D16)</f>
        <v>Table_MN_j_f</v>
      </c>
      <c r="M49" s="25" t="s">
        <v>555</v>
      </c>
      <c r="N49" s="25" t="str">
        <v>Aqua NitroCal</v>
      </c>
      <c r="O49" s="25">
        <v>19.8</v>
      </c>
      <c r="P49" s="25">
        <v>1000</v>
      </c>
      <c r="Q49" s="25">
        <f t="shared" si="2"/>
        <v>19800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0" spans="1:24" ht="20.100000000000001" customHeight="1" x14ac:dyDescent="0.25">
      <c r="A50" s="5" t="str">
        <f>HYPERLINK("#'Constants - Ag Residue'!A1", "Constants - Ag residue")</f>
        <v>Constants - Ag residue</v>
      </c>
      <c r="D50" s="118" t="str">
        <v>EF_jN2O</v>
      </c>
      <c r="E50" s="119" t="str">
        <v>emission factor for nitrous oxide for inorganic fertilisers</v>
      </c>
      <c r="F50" s="165"/>
      <c r="G50" s="118" t="str">
        <v>kg N2O-N/kg N applied</v>
      </c>
      <c r="H50" s="107" t="str">
        <v>Constant</v>
      </c>
      <c r="I50" s="118">
        <f>Common_InputFunctions.Utility_LookupN2OEFFromProdIrrigationRainfall(I52,I54,I55,Table_SourceData_Common_EFN2O[Production system only],Table_SourceData_Common_EFN2O[Irrigation method],Table_SourceData_Common_EFN2O[Rainfall zone],Table_SourceData_Common_EFN2O[EFN2O])</f>
        <v>5.8999999999999999E-3</v>
      </c>
      <c r="M50" s="25" t="s">
        <v>556</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1000</v>
      </c>
      <c r="Q50" s="25">
        <f t="shared" si="2"/>
        <v>7750</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7750</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1" spans="1:24" ht="20.100000000000001" customHeight="1" x14ac:dyDescent="0.25">
      <c r="A51" s="5" t="str">
        <f>HYPERLINK("#'Constants - Common Livestock'!A1", "Constants - Common Livestock")</f>
        <v>Constants - Common Livestock</v>
      </c>
      <c r="D51" s="118" t="str">
        <v>C_N2O</v>
      </c>
      <c r="E51" s="119" t="str">
        <v>factor to convert elemental mass of nitrous oxide to molecular mass</v>
      </c>
      <c r="F51" s="165"/>
      <c r="G51" s="118" t="str">
        <v/>
      </c>
      <c r="H51" s="107" t="str">
        <v>Constant</v>
      </c>
      <c r="I51" s="118">
        <f>Common_InputFunctions.Utility_LookupValueInTableNumber("N2O",Table_GasToMolecularConversionFactor[Gas],Table_GasToMolecularConversionFactor[Conversion factor combined])</f>
        <v>1.5714285714285714</v>
      </c>
      <c r="M51" s="25" t="s">
        <v>556</v>
      </c>
      <c r="N51" s="25" t="str">
        <v>My second custom blend</v>
      </c>
      <c r="O51" s="25">
        <v>46</v>
      </c>
      <c r="P51" s="25">
        <v>1000</v>
      </c>
      <c r="Q51" s="25">
        <f t="shared" si="2"/>
        <v>46000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2" spans="1:24" ht="20.100000000000001" customHeight="1" x14ac:dyDescent="0.25">
      <c r="A52" s="5" t="str">
        <f>HYPERLINK("#'Constants - Electricity'!A1", "Constants - Electricity")</f>
        <v>Constants - Electricity</v>
      </c>
      <c r="D52" s="118" t="str">
        <v>j</v>
      </c>
      <c r="E52" s="119" t="str">
        <v>Production system</v>
      </c>
      <c r="F52" s="165"/>
      <c r="G52" s="118" t="str">
        <v/>
      </c>
      <c r="H52" s="106" t="str">
        <v>Input</v>
      </c>
      <c r="I52" s="118" t="str">
        <f>X_Cell_Fertiliser_ProductionSystem</f>
        <v>Pasture</v>
      </c>
      <c r="M52" s="25" t="s">
        <v>556</v>
      </c>
      <c r="N52" s="25" t="str">
        <v>My third custom blend</v>
      </c>
      <c r="O52" s="25">
        <v>41.174999999999997</v>
      </c>
      <c r="P52" s="25">
        <v>1000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5.8999999999999999E-3</v>
      </c>
    </row>
    <row r="53" spans="1:24" ht="20.100000000000001" customHeight="1" x14ac:dyDescent="0.25">
      <c r="A53" s="5" t="str">
        <f>HYPERLINK("#'Constants - Fertiliser'!A1", "Constants - Fertiliser")</f>
        <v>Constants - Fertiliser</v>
      </c>
      <c r="D53" s="118" t="str">
        <v>f</v>
      </c>
      <c r="E53" s="119" t="str">
        <v>Inorganic fertiliser type</v>
      </c>
      <c r="F53" s="165"/>
      <c r="G53" s="118" t="str">
        <v/>
      </c>
      <c r="H53" s="107" t="str">
        <v>Constant</v>
      </c>
      <c r="I53" s="118" t="str">
        <f>"See " &amp; D57</f>
        <v>See M1_Table_E_N2O</v>
      </c>
      <c r="M53" s="25" t="s">
        <v>556</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s="5" t="str">
        <f>HYPERLINK("#'Constants - Fuel'!A1", "Constants - Fuel")</f>
        <v>Constants - Fuel</v>
      </c>
      <c r="D54" s="118" t="str">
        <v>ir</v>
      </c>
      <c r="E54" s="119" t="str">
        <v>irrigation method</v>
      </c>
      <c r="F54" s="165"/>
      <c r="G54" s="118" t="str">
        <v/>
      </c>
      <c r="H54" s="106" t="str">
        <v>Input</v>
      </c>
      <c r="I54" s="118" t="str">
        <f>X_Cell_Fertiliser_IrrigationMethod</f>
        <v>Surface irrigation</v>
      </c>
      <c r="M54" s="25" t="s">
        <v>556</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s="5" t="str">
        <f>HYPERLINK("#'Constants - Scope 3'!A1", "Constants - Scope 3")</f>
        <v>Constants - Scope 3</v>
      </c>
      <c r="D55" s="118" t="str">
        <v>z</v>
      </c>
      <c r="E55" s="119" t="str">
        <v>rainfall zone</v>
      </c>
      <c r="F55" s="165"/>
      <c r="G55" s="118" t="str">
        <v/>
      </c>
      <c r="H55" s="106" t="str">
        <v>Input</v>
      </c>
      <c r="I55" s="118" t="str">
        <f>X_Cell_Site_RainfallZone</f>
        <v>High rainfall</v>
      </c>
    </row>
    <row r="56" spans="1:24" ht="20.100000000000001" customHeight="1" x14ac:dyDescent="0.25">
      <c r="A56" s="5" t="str">
        <f>HYPERLINK("#'Constants - Common'!A1", "Constants - Common")</f>
        <v>Constants - Common</v>
      </c>
      <c r="F56" s="26"/>
    </row>
    <row r="57" spans="1:24" ht="20.100000000000001" customHeight="1" x14ac:dyDescent="0.25">
      <c r="A57" s="5" t="str">
        <f>HYPERLINK("#'Acknowledgements'!A1", "Acknowledgements")</f>
        <v>Acknowledgements</v>
      </c>
      <c r="D57" s="109" t="s">
        <v>557</v>
      </c>
      <c r="F57" s="26"/>
      <c r="L57" s="114"/>
      <c r="M57" s="114"/>
      <c r="N57" s="114"/>
      <c r="O57" s="114"/>
      <c r="P57" s="114"/>
      <c r="Q57" s="114"/>
      <c r="R57" s="114"/>
      <c r="S57" s="114"/>
      <c r="T57" s="114"/>
      <c r="U57" s="114"/>
      <c r="V57" s="114"/>
      <c r="W57" s="114"/>
      <c r="X57" s="114"/>
    </row>
    <row r="58" spans="1:24" ht="20.100000000000001" customHeight="1" x14ac:dyDescent="0.25">
      <c r="A58" s="5" t="str">
        <f>HYPERLINK("#'Constants - Solid Waste'!A1", "Constants - Solid Waste")</f>
        <v>Constants - Solid Waste</v>
      </c>
      <c r="D58" s="110" t="s">
        <v>558</v>
      </c>
      <c r="F58" s="26"/>
      <c r="M58" s="2"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D59" s="111" t="s">
        <v>536</v>
      </c>
      <c r="E59" s="111" t="s">
        <v>559</v>
      </c>
      <c r="M59" s="27" t="str" cm="1">
        <f t="array" ref="M59">Fertiliser_Equations_InorganicN2O.VEERG_5_1_1_1__1_InorganicFertiliserApplicationN2OEmissions_Source()</f>
        <v>VEERG 2026: 5.1.1.1, Equation (1)</v>
      </c>
    </row>
    <row r="60" spans="1: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0" t="s">
        <v>259</v>
      </c>
      <c r="N60" s="100" t="str" cm="1">
        <f t="array" aca="1" ref="N60" ca="1">Common_InputFunctions.Utility_DisplayFunctionName($E$60)</f>
        <v>=Fertiliser_Equations_InorganicN2O.VEERG_5_1_1_1__1_InorganicFertiliserApplicationN2OEmissions</v>
      </c>
    </row>
    <row r="61" spans="1:24" ht="20.100000000000001" customHeight="1" x14ac:dyDescent="0.25">
      <c r="D61" s="25" t="str">
        <v>Diammonium phosphate (DAP)</v>
      </c>
      <c r="E61" s="25" cm="1">
        <f t="array" ref="E61">Fertiliser_Equations_InorganicN2O.VEERG_5_1_1_1__1_InorganicFertiliserApplicationN2OEmissions(G20,$I$50,$I$51)</f>
        <v>0</v>
      </c>
    </row>
    <row r="62" spans="1:24" ht="20.100000000000001" customHeight="1" x14ac:dyDescent="0.25">
      <c r="D62" s="25" t="str">
        <v>Urea</v>
      </c>
      <c r="E62" s="25" cm="1">
        <f t="array" ref="E62">Fertiliser_Equations_InorganicN2O.VEERG_5_1_1_1__1_InorganicFertiliserApplicationN2OEmissions(G21,$I$50,$I$51)</f>
        <v>0.4264857142857143</v>
      </c>
    </row>
    <row r="63" spans="1:24" ht="20.100000000000001" customHeight="1" x14ac:dyDescent="0.25">
      <c r="D63" s="25" t="str">
        <v>Sulphate of ammonia (SOA)</v>
      </c>
      <c r="E63" s="25" cm="1">
        <f t="array" ref="E63">Fertiliser_Equations_InorganicN2O.VEERG_5_1_1_1__1_InorganicFertiliserApplicationN2OEmissions(G22,$I$50,$I$51)</f>
        <v>0</v>
      </c>
    </row>
    <row r="64" spans="1:24" ht="20.100000000000001" customHeight="1" x14ac:dyDescent="0.25">
      <c r="D64" s="25" t="str">
        <v>Urea-ammonium nitrate (UAN)</v>
      </c>
      <c r="E64" s="25" cm="1">
        <f t="array" ref="E64">Fertiliser_Equations_InorganicN2O.VEERG_5_1_1_1__1_InorganicFertiliserApplicationN2OEmissions(G23,$I$50,$I$51)</f>
        <v>0</v>
      </c>
      <c r="M64" s="88" t="s">
        <v>261</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131</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18" t="str" cm="1">
        <f t="array" ref="M67:N74">_xlfn.CHOOSECOLS(Fertiliser_Equations_InorganicN2O.VEERG_5_1_1_1__1_InorganicFertiliserApplicationN2OEmissions_Arguments_Method2(), 1, 2)</f>
        <v>MN_jf</v>
      </c>
      <c r="N67" s="119" t="str">
        <v>mass of nitrogen in inorganic fertiliser type f applied to production system j</v>
      </c>
      <c r="O67" s="165"/>
      <c r="P67" s="168"/>
      <c r="Q67" s="118" t="str" cm="1">
        <f t="array" ref="Q67:R74">_xlfn.CHOOSECOLS(Fertiliser_Equations_InorganicN2O.VEERG_5_1_1_1__1_InorganicFertiliserApplicationN2OEmissions_Arguments_Method2(), 3,4)</f>
        <v>kg N</v>
      </c>
      <c r="R67" s="107" t="str">
        <v>Calculated from 5.1.1.1 (2)</v>
      </c>
      <c r="S67" s="108"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0.18357428571428572</v>
      </c>
      <c r="M68" s="118" t="str">
        <v>EF_jN2O</v>
      </c>
      <c r="N68" s="119" t="str">
        <v>emission factor for nitrous oxide for inorganic fertilisers</v>
      </c>
      <c r="O68" s="165"/>
      <c r="P68" s="168"/>
      <c r="Q68" s="118" t="str">
        <v>kg N2O-N/kg N applied</v>
      </c>
      <c r="R68" s="107" t="str">
        <v>Calculated from 5.1.1.2 (1)(2)(3)</v>
      </c>
      <c r="S68" s="118"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0.14252039999999999</v>
      </c>
      <c r="M69" s="118" t="str">
        <v>C_N2O</v>
      </c>
      <c r="N69" s="119" t="str">
        <v>factor to convert elemental mass of nitrous oxide to molecular mass</v>
      </c>
      <c r="O69" s="165"/>
      <c r="P69" s="168"/>
      <c r="Q69" s="118" t="str">
        <v/>
      </c>
      <c r="R69" s="107" t="str">
        <v>Constant</v>
      </c>
      <c r="S69" s="118">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18" t="str">
        <v>j</v>
      </c>
      <c r="N70" s="119" t="str">
        <v>Production system</v>
      </c>
      <c r="O70" s="165"/>
      <c r="P70" s="168"/>
      <c r="Q70" s="118" t="str">
        <v/>
      </c>
      <c r="R70" s="106" t="str">
        <v>Input</v>
      </c>
      <c r="S70" s="118" t="str">
        <f>X_Cell_Fertiliser_ProductionSystem</f>
        <v>Pasture</v>
      </c>
    </row>
    <row r="71" spans="4:19" ht="20.100000000000001" customHeight="1" x14ac:dyDescent="0.25">
      <c r="D71" s="25" t="str">
        <v>Potassium - Generic</v>
      </c>
      <c r="E71" s="25" cm="1">
        <f t="array" ref="E71">Fertiliser_Equations_InorganicN2O.VEERG_5_1_1_1__1_InorganicFertiliserApplicationN2OEmissions(G30,$I$50,$I$51)</f>
        <v>0</v>
      </c>
      <c r="M71" s="118" t="str">
        <v>c</v>
      </c>
      <c r="N71" s="119" t="str">
        <v>Crop type</v>
      </c>
      <c r="O71" s="165"/>
      <c r="P71" s="168"/>
      <c r="Q71" s="118" t="str">
        <v/>
      </c>
      <c r="R71" s="106" t="str">
        <v>Input</v>
      </c>
      <c r="S71" s="118" t="str">
        <f>X_Cell_Fertiliser_CropType</f>
        <v>Pasture</v>
      </c>
    </row>
    <row r="72" spans="4:19" ht="20.100000000000001" customHeight="1" x14ac:dyDescent="0.25">
      <c r="D72" s="25" t="str">
        <v>Sulfur - Generic</v>
      </c>
      <c r="E72" s="25" cm="1">
        <f t="array" ref="E72">Fertiliser_Equations_InorganicN2O.VEERG_5_1_1_1__1_InorganicFertiliserApplicationN2OEmissions(G31,$I$50,$I$51)</f>
        <v>0</v>
      </c>
      <c r="M72" s="118" t="str">
        <v>f</v>
      </c>
      <c r="N72" s="119" t="str">
        <v>Inorganic fertiliser type</v>
      </c>
      <c r="O72" s="165"/>
      <c r="P72" s="168"/>
      <c r="Q72" s="118" t="str">
        <v/>
      </c>
      <c r="R72" s="107" t="str">
        <v>Constant</v>
      </c>
      <c r="S72" s="118" t="s">
        <v>560</v>
      </c>
    </row>
    <row r="73" spans="4:19" ht="20.100000000000001" customHeight="1" x14ac:dyDescent="0.25">
      <c r="D73" s="25" t="str">
        <v>Zinc - Generic</v>
      </c>
      <c r="E73" s="25" cm="1">
        <f t="array" ref="E73">Fertiliser_Equations_InorganicN2O.VEERG_5_1_1_1__1_InorganicFertiliserApplicationN2OEmissions(G32,$I$50,$I$51)</f>
        <v>0</v>
      </c>
      <c r="M73" s="118" t="str">
        <v>ir</v>
      </c>
      <c r="N73" s="119" t="str">
        <v>irrigation method</v>
      </c>
      <c r="O73" s="165"/>
      <c r="P73" s="168"/>
      <c r="Q73" s="118" t="str">
        <v/>
      </c>
      <c r="R73" s="106" t="str">
        <v>Input</v>
      </c>
      <c r="S73" s="118" t="str">
        <f>X_Cell_Fertiliser_IrrigationMethod</f>
        <v>Surface irrigation</v>
      </c>
    </row>
    <row r="74" spans="4:19" ht="20.100000000000001" customHeight="1" x14ac:dyDescent="0.25">
      <c r="D74" s="25" t="str">
        <v>Muriate of potash (MOP)</v>
      </c>
      <c r="E74" s="25" cm="1">
        <f t="array" ref="E74">Fertiliser_Equations_InorganicN2O.VEERG_5_1_1_1__1_InorganicFertiliserApplicationN2OEmissions(G33,$I$50,$I$51)</f>
        <v>0</v>
      </c>
      <c r="M74" s="119" t="str">
        <v>z</v>
      </c>
      <c r="N74" s="119" t="str">
        <v>rainfall zone</v>
      </c>
      <c r="O74" s="165"/>
      <c r="P74" s="165"/>
      <c r="Q74" s="118" t="str">
        <v/>
      </c>
      <c r="R74" s="106" t="str">
        <v>Input</v>
      </c>
      <c r="S74" s="118"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1" t="s">
        <v>548</v>
      </c>
      <c r="N76" s="111" t="s">
        <v>548</v>
      </c>
      <c r="O76" s="111" t="s">
        <v>561</v>
      </c>
      <c r="P76" s="111" t="s">
        <v>559</v>
      </c>
    </row>
    <row r="77" spans="4:19" ht="20.100000000000001" customHeight="1" x14ac:dyDescent="0.25">
      <c r="D77" s="25" t="str">
        <v>Ammonia</v>
      </c>
      <c r="E77" s="25" cm="1">
        <f t="array" ref="E77">Fertiliser_Equations_InorganicN2O.VEERG_5_1_1_1__1_InorganicFertiliserApplicationN2OEmissions(G36,$I$50,$I$51)</f>
        <v>0.38175107142857145</v>
      </c>
      <c r="M77" s="25" t="s">
        <v>555</v>
      </c>
      <c r="N77" s="25" t="str" cm="1">
        <f t="array" ref="N77:N81">Table_Input_InorganicFertiliser_Brands[Product (select)]</f>
        <v>Aqua Finish</v>
      </c>
      <c r="O77" s="25" cm="1">
        <f t="array" ref="O77">_xlfn.XLOOKUP(N77,$N$45:$N$54,_xlfn.XLOOKUP($S$68,$R$44:$W$44,$R$45:$W$54), "")</f>
        <v>5.8999999999999999E-3</v>
      </c>
      <c r="P77" s="25" cm="1">
        <f t="array" ref="P77">Fertiliser_Equations_InorganicN2O.VEERG_5_1_1_1__1_InorganicFertiliserApplicationN2OEmissions(Q45,O77,$S$69)</f>
        <v>3.0373199999999996E-2</v>
      </c>
    </row>
    <row r="78" spans="4:19" ht="20.100000000000001" customHeight="1" x14ac:dyDescent="0.25">
      <c r="D78" s="25" t="str">
        <v>Calcium nitrate</v>
      </c>
      <c r="E78" s="25" cm="1">
        <f t="array" ref="E78">Fertiliser_Equations_InorganicN2O.VEERG_5_1_1_1__1_InorganicFertiliserApplicationN2OEmissions(G37,$I$50,$I$51)</f>
        <v>7.1853571428571433E-2</v>
      </c>
      <c r="M78" s="25" t="s">
        <v>555</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555</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5" t="s">
        <v>562</v>
      </c>
      <c r="E80" s="116">
        <f>SUM(E60:E78)</f>
        <v>1.206185042857143</v>
      </c>
      <c r="F80" s="117" t="str">
        <f>$E$47</f>
        <v>t N2O</v>
      </c>
      <c r="M80" s="25" t="s">
        <v>555</v>
      </c>
      <c r="N80" s="25" t="str">
        <v>Aqua Grow</v>
      </c>
      <c r="O80" s="25" cm="1">
        <f t="array" ref="O80">_xlfn.XLOOKUP(N80,$N$45:$N$54,_xlfn.XLOOKUP($S$68,$R$44:$W$44,$R$45:$W$54))</f>
        <v>5.8999999999999999E-3</v>
      </c>
      <c r="P80" s="25" cm="1">
        <f t="array" ref="P80">Fertiliser_Equations_InorganicN2O.VEERG_5_1_1_1__1_InorganicFertiliserApplicationN2OEmissions(Q48,O80,$S$69)</f>
        <v>0.1121472</v>
      </c>
    </row>
    <row r="81" spans="4:16" ht="20.100000000000001" customHeight="1" x14ac:dyDescent="0.25">
      <c r="M81" s="25" t="s">
        <v>555</v>
      </c>
      <c r="N81" s="25" t="str">
        <v>Aqua NitroCal</v>
      </c>
      <c r="O81" s="25" cm="1">
        <f t="array" ref="O81">_xlfn.XLOOKUP(N81,$N$45:$N$54,_xlfn.XLOOKUP($S$68,$R$44:$W$44,$R$45:$W$54))</f>
        <v>5.8999999999999999E-3</v>
      </c>
      <c r="P81" s="25" cm="1">
        <f t="array" ref="P81">Fertiliser_Equations_InorganicN2O.VEERG_5_1_1_1__1_InorganicFertiliserApplicationN2OEmissions(Q49,O81,$S$69)</f>
        <v>0.18357428571428572</v>
      </c>
    </row>
    <row r="82" spans="4:16" ht="20.100000000000001" customHeight="1" x14ac:dyDescent="0.25">
      <c r="D82" s="118" t="str" cm="1">
        <f t="array" ref="D82:E83">Common_Equations.Common_ConvertN2OToCO2e_Arguments()</f>
        <v>EN2O</v>
      </c>
      <c r="E82" s="119" t="str">
        <v>Nitrous oxide emissions (t N2O)</v>
      </c>
      <c r="F82" s="120"/>
      <c r="G82" s="25">
        <f>VEERG_5_1_1_1__1_InorganicFertiliserApplicationN2OEmissions_Result_Method1</f>
        <v>1.206185042857143</v>
      </c>
      <c r="M82" s="25" t="s">
        <v>556</v>
      </c>
      <c r="N82" s="25" t="str" cm="1">
        <f t="array" ref="N82:N84">Table_Input_InorganicFertiliser_Custom[Custom blend name]</f>
        <v>My first custom blend</v>
      </c>
      <c r="O82" s="25" cm="1">
        <f t="array" ref="O82">_xlfn.XLOOKUP(N82,$N$45:$N$54,_xlfn.XLOOKUP($S$68,$R$44:$W$44,$R$45:$W$54))</f>
        <v>5.8999999999999999E-3</v>
      </c>
      <c r="P82" s="25" cm="1">
        <f t="array" ref="P82">Fertiliser_Equations_InorganicN2O.VEERG_5_1_1_1__1_InorganicFertiliserApplicationN2OEmissions(Q50,O82,$S$69)</f>
        <v>7.1853571428571433E-2</v>
      </c>
    </row>
    <row r="83" spans="4:16" ht="20.100000000000001" customHeight="1" x14ac:dyDescent="0.25">
      <c r="D83" s="118" t="str">
        <v>GWPN2O</v>
      </c>
      <c r="E83" s="119" t="str">
        <v>Global warming potential for nitrous oxide (t CO2-e / t N2O)</v>
      </c>
      <c r="F83" s="120"/>
      <c r="G83" s="25">
        <f>Common_InputFunctions.Utility_LookupValueInTableNumber("N2O",Table_GWPData[Gas],Table_GWPData[CO2-e factor])</f>
        <v>265</v>
      </c>
      <c r="M83" s="25" t="s">
        <v>556</v>
      </c>
      <c r="N83" s="25" t="str">
        <v>My second custom blend</v>
      </c>
      <c r="O83" s="25" cm="1">
        <f t="array" ref="O83">_xlfn.XLOOKUP(N83,$N$45:$N$54,_xlfn.XLOOKUP($S$68,$R$44:$W$44,$R$45:$W$54))</f>
        <v>5.8999999999999999E-3</v>
      </c>
      <c r="P83" s="25" cm="1">
        <f t="array" ref="P83">Fertiliser_Equations_InorganicN2O.VEERG_5_1_1_1__1_InorganicFertiliserApplicationN2OEmissions(Q51,O83,$S$69)</f>
        <v>0.4264857142857143</v>
      </c>
    </row>
    <row r="84" spans="4:16" ht="20.100000000000001" customHeight="1" x14ac:dyDescent="0.25">
      <c r="M84" s="25" t="s">
        <v>556</v>
      </c>
      <c r="N84" s="25" t="str">
        <v>My third custom blend</v>
      </c>
      <c r="O84" s="25" cm="1">
        <f t="array" ref="O84">_xlfn.XLOOKUP(N84,$N$45:$N$54,_xlfn.XLOOKUP($S$68,$R$44:$W$44,$R$45:$W$54))</f>
        <v>5.8999999999999999E-3</v>
      </c>
      <c r="P84" s="25" cm="1">
        <f t="array" ref="P84">Fertiliser_Equations_InorganicN2O.VEERG_5_1_1_1__1_InorganicFertiliserApplicationN2OEmissions(Q52,O84,$S$69)</f>
        <v>0.38175107142857145</v>
      </c>
    </row>
    <row r="85" spans="4:16" ht="20.100000000000001" customHeight="1" x14ac:dyDescent="0.25">
      <c r="D85" s="114" t="s">
        <v>323</v>
      </c>
      <c r="E85" s="114" cm="1">
        <f t="array" ref="E85">Common_Equations.Common_ConvertN2OToCO2e(G82,G83)</f>
        <v>319.63903635714291</v>
      </c>
      <c r="F85" s="121" t="str" cm="1">
        <f t="array" ref="F85">Common_Equations.Common_ConvertN2OToCO2e_Unit()</f>
        <v>t CO2e</v>
      </c>
      <c r="M85" s="25" t="s">
        <v>556</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556</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5" t="s">
        <v>562</v>
      </c>
      <c r="N88" s="116">
        <f>SUM(P77:P86)</f>
        <v>1.2061850428571428</v>
      </c>
      <c r="O88" s="117" t="str">
        <f>$E$47</f>
        <v>t N2O</v>
      </c>
    </row>
    <row r="89" spans="4:16" ht="20.100000000000001" customHeight="1" x14ac:dyDescent="0.25"/>
    <row r="90" spans="4:16" ht="20.100000000000001" customHeight="1" x14ac:dyDescent="0.25">
      <c r="M90" s="118" t="str" cm="1">
        <f t="array" ref="M90:N91">Common_Equations.Common_ConvertN2OToCO2e_Arguments()</f>
        <v>EN2O</v>
      </c>
      <c r="N90" s="119" t="str">
        <v>Nitrous oxide emissions (t N2O)</v>
      </c>
      <c r="O90" s="120"/>
      <c r="P90" s="25">
        <f>VEERG_5_1_1_1__1_InorganicFertiliserApplicationN2OEmissions_Result_Method2</f>
        <v>1.2061850428571428</v>
      </c>
    </row>
    <row r="91" spans="4:16" ht="20.100000000000001" customHeight="1" x14ac:dyDescent="0.25">
      <c r="M91" s="118" t="str">
        <v>GWPN2O</v>
      </c>
      <c r="N91" s="119" t="str">
        <v>Global warming potential for nitrous oxide (t CO2-e / t N2O)</v>
      </c>
      <c r="O91" s="120"/>
      <c r="P91" s="25">
        <f>Common_InputFunctions.Utility_LookupValueInTableNumber("N2O",Table_GWPData[Gas],Table_GWPData[CO2-e factor])</f>
        <v>265</v>
      </c>
    </row>
    <row r="92" spans="4:16" ht="20.100000000000001" customHeight="1" x14ac:dyDescent="0.25"/>
    <row r="93" spans="4:16" ht="20.100000000000001" customHeight="1" x14ac:dyDescent="0.25">
      <c r="M93" s="114" t="s">
        <v>323</v>
      </c>
      <c r="N93" s="114" cm="1">
        <f t="array" ref="N93">Common_Equations.Common_ConvertN2OToCO2e(P90,P91)</f>
        <v>319.63903635714286</v>
      </c>
      <c r="O93" s="121"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B954F7F9-504A-4FA1-A0D4-DACAB41AEE58}"/>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6242-9287-458A-A981-F16C00C58EAD}">
  <dimension ref="A1:U165"/>
  <sheetViews>
    <sheetView showGridLines="0" topLeftCell="A51"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563</v>
      </c>
    </row>
    <row r="2" spans="1:21" s="3" customFormat="1" ht="20.100000000000001" customHeight="1" x14ac:dyDescent="0.25">
      <c r="A2"/>
    </row>
    <row r="3" spans="1:21" ht="20.100000000000001" customHeight="1" x14ac:dyDescent="0.25">
      <c r="A3" s="5" t="str">
        <f>HYPERLINK("#'Home'!A1", "Home")</f>
        <v>Home</v>
      </c>
      <c r="C3" s="33"/>
      <c r="D3" s="33" t="s">
        <v>148</v>
      </c>
      <c r="E3" s="33"/>
      <c r="F3" s="33"/>
      <c r="G3" s="33"/>
      <c r="H3" s="33"/>
      <c r="I3" s="33"/>
      <c r="J3" s="33"/>
      <c r="K3" s="33"/>
      <c r="L3" s="33"/>
      <c r="N3" s="33"/>
      <c r="O3" s="33" t="s">
        <v>149</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D7" s="100" t="s">
        <v>259</v>
      </c>
      <c r="E7" s="100"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261</v>
      </c>
      <c r="E10" s="1" t="str" cm="1">
        <f t="array" ref="E10">Fertiliser_Equations_InorganicCO2.VEERG_5_1_1_3__2_MassOfUreaInInorganicFertiliser_Variable()</f>
        <v>MU_jf</v>
      </c>
    </row>
    <row r="11" spans="1:21" ht="20.100000000000001" customHeight="1" x14ac:dyDescent="0.25">
      <c r="A11" s="5" t="str">
        <f>HYPERLINK("#'Input - Pasture Beef'!A1", "Pasture Beef")</f>
        <v>Pasture Beef</v>
      </c>
      <c r="D11" s="88" t="s">
        <v>131</v>
      </c>
      <c r="E11" s="15" t="str" cm="1">
        <f t="array" ref="E11">Fertiliser_Equations_InorganicCO2.VEERG_5_1_1_3__2_MassOfUreaInInorganicFertiliser_Unit()</f>
        <v>kg urea</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18" t="str" cm="1">
        <f t="array" ref="D13:E14">_xlfn.CHOOSECOLS(Fertiliser_Equations_InorganicCO2.VEERG_5_1_1_3__2_MassOfUreaInInorganicFertiliser_Arguments(), 1, 2)</f>
        <v>TM_jf</v>
      </c>
      <c r="E13" s="119" t="str">
        <v>total mass of inorganic fertiliser type f applied to production system j</v>
      </c>
      <c r="F13" s="168"/>
      <c r="G13" s="118" t="str" cm="1">
        <f t="array" ref="G13:H14">_xlfn.CHOOSECOLS(Fertiliser_Equations_InorganicCO2.VEERG_5_1_1_3__2_MassOfUreaInInorganicFertiliser_Arguments(), 3, 4)</f>
        <v>kg</v>
      </c>
      <c r="H13" s="106" t="str">
        <v>Input</v>
      </c>
      <c r="I13" s="108" t="str" cm="1">
        <f t="array" aca="1" ref="I13" ca="1">HYPERLINK(Common_InputFunctions.Utility_SourceHyperlink($D$16), $D$16)</f>
        <v>Table_MU_j_f</v>
      </c>
    </row>
    <row r="14" spans="1:21" ht="20.100000000000001" customHeight="1" x14ac:dyDescent="0.25">
      <c r="A14" s="5" t="str">
        <f>HYPERLINK("#'Input - Beef cattle purchases'!A1", "Beef cattle purchases")</f>
        <v>Beef cattle purchases</v>
      </c>
      <c r="D14" s="118" t="str">
        <v>FU_f</v>
      </c>
      <c r="E14" s="119" t="str">
        <v>fraction of urea in fertiliser type f</v>
      </c>
      <c r="F14" s="168"/>
      <c r="G14" s="118" t="str">
        <v>kg urea/kg</v>
      </c>
      <c r="H14" s="107" t="str">
        <v>Lookup</v>
      </c>
      <c r="I14" s="108" t="str" cm="1">
        <f t="array" aca="1" ref="I14" ca="1">HYPERLINK(Common_InputFunctions.Utility_SourceHyperlink($D$16), $D$16)</f>
        <v>Table_MU_j_f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09" t="s">
        <v>564</v>
      </c>
    </row>
    <row r="17" spans="1:7" ht="20.100000000000001" customHeight="1" x14ac:dyDescent="0.25">
      <c r="A17" s="5" t="str">
        <f>HYPERLINK("#'Input - Fertiliser'!A1", "Fertiliser")</f>
        <v>Fertiliser</v>
      </c>
      <c r="D17" s="110" t="s">
        <v>565</v>
      </c>
    </row>
    <row r="18" spans="1:7" ht="20.100000000000001" customHeight="1" x14ac:dyDescent="0.25">
      <c r="A18" s="5" t="str">
        <f>HYPERLINK("#'Input - Fuel'!A1", "Fuel")</f>
        <v>Fuel</v>
      </c>
      <c r="D18" s="111" t="s">
        <v>536</v>
      </c>
      <c r="E18" s="112" t="s">
        <v>537</v>
      </c>
      <c r="F18" s="111" t="s">
        <v>566</v>
      </c>
      <c r="G18" s="111" t="s">
        <v>567</v>
      </c>
    </row>
    <row r="19" spans="1:7" ht="20.100000000000001" customHeight="1" x14ac:dyDescent="0.25">
      <c r="A19" s="5" t="str">
        <f>HYPERLINK("#'Input - Electricity'!A1", "Electricity")</f>
        <v>Electricity</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HYPERLINK("#'Input - Farm Inputs'!A1", "Farm Inputs")</f>
        <v>Farm Inputs</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HYPERLINK("#'Input - Freight'!A1", "Freight")</f>
        <v>Freight</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100000</v>
      </c>
    </row>
    <row r="22" spans="1:7" ht="20.100000000000001" customHeight="1" x14ac:dyDescent="0.25">
      <c r="A22" s="5" t="str">
        <f>HYPERLINK("#'Input - Manure sent off-site'!A1", "Manure sent off-site")</f>
        <v>Manure sent off-site</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HYPERLINK("#'Input - Solid waste'!A1", "Solid waste")</f>
        <v>Solid waste</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6" t="s">
        <v>2</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HYPERLINK("#'3.2.1.1-2 Enteric Methane'!A1", "3.2.1.1-2 Enteric methane")</f>
        <v>3.2.1.1-2 Enteric methane</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HYPERLINK("#'4.2.1.1-2 Methane'!A1", "4.2.1.1-2 Manure methane")</f>
        <v>4.2.1.1-2 Manure methane</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19368.72</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HYPERLINK("#'4.2.1.3-4 Soil direct N20'!A1", "4.2.1.3-4 Soil direct N2O")</f>
        <v>4.2.1.3-4 Soil direct N2O</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58871.475000000006</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HYPERLINK("#'4.2.1.5-6 Soil Atmos Dep'!A1", "4.2.1.5-6 Soil atm. deposition")</f>
        <v>4.2.1.5-6 Soil atm. deposition</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HYPERLINK("#'4.2.1.7-8 Soil leach runoff'!A1", "4.2.1.7-8 Soil leach &amp; runoff")</f>
        <v>4.2.1.7-8 Soil leach &amp; runoff</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HYPERLINK("#'5.1.1.1-2 Inorganic fert N2O'!A1", "5.1.1.1-2 Inorganic fert N2O")</f>
        <v>5.1.1.1-2 Inorganic fert N2O</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101" t="str">
        <f>HYPERLINK("#'5.1.1.3-4 Inorganic fert CO2'!A1", "5.1.1.3-4 Inorganic fert CO2")</f>
        <v>5.1.1.3-4 Inorganic fert CO2</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HYPERLINK("#'5.2.1.1-2 Organic Fert N2O'!A1", "5.2.1.1-2 Organic fert N2O")</f>
        <v>5.2.1.1-2 Organic fert N2O</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A35" s="5" t="str">
        <f>HYPERLINK("#'5.3.1.1-2 Lime CO2'!A1", "5.3.1.1-2 Lime CO2")</f>
        <v>5.3.1.1-2 Lime CO2</v>
      </c>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A36" s="5" t="str">
        <f>HYPERLINK("#'5.4.1.1-4 Atmos deposition'!A1", "5.4.1.1-4 Atmos. deposition")</f>
        <v>5.4.1.1-4 Atmos. deposition</v>
      </c>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5" t="str">
        <f>HYPERLINK("#'5.5.1.1-2 Leaching and runoff'!A1", "5.5.1.1-2 Leaching &amp; runoff")</f>
        <v>5.5.1.1-2 Leaching &amp; runoff</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HYPERLINK("#'6.2.1.1-2 Pasture residue N2O'!A1", "6.2.1.1-2 Pasture residue N2O")</f>
        <v>6.2.1.1-2 Pasture residue N2O</v>
      </c>
    </row>
    <row r="39" spans="1:12" ht="20.100000000000001" customHeight="1" x14ac:dyDescent="0.25">
      <c r="A39" s="5" t="str">
        <f>HYPERLINK("#'6.3.1.1-2 Leach runoff pasture'!A1", "6.3.1.1-2 Leach &amp; runoff (pasture)")</f>
        <v>6.3.1.1-2 Leach &amp; runoff (pasture)</v>
      </c>
    </row>
    <row r="40" spans="1:12" ht="20.100000000000001" customHeight="1" x14ac:dyDescent="0.25">
      <c r="A40" s="5" t="str">
        <f>HYPERLINK("#'8.1.1.1-2 Transport fuel'!A1", "8.1.1.1-2 Transport fuel")</f>
        <v>8.1.1.1-2 Transport fuel</v>
      </c>
      <c r="C40" s="114"/>
      <c r="D40" s="114"/>
      <c r="E40" s="114"/>
      <c r="F40" s="114"/>
      <c r="G40" s="114"/>
      <c r="H40" s="114"/>
      <c r="I40" s="114"/>
      <c r="J40" s="114"/>
      <c r="K40" s="114"/>
      <c r="L40" s="114"/>
    </row>
    <row r="41" spans="1:12" ht="20.100000000000001" customHeight="1" x14ac:dyDescent="0.25">
      <c r="A41" s="5" t="str">
        <f>HYPERLINK("#'8.2.1.1-2 Stationary fuel'!A1", "8.2.1.1-2 Stationary fuel")</f>
        <v>8.2.1.1-2 Stationary fuel</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HYPERLINK("#'14.1.1-2 Purchased electricity'!A1", "14.1.1-2 Purchased electricity")</f>
        <v>14.1.1-2 Purchased electricity</v>
      </c>
      <c r="D42" s="27" t="str" cm="1">
        <f t="array" ref="D42">Fertiliser_Equations_InorganicCO2.VEERG_5_1_1_3__1_InorganicFertiliserApplicationCO2Emissions_Source()</f>
        <v>VEERG 2026: 5.1.1.3, Equation (1)</v>
      </c>
    </row>
    <row r="43" spans="1:12" ht="20.100000000000001" customHeight="1" x14ac:dyDescent="0.25">
      <c r="A43" s="5" t="str">
        <f>HYPERLINK("#'15 Scope 3'!A1", "15 Scope 3")</f>
        <v>15 Scope 3</v>
      </c>
      <c r="D43" s="100" t="s">
        <v>259</v>
      </c>
      <c r="E43" s="100"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HYPERLINK("#'Calcs - Manure sent off-site'!A1", "Calcs - Manure sent off-site")</f>
        <v>Calcs - Manure sent off-site</v>
      </c>
    </row>
    <row r="45" spans="1:12" ht="20.100000000000001" customHeight="1" x14ac:dyDescent="0.25">
      <c r="A45" s="5" t="str">
        <f>HYPERLINK("#'10.1.1-2 Solid waste treatment'!A1", "10.1.1-2 Solid waste treatment")</f>
        <v>10.1.1-2 Solid waste treatment</v>
      </c>
    </row>
    <row r="46" spans="1:12" ht="20.100000000000001" customHeight="1" x14ac:dyDescent="0.25">
      <c r="D46" s="88" t="s">
        <v>261</v>
      </c>
      <c r="E46" s="1" t="str" cm="1">
        <f t="array" ref="E46">Fertiliser_Equations_InorganicCO2.VEERG_5_1_1_3__1_InorganicFertiliserApplicationCO2Emissions_Variable()</f>
        <v>E_CO2</v>
      </c>
    </row>
    <row r="47" spans="1:12" ht="20.100000000000001" customHeight="1" x14ac:dyDescent="0.25">
      <c r="D47" s="88" t="s">
        <v>131</v>
      </c>
      <c r="E47" s="15" t="str" cm="1">
        <f t="array" ref="E47">Fertiliser_Equations_InorganicCO2.VEERG_5_1_1_3__1_InorganicFertiliserApplicationCO2Emissions_Unit()</f>
        <v>t CO2</v>
      </c>
    </row>
    <row r="48" spans="1:12" ht="20.100000000000001" customHeight="1" x14ac:dyDescent="0.25">
      <c r="A48" s="97" t="s">
        <v>1</v>
      </c>
    </row>
    <row r="49" spans="1:9" ht="20.100000000000001" customHeight="1" x14ac:dyDescent="0.25">
      <c r="A49" s="5" t="str">
        <f>HYPERLINK("#'Constants - Pasture Beef'!A1", "Constants - Pasture Beef")</f>
        <v>Constants - Pasture Beef</v>
      </c>
      <c r="D49" s="118" t="str" cm="1">
        <f t="array" ref="D49:E53">_xlfn.CHOOSECOLS(Fertiliser_Equations_InorganicCO2.VEERG_5_1_1_3__1_InorganicFertiliserApplicationCO2Emissions_Arguments(), 1, 2)</f>
        <v>MU_jf</v>
      </c>
      <c r="E49" s="119" t="str">
        <v>mass of urea of inorganic fertiliser type f applied to production system j</v>
      </c>
      <c r="F49" s="168"/>
      <c r="G49" s="118" t="str" cm="1">
        <f t="array" ref="G49:H53">_xlfn.CHOOSECOLS(Fertiliser_Equations_InorganicCO2.VEERG_5_1_1_3__1_InorganicFertiliserApplicationCO2Emissions_Arguments(), 3,4)</f>
        <v>kg urea</v>
      </c>
      <c r="H49" s="107" t="str">
        <v>Calculated</v>
      </c>
      <c r="I49" s="108" t="str" cm="1">
        <f t="array" aca="1" ref="I49" ca="1">HYPERLINK(Common_InputFunctions.Utility_SourceHyperlink($D$16), $D$16)</f>
        <v>Table_MU_j_f</v>
      </c>
    </row>
    <row r="50" spans="1:9" ht="20.100000000000001" customHeight="1" x14ac:dyDescent="0.25">
      <c r="A50" s="5" t="str">
        <f>HYPERLINK("#'Constants - Ag Residue'!A1", "Constants - Ag residue")</f>
        <v>Constants - Ag residue</v>
      </c>
      <c r="D50" s="118" t="str">
        <v>EF_ureaCO2</v>
      </c>
      <c r="E50" s="119" t="str">
        <v>emission factor for carbon emissions from urea-based fertilisers</v>
      </c>
      <c r="F50" s="168"/>
      <c r="G50" s="118" t="str">
        <v>kg C/kg urea</v>
      </c>
      <c r="H50" s="107" t="str">
        <v>Constant</v>
      </c>
      <c r="I50" s="118">
        <f>Fertiliser_EFUreaCO2_Data</f>
        <v>0.2</v>
      </c>
    </row>
    <row r="51" spans="1:9" ht="20.100000000000001" customHeight="1" x14ac:dyDescent="0.25">
      <c r="A51" s="5" t="str">
        <f>HYPERLINK("#'Constants - Common Livestock'!A1", "Constants - Common Livestock")</f>
        <v>Constants - Common Livestock</v>
      </c>
      <c r="D51" s="118" t="str">
        <v>C_CO2</v>
      </c>
      <c r="E51" s="119" t="str">
        <v>factor to convert elemental mass of carbon to molecular mass of carbon dioxide</v>
      </c>
      <c r="F51" s="168"/>
      <c r="G51" s="118" t="str">
        <v/>
      </c>
      <c r="H51" s="107" t="str">
        <v>Constant</v>
      </c>
      <c r="I51" s="118">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HYPERLINK("#'Constants - Electricity'!A1", "Constants - Electricity")</f>
        <v>Constants - Electricity</v>
      </c>
      <c r="D52" s="118" t="str">
        <v>j</v>
      </c>
      <c r="E52" s="119" t="str">
        <v>Production system</v>
      </c>
      <c r="F52" s="168"/>
      <c r="G52" s="118" t="str">
        <v/>
      </c>
      <c r="H52" s="106" t="str">
        <v>Input</v>
      </c>
      <c r="I52" s="118" t="str">
        <f>X_Cell_Fertiliser_ProductionSystem</f>
        <v>Pasture</v>
      </c>
    </row>
    <row r="53" spans="1:9" ht="20.100000000000001" customHeight="1" x14ac:dyDescent="0.25">
      <c r="A53" s="5" t="str">
        <f>HYPERLINK("#'Constants - Fertiliser'!A1", "Constants - Fertiliser")</f>
        <v>Constants - Fertiliser</v>
      </c>
      <c r="D53" s="118" t="str">
        <v>f</v>
      </c>
      <c r="E53" s="119" t="str">
        <v>Inorganic fertiliser type</v>
      </c>
      <c r="F53" s="168"/>
      <c r="G53" s="118" t="str">
        <v/>
      </c>
      <c r="H53" s="107" t="str">
        <v>Lookup</v>
      </c>
      <c r="I53" s="108" t="str" cm="1">
        <f t="array" aca="1" ref="I53" ca="1">HYPERLINK(Common_InputFunctions.Utility_SourceHyperlink($D$16), $D$16)</f>
        <v>Table_MU_j_f</v>
      </c>
    </row>
    <row r="54" spans="1:9" ht="20.100000000000001" customHeight="1" x14ac:dyDescent="0.25">
      <c r="A54" s="5" t="str">
        <f>HYPERLINK("#'Constants - Fuel'!A1", "Constants - Fuel")</f>
        <v>Constants - Fuel</v>
      </c>
    </row>
    <row r="55" spans="1:9" ht="20.100000000000001" customHeight="1" x14ac:dyDescent="0.25">
      <c r="A55" s="5" t="str">
        <f>HYPERLINK("#'Constants - Scope 3'!A1", "Constants - Scope 3")</f>
        <v>Constants - Scope 3</v>
      </c>
      <c r="D55" s="109" t="s">
        <v>568</v>
      </c>
    </row>
    <row r="56" spans="1:9" ht="20.100000000000001" customHeight="1" x14ac:dyDescent="0.25">
      <c r="A56" s="5" t="str">
        <f>HYPERLINK("#'Constants - Common'!A1", "Constants - Common")</f>
        <v>Constants - Common</v>
      </c>
      <c r="D56" s="110" t="s">
        <v>569</v>
      </c>
    </row>
    <row r="57" spans="1:9" ht="20.100000000000001" customHeight="1" x14ac:dyDescent="0.25">
      <c r="A57" s="5" t="str">
        <f>HYPERLINK("#'Acknowledgements'!A1", "Acknowledgements")</f>
        <v>Acknowledgements</v>
      </c>
      <c r="D57" s="111" t="s">
        <v>536</v>
      </c>
      <c r="E57" s="111" t="s">
        <v>559</v>
      </c>
    </row>
    <row r="58" spans="1:9" ht="20.100000000000001" customHeight="1" x14ac:dyDescent="0.25">
      <c r="A58" s="5" t="str">
        <f>HYPERLINK("#'Constants - Solid Waste'!A1", "Constants - Solid Waste")</f>
        <v>Constants - Solid Waste</v>
      </c>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1:9" ht="20.100000000000001" customHeight="1" x14ac:dyDescent="0.25">
      <c r="D59" s="25" t="str">
        <v>Diammonium phosphate (DAP)</v>
      </c>
      <c r="E59" s="25" cm="1">
        <f t="array" ref="E59">Fertiliser_Equations_InorganicCO2.VEERG_5_1_1_3__1_InorganicFertiliserApplicationCO2Emissions(G20,$I$50,$I$51)</f>
        <v>0</v>
      </c>
    </row>
    <row r="60" spans="1:9" ht="20.100000000000001" customHeight="1" x14ac:dyDescent="0.25">
      <c r="D60" s="25" t="str">
        <v>Urea</v>
      </c>
      <c r="E60" s="25" cm="1">
        <f t="array" ref="E60">Fertiliser_Equations_InorganicCO2.VEERG_5_1_1_3__1_InorganicFertiliserApplicationCO2Emissions(G21,$I$50,$I$51)</f>
        <v>73.333333333333329</v>
      </c>
    </row>
    <row r="61" spans="1:9" ht="20.100000000000001" customHeight="1" x14ac:dyDescent="0.25">
      <c r="D61" s="25" t="str">
        <v>Sulphate of ammonia (SOA)</v>
      </c>
      <c r="E61" s="25" cm="1">
        <f t="array" ref="E61">Fertiliser_Equations_InorganicCO2.VEERG_5_1_1_3__1_InorganicFertiliserApplicationCO2Emissions(G22,$I$50,$I$51)</f>
        <v>0</v>
      </c>
    </row>
    <row r="62" spans="1:9" ht="20.100000000000001" customHeight="1" x14ac:dyDescent="0.25">
      <c r="D62" s="25" t="str">
        <v>Urea-ammonium nitrate (UAN)</v>
      </c>
      <c r="E62" s="25" cm="1">
        <f t="array" ref="E62">Fertiliser_Equations_InorganicCO2.VEERG_5_1_1_3__1_InorganicFertiliserApplicationCO2Emissions(G23,$I$50,$I$51)</f>
        <v>0</v>
      </c>
    </row>
    <row r="63" spans="1:9" ht="20.100000000000001" customHeight="1" x14ac:dyDescent="0.25">
      <c r="D63" s="25" t="str">
        <v>Ammonium nitrate (AN)</v>
      </c>
      <c r="E63" s="25" cm="1">
        <f t="array" ref="E63">Fertiliser_Equations_InorganicCO2.VEERG_5_1_1_3__1_InorganicFertiliserApplicationCO2Emissions(G24,$I$50,$I$51)</f>
        <v>0</v>
      </c>
    </row>
    <row r="64" spans="1: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5" t="s">
        <v>570</v>
      </c>
      <c r="E78" s="116">
        <f>SUM(E58:E76)</f>
        <v>73.333333333333329</v>
      </c>
      <c r="F78" s="117"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C571-E0F2-4D69-ACB8-5361AD2224E1}">
  <dimension ref="A1:U165"/>
  <sheetViews>
    <sheetView showGridLines="0" topLeftCell="A39"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571</v>
      </c>
    </row>
    <row r="2" spans="1:21" s="3" customFormat="1" ht="20.100000000000001" customHeight="1" x14ac:dyDescent="0.25">
      <c r="A2"/>
    </row>
    <row r="3" spans="1:21" ht="20.100000000000001" customHeight="1" x14ac:dyDescent="0.25">
      <c r="A3" s="5" t="str">
        <f>HYPERLINK("#'Home'!A1", "Home")</f>
        <v>Home</v>
      </c>
      <c r="C3" s="33"/>
      <c r="D3" s="33" t="s">
        <v>148</v>
      </c>
      <c r="E3" s="33"/>
      <c r="F3" s="33"/>
      <c r="G3" s="33"/>
      <c r="H3" s="33"/>
      <c r="I3" s="33"/>
      <c r="J3" s="33"/>
      <c r="K3" s="33"/>
      <c r="L3" s="33"/>
      <c r="N3" s="33"/>
      <c r="O3" s="33" t="s">
        <v>149</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D7" s="100" t="s">
        <v>259</v>
      </c>
      <c r="E7" s="100"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261</v>
      </c>
      <c r="E10" s="1" t="str" cm="1">
        <f t="array" ref="E10">Fertiliser_Equations_OrganicN2O.VEERG_5_2_1_1__2_MassOfNitrogenInOrganicFertiliser_Variable()</f>
        <v>MNSoil_jf</v>
      </c>
    </row>
    <row r="11" spans="1:21" ht="20.100000000000001" customHeight="1" x14ac:dyDescent="0.25">
      <c r="A11" s="5" t="str">
        <f>HYPERLINK("#'Input - Pasture Beef'!A1", "Pasture Beef")</f>
        <v>Pasture Beef</v>
      </c>
      <c r="D11" s="88" t="s">
        <v>131</v>
      </c>
      <c r="E11" s="15" t="str" cm="1">
        <f t="array" ref="E11">Fertiliser_Equations_OrganicN2O.VEERG_5_2_1_1__2_MassOfNitrogenInOrganicFertiliser_Unit()</f>
        <v>kg N</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18" t="str" cm="1">
        <f t="array" ref="D13:E15">_xlfn.CHOOSECOLS(Fertiliser_Equations_OrganicN2O.VEERG_5_2_1_1__2_MassOfNitrogenInOrganicFertiliser_Arguments(), 1, 2)</f>
        <v>M_organicjf</v>
      </c>
      <c r="E13" s="119" t="str">
        <v>mass of organic fertiliser type f applied to production system j</v>
      </c>
      <c r="F13" s="168"/>
      <c r="G13" s="102" t="str" cm="1">
        <f t="array" ref="G13:H15">_xlfn.CHOOSECOLS(Fertiliser_Equations_OrganicN2O.VEERG_5_2_1_1__2_MassOfNitrogenInOrganicFertiliser_Arguments(), 3,4)</f>
        <v>kg</v>
      </c>
      <c r="H13" s="106" t="str">
        <v>Input</v>
      </c>
      <c r="I13" s="108" t="str" cm="1">
        <f t="array" aca="1" ref="I13" ca="1">HYPERLINK(Common_InputFunctions.Utility_SourceHyperlink($D$17), $D$17)</f>
        <v>Table_MNSoil_j_f</v>
      </c>
    </row>
    <row r="14" spans="1:21" ht="20.100000000000001" customHeight="1" x14ac:dyDescent="0.25">
      <c r="A14" s="5" t="str">
        <f>HYPERLINK("#'Input - Beef cattle purchases'!A1", "Beef cattle purchases")</f>
        <v>Beef cattle purchases</v>
      </c>
      <c r="D14" s="118" t="str">
        <v>FN_organicf</v>
      </c>
      <c r="E14" s="119" t="str">
        <v>nitrogen fraction of organic fertiliser type f</v>
      </c>
      <c r="F14" s="168"/>
      <c r="G14" s="102" t="str">
        <v>kg N/kg</v>
      </c>
      <c r="H14" s="106" t="str">
        <v>Input</v>
      </c>
      <c r="I14" s="108" t="str" cm="1">
        <f t="array" aca="1" ref="I14" ca="1">HYPERLINK(Common_InputFunctions.Utility_SourceHyperlink($D$17), $D$17)</f>
        <v>Table_MNSoil_j_f</v>
      </c>
    </row>
    <row r="15" spans="1:21" ht="20.100000000000001" customHeight="1" x14ac:dyDescent="0.25">
      <c r="A15" s="5" t="str">
        <f>HYPERLINK("#'Input - Pasture'!A1", "Pasture")</f>
        <v>Pasture</v>
      </c>
      <c r="D15" s="118" t="str">
        <v>f</v>
      </c>
      <c r="E15" s="119" t="str">
        <v>Organic fertiliser type</v>
      </c>
      <c r="F15" s="168"/>
      <c r="G15" s="102" t="str">
        <v/>
      </c>
      <c r="H15" s="106" t="str">
        <v>Input</v>
      </c>
      <c r="I15" s="108" t="str" cm="1">
        <f t="array" aca="1" ref="I15" ca="1">HYPERLINK(Common_InputFunctions.Utility_SourceHyperlink($D$17), $D$17)</f>
        <v>Table_MNSoil_j_f</v>
      </c>
    </row>
    <row r="16" spans="1:21" ht="20.100000000000001" customHeight="1" x14ac:dyDescent="0.25">
      <c r="A16" s="5" t="str">
        <f>HYPERLINK("#'Input - Fert Prod System'!A1", "Fert Prod System")</f>
        <v>Fert Prod System</v>
      </c>
    </row>
    <row r="17" spans="1:10" ht="20.100000000000001" customHeight="1" x14ac:dyDescent="0.25">
      <c r="A17" s="5" t="str">
        <f>HYPERLINK("#'Input - Fertiliser'!A1", "Fertiliser")</f>
        <v>Fertiliser</v>
      </c>
      <c r="D17" s="109" t="s">
        <v>572</v>
      </c>
    </row>
    <row r="18" spans="1:10" ht="20.100000000000001" customHeight="1" x14ac:dyDescent="0.25">
      <c r="A18" s="5" t="str">
        <f>HYPERLINK("#'Input - Fuel'!A1", "Fuel")</f>
        <v>Fuel</v>
      </c>
      <c r="D18" s="110" t="s">
        <v>573</v>
      </c>
    </row>
    <row r="19" spans="1:10" ht="20.100000000000001" customHeight="1" x14ac:dyDescent="0.25">
      <c r="A19" s="5" t="str">
        <f>HYPERLINK("#'Input - Electricity'!A1", "Electricity")</f>
        <v>Electricity</v>
      </c>
      <c r="D19" s="112" t="s">
        <v>574</v>
      </c>
      <c r="E19" s="112" t="s">
        <v>575</v>
      </c>
      <c r="F19" s="112" t="s">
        <v>475</v>
      </c>
      <c r="G19" s="170" t="s">
        <v>576</v>
      </c>
      <c r="H19" s="170" t="s">
        <v>577</v>
      </c>
      <c r="I19" s="170" t="s">
        <v>578</v>
      </c>
    </row>
    <row r="20" spans="1:10" ht="20.100000000000001" customHeight="1" x14ac:dyDescent="0.25">
      <c r="A20" s="5" t="str">
        <f>HYPERLINK("#'Input - Farm Inputs'!A1", "Farm Inputs")</f>
        <v>Farm Inputs</v>
      </c>
      <c r="D20" s="25" t="str" cm="1">
        <f t="array" ref="D20:D22">Table_Input_OrganicFertiliser[Organic fertiliser type (select)]</f>
        <v>Manure - Other</v>
      </c>
      <c r="E20" s="171" cm="1">
        <f t="array" ref="E20:E22">Table_Input_OrganicFertiliser[Amount applied (kg/hectare)]</f>
        <v>10</v>
      </c>
      <c r="F20" s="171" cm="1">
        <f t="array" ref="F20:F22">Table_Input_OrganicFertiliser[Application area (ha)]</f>
        <v>1000</v>
      </c>
      <c r="G20" s="25" cm="1">
        <f t="array" ref="G20:G22">Table_Input_OrganicFertiliser[Amount applied (kg/hectare)]*Table_Input_OrganicFertiliser[Application area (ha)]</f>
        <v>10000</v>
      </c>
      <c r="H20" s="172" cm="1">
        <f t="array" ref="H20:H22">Table_Input_OrganicFertiliser[Percentage of N in fertiliser]</f>
        <v>0.3</v>
      </c>
      <c r="I20" s="25" cm="1">
        <f t="array" ref="I20">Fertiliser_Equations_OrganicN2O.VEERG_5_2_1_1__2_MassOfNitrogenInOrganicFertiliser(G20,H20)</f>
        <v>3000</v>
      </c>
    </row>
    <row r="21" spans="1:10" ht="20.100000000000001" customHeight="1" x14ac:dyDescent="0.25">
      <c r="A21" s="5" t="str">
        <f>HYPERLINK("#'Input - Freight'!A1", "Freight")</f>
        <v>Freight</v>
      </c>
      <c r="D21" s="25" t="str">
        <v>Manure - Poultry</v>
      </c>
      <c r="E21" s="25">
        <v>10</v>
      </c>
      <c r="F21" s="25">
        <v>1000</v>
      </c>
      <c r="G21" s="25">
        <v>10000</v>
      </c>
      <c r="H21" s="25">
        <v>0.25</v>
      </c>
      <c r="I21" s="25" cm="1">
        <f t="array" ref="I21">Fertiliser_Equations_Organic.VEERG_5_2_1_1__2_MassOfNitrogenInOrganicFertiliser(G21,H21)</f>
        <v>2500</v>
      </c>
    </row>
    <row r="22" spans="1:10" ht="20.100000000000001" customHeight="1" x14ac:dyDescent="0.25">
      <c r="A22" s="5" t="str">
        <f>HYPERLINK("#'Input - Manure sent off-site'!A1", "Manure sent off-site")</f>
        <v>Manure sent off-site</v>
      </c>
      <c r="D22" s="25" t="str">
        <v>Other organic fertiliser</v>
      </c>
      <c r="E22" s="25">
        <v>10</v>
      </c>
      <c r="F22" s="25">
        <v>1000</v>
      </c>
      <c r="G22" s="25">
        <v>10000</v>
      </c>
      <c r="H22" s="25">
        <v>0.16</v>
      </c>
      <c r="I22" s="25" cm="1">
        <f t="array" ref="I22">Fertiliser_Equations_Organic.VEERG_5_2_1_1__2_MassOfNitrogenInOrganicFertiliser(G22,H22)</f>
        <v>1600</v>
      </c>
    </row>
    <row r="23" spans="1:10" ht="20.100000000000001" customHeight="1" x14ac:dyDescent="0.25">
      <c r="A23" s="5" t="str">
        <f>HYPERLINK("#'Input - Solid waste'!A1", "Solid waste")</f>
        <v>Solid waste</v>
      </c>
      <c r="D23" s="25"/>
      <c r="E23" s="25"/>
      <c r="F23" s="25"/>
      <c r="G23" s="25"/>
      <c r="H23" s="25"/>
      <c r="I23" s="25" cm="1">
        <f t="array" ref="I23">Fertiliser_Equations_Organic.VEERG_5_2_1_1__2_MassOfNitrogenInOrganicFertiliser(G23,H23)</f>
        <v>0</v>
      </c>
    </row>
    <row r="24" spans="1:10" ht="20.100000000000001" customHeight="1" x14ac:dyDescent="0.25">
      <c r="D24" s="25"/>
      <c r="E24" s="25"/>
      <c r="F24" s="25"/>
      <c r="G24" s="25"/>
      <c r="H24" s="25"/>
      <c r="I24" s="25" cm="1">
        <f t="array" ref="I24">Fertiliser_Equations_Organic.VEERG_5_2_1_1__2_MassOfNitrogenInOrganicFertiliser(G24,H24)</f>
        <v>0</v>
      </c>
    </row>
    <row r="25" spans="1:10" ht="20.100000000000001" customHeight="1" x14ac:dyDescent="0.25">
      <c r="D25" s="25"/>
      <c r="E25" s="25"/>
      <c r="F25" s="25"/>
      <c r="G25" s="25"/>
      <c r="H25" s="25"/>
      <c r="I25" s="25" cm="1">
        <f t="array" ref="I25">Fertiliser_Equations_Organic.VEERG_5_2_1_1__2_MassOfNitrogenInOrganicFertiliser(G25,H25)</f>
        <v>0</v>
      </c>
    </row>
    <row r="26" spans="1:10" ht="20.100000000000001" customHeight="1" x14ac:dyDescent="0.25">
      <c r="A26" s="6" t="s">
        <v>2</v>
      </c>
      <c r="D26" s="25"/>
      <c r="E26" s="25"/>
      <c r="F26" s="25"/>
      <c r="G26" s="25"/>
      <c r="H26" s="25"/>
      <c r="I26" s="25" cm="1">
        <f t="array" ref="I26">Fertiliser_Equations_Organic.VEERG_5_2_1_1__2_MassOfNitrogenInOrganicFertiliser(G26,H26)</f>
        <v>0</v>
      </c>
    </row>
    <row r="27" spans="1:10" ht="20.100000000000001" customHeight="1" x14ac:dyDescent="0.25">
      <c r="A27" s="5" t="str">
        <f>HYPERLINK("#'3.2.1.1-2 Enteric Methane'!A1", "3.2.1.1-2 Enteric methane")</f>
        <v>3.2.1.1-2 Enteric methane</v>
      </c>
      <c r="D27" s="25"/>
      <c r="E27" s="25"/>
      <c r="F27" s="25"/>
      <c r="G27" s="25"/>
      <c r="H27" s="25"/>
      <c r="I27" s="25" cm="1">
        <f t="array" ref="I27">Fertiliser_Equations_Organic.VEERG_5_2_1_1__2_MassOfNitrogenInOrganicFertiliser(G27,H27)</f>
        <v>0</v>
      </c>
    </row>
    <row r="28" spans="1:10" ht="20.100000000000001" customHeight="1" x14ac:dyDescent="0.25">
      <c r="A28" s="5" t="str">
        <f>HYPERLINK("#'4.2.1.1-2 Methane'!A1", "4.2.1.1-2 Manure methane")</f>
        <v>4.2.1.1-2 Manure methane</v>
      </c>
      <c r="D28" s="25"/>
      <c r="E28" s="25"/>
      <c r="F28" s="25"/>
      <c r="G28" s="25"/>
      <c r="H28" s="25"/>
      <c r="I28" s="25" cm="1">
        <f t="array" ref="I28">Fertiliser_Equations_Organic.VEERG_5_2_1_1__2_MassOfNitrogenInOrganicFertiliser(G28,H28)</f>
        <v>0</v>
      </c>
    </row>
    <row r="29" spans="1:10" ht="20.100000000000001" customHeight="1" x14ac:dyDescent="0.25">
      <c r="A29" s="5" t="str">
        <f>HYPERLINK("#'4.2.1.3-4 Soil direct N20'!A1", "4.2.1.3-4 Soil direct N2O")</f>
        <v>4.2.1.3-4 Soil direct N2O</v>
      </c>
      <c r="D29" s="25"/>
      <c r="E29" s="25"/>
      <c r="F29" s="25"/>
      <c r="G29" s="25"/>
      <c r="H29" s="25"/>
      <c r="I29" s="25" cm="1">
        <f t="array" ref="I29">Fertiliser_Equations_Organic.VEERG_5_2_1_1__2_MassOfNitrogenInOrganicFertiliser(G29,H29)</f>
        <v>0</v>
      </c>
    </row>
    <row r="30" spans="1:10" ht="20.100000000000001" customHeight="1" x14ac:dyDescent="0.25">
      <c r="A30" s="5" t="str">
        <f>HYPERLINK("#'4.2.1.5-6 Soil Atmos Dep'!A1", "4.2.1.5-6 Soil atm. deposition")</f>
        <v>4.2.1.5-6 Soil atm. deposition</v>
      </c>
      <c r="D30" s="25"/>
      <c r="E30" s="25"/>
      <c r="F30" s="25"/>
      <c r="G30" s="25"/>
      <c r="H30" s="25"/>
      <c r="I30" s="25" cm="1">
        <f t="array" ref="I30">Fertiliser_Equations_Organic.VEERG_5_2_1_1__2_MassOfNitrogenInOrganicFertiliser(G30,H30)</f>
        <v>0</v>
      </c>
    </row>
    <row r="31" spans="1:10" ht="20.100000000000001" customHeight="1" x14ac:dyDescent="0.25">
      <c r="A31" s="5" t="str">
        <f>HYPERLINK("#'4.2.1.7-8 Soil leach runoff'!A1", "4.2.1.7-8 Soil leach &amp; runoff")</f>
        <v>4.2.1.7-8 Soil leach &amp; runoff</v>
      </c>
      <c r="D31" s="173"/>
      <c r="E31" s="173"/>
      <c r="F31" s="173"/>
      <c r="G31" s="173"/>
      <c r="H31" s="173"/>
      <c r="I31" s="173"/>
      <c r="J31" s="173"/>
    </row>
    <row r="32" spans="1:10" ht="20.100000000000001" customHeight="1" x14ac:dyDescent="0.25">
      <c r="A32" s="5" t="str">
        <f>HYPERLINK("#'5.1.1.1-2 Inorganic fert N2O'!A1", "5.1.1.1-2 Inorganic fert N2O")</f>
        <v>5.1.1.1-2 Inorganic fert N2O</v>
      </c>
      <c r="D32" s="122" t="s">
        <v>579</v>
      </c>
      <c r="E32" s="122">
        <f>SUM(I20:I30)</f>
        <v>7100</v>
      </c>
      <c r="F32" s="174" t="str">
        <f>$E$11</f>
        <v>kg N</v>
      </c>
      <c r="G32" s="173"/>
      <c r="H32" s="173"/>
      <c r="I32" s="173"/>
      <c r="J32" s="173"/>
    </row>
    <row r="33" spans="1:12" ht="20.100000000000001" customHeight="1" x14ac:dyDescent="0.25">
      <c r="A33" s="5" t="str">
        <f>HYPERLINK("#'5.1.1.3-4 Inorganic fert CO2'!A1", "5.1.1.3-4 Inorganic fert CO2")</f>
        <v>5.1.1.3-4 Inorganic fert CO2</v>
      </c>
    </row>
    <row r="34" spans="1:12" ht="20.100000000000001" customHeight="1" x14ac:dyDescent="0.25">
      <c r="A34" s="101" t="str">
        <f>HYPERLINK("#'5.2.1.1-2 Organic Fert N2O'!A1", "5.2.1.1-2 Organic fert N2O")</f>
        <v>5.2.1.1-2 Organic fert N2O</v>
      </c>
    </row>
    <row r="35" spans="1:12" ht="20.100000000000001" customHeight="1" x14ac:dyDescent="0.25">
      <c r="A35" s="5" t="str">
        <f>HYPERLINK("#'5.3.1.1-2 Lime CO2'!A1", "5.3.1.1-2 Lime CO2")</f>
        <v>5.3.1.1-2 Lime CO2</v>
      </c>
      <c r="C35" s="175"/>
      <c r="D35" s="175"/>
      <c r="E35" s="175"/>
      <c r="F35" s="175"/>
      <c r="G35" s="175"/>
      <c r="H35" s="175"/>
      <c r="I35" s="175"/>
      <c r="J35" s="175"/>
      <c r="K35" s="175"/>
      <c r="L35" s="175"/>
    </row>
    <row r="36" spans="1:12" ht="20.100000000000001" customHeight="1" x14ac:dyDescent="0.25">
      <c r="A36" s="5" t="str">
        <f>HYPERLINK("#'5.4.1.1-4 Atmos deposition'!A1", "5.4.1.1-4 Atmos. deposition")</f>
        <v>5.4.1.1-4 Atmos. deposition</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HYPERLINK("#'5.5.1.1-2 Leaching and runoff'!A1", "5.5.1.1-2 Leaching &amp; runoff")</f>
        <v>5.5.1.1-2 Leaching &amp; runoff</v>
      </c>
      <c r="D37" s="27" t="str" cm="1">
        <f t="array" ref="D37">Fertiliser_Equations_OrganicN2O.VEERG_5_2_1_1__1_OrganicFertiliserApplicationN2OEmissions_Source()</f>
        <v>VEERG 2026: 5.2.1.1, Equation (1)</v>
      </c>
    </row>
    <row r="38" spans="1:12" ht="20.100000000000001" customHeight="1" x14ac:dyDescent="0.25">
      <c r="A38" s="5" t="str">
        <f>HYPERLINK("#'6.2.1.1-2 Pasture residue N2O'!A1", "6.2.1.1-2 Pasture residue N2O")</f>
        <v>6.2.1.1-2 Pasture residue N2O</v>
      </c>
      <c r="D38" s="100" t="s">
        <v>259</v>
      </c>
      <c r="E38" s="100" t="str" cm="1">
        <f t="array" aca="1" ref="E38" ca="1">Common_InputFunctions.Utility_DisplayFunctionName($I$20)</f>
        <v>=Fertiliser_Equations_OrganicN2O.VEERG_5_2_1_1__2_MassOfNitrogenInOrganicFertiliser</v>
      </c>
    </row>
    <row r="39" spans="1:12" ht="20.100000000000001" customHeight="1" x14ac:dyDescent="0.25">
      <c r="A39" s="5" t="str">
        <f>HYPERLINK("#'6.3.1.1-2 Leach runoff pasture'!A1", "6.3.1.1-2 Leach &amp; runoff (pasture)")</f>
        <v>6.3.1.1-2 Leach &amp; runoff (pasture)</v>
      </c>
    </row>
    <row r="40" spans="1:12" ht="20.100000000000001" customHeight="1" x14ac:dyDescent="0.25">
      <c r="A40" s="5" t="str">
        <f>HYPERLINK("#'8.1.1.1-2 Transport fuel'!A1", "8.1.1.1-2 Transport fuel")</f>
        <v>8.1.1.1-2 Transport fuel</v>
      </c>
    </row>
    <row r="41" spans="1:12" ht="20.100000000000001" customHeight="1" x14ac:dyDescent="0.25">
      <c r="A41" s="5" t="str">
        <f>HYPERLINK("#'8.2.1.1-2 Stationary fuel'!A1", "8.2.1.1-2 Stationary fuel")</f>
        <v>8.2.1.1-2 Stationary fuel</v>
      </c>
      <c r="D41" s="88" t="s">
        <v>261</v>
      </c>
      <c r="E41" s="1" t="str" cm="1">
        <f t="array" ref="E41">Fertiliser_Equations_OrganicN2O.VEERG_5_2_1_1__1_OrganicFertiliserApplicationN2OEmissions_Variable()</f>
        <v>E_N2O</v>
      </c>
    </row>
    <row r="42" spans="1:12" ht="20.100000000000001" customHeight="1" x14ac:dyDescent="0.25">
      <c r="A42" s="5" t="str">
        <f>HYPERLINK("#'14.1.1-2 Purchased electricity'!A1", "14.1.1-2 Purchased electricity")</f>
        <v>14.1.1-2 Purchased electricity</v>
      </c>
      <c r="D42" s="88" t="s">
        <v>131</v>
      </c>
      <c r="E42" s="15" t="str" cm="1">
        <f t="array" ref="E42">Fertiliser_Equations_OrganicN2O.VEERG_5_2_1_1__1_OrganicFertiliserApplicationN2OEmissions_Unit()</f>
        <v>t N2O</v>
      </c>
    </row>
    <row r="43" spans="1:12" ht="20.100000000000001" customHeight="1" x14ac:dyDescent="0.25">
      <c r="A43" s="5" t="str">
        <f>HYPERLINK("#'15 Scope 3'!A1", "15 Scope 3")</f>
        <v>15 Scope 3</v>
      </c>
    </row>
    <row r="44" spans="1:12" ht="20.100000000000001" customHeight="1" x14ac:dyDescent="0.25">
      <c r="A44" s="5" t="str">
        <f>HYPERLINK("#'Calcs - Manure sent off-site'!A1", "Calcs - Manure sent off-site")</f>
        <v>Calcs - Manure sent off-site</v>
      </c>
      <c r="D44" s="102" t="str" cm="1">
        <f t="array" ref="D44:E48">_xlfn.CHOOSECOLS(Fertiliser_Equations_OrganicN2O.VEERG_5_2_1_1__1_OrganicFertiliserApplicationN2OEmissions_Arguments(), 1, 2)</f>
        <v>MNSoil_jf</v>
      </c>
      <c r="E44" s="103" t="str">
        <v>mass of nitrogen in organic fertiliser type f applied to production system j</v>
      </c>
      <c r="F44" s="104"/>
      <c r="G44" s="104"/>
      <c r="H44" s="105"/>
      <c r="I44" s="102" t="str" cm="1">
        <f t="array" ref="I44:J48">_xlfn.CHOOSECOLS(Fertiliser_Equations_OrganicN2O.VEERG_5_2_1_1__1_OrganicFertiliserApplicationN2OEmissions_Arguments(), 3,4)</f>
        <v>kg N</v>
      </c>
      <c r="J44" s="107" t="str">
        <v>Calculated from 5.2.1.1 (2)</v>
      </c>
      <c r="K44" s="102">
        <f>$E$32</f>
        <v>7100</v>
      </c>
    </row>
    <row r="45" spans="1:12" ht="20.100000000000001" customHeight="1" x14ac:dyDescent="0.25">
      <c r="A45" s="5" t="str">
        <f>HYPERLINK("#'10.1.1-2 Solid waste treatment'!A1", "10.1.1-2 Solid waste treatment")</f>
        <v>10.1.1-2 Solid waste treatment</v>
      </c>
      <c r="D45" s="102" t="str">
        <v>EF_N2Oi</v>
      </c>
      <c r="E45" s="103" t="str">
        <v>emission factor for direct nitrous oxide emissions from organic fertiliser applied to soils and aquatic systems in climate zone i</v>
      </c>
      <c r="F45" s="104"/>
      <c r="G45" s="104"/>
      <c r="H45" s="105"/>
      <c r="I45" s="102" t="str">
        <v>kg N2O-N/kg N</v>
      </c>
      <c r="J45" s="107" t="str">
        <v>Lookup</v>
      </c>
      <c r="K45" s="102">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02" t="str">
        <v>C_N2O</v>
      </c>
      <c r="E46" s="103" t="str">
        <v>factor to convert elemental mass of nitrous oxide to molecular mass</v>
      </c>
      <c r="F46" s="104"/>
      <c r="G46" s="104"/>
      <c r="H46" s="105"/>
      <c r="I46" s="102" t="str">
        <v/>
      </c>
      <c r="J46" s="107" t="str">
        <v>Constant</v>
      </c>
      <c r="K46" s="118">
        <f>Common_InputFunctions.Utility_LookupValueInTableNumber("N2O",Table_GasToMolecularConversionFactor[Gas],Table_GasToMolecularConversionFactor[Conversion factor combined])</f>
        <v>1.5714285714285714</v>
      </c>
    </row>
    <row r="47" spans="1:12" ht="20.100000000000001" customHeight="1" x14ac:dyDescent="0.25">
      <c r="D47" s="102" t="str">
        <v>j</v>
      </c>
      <c r="E47" s="103" t="str">
        <v>Production system</v>
      </c>
      <c r="F47" s="104"/>
      <c r="G47" s="104"/>
      <c r="H47" s="105"/>
      <c r="I47" s="102" t="str">
        <v/>
      </c>
      <c r="J47" s="106" t="str">
        <v>Input</v>
      </c>
      <c r="K47" s="102" t="str">
        <f>X_Cell_Fertiliser_ProductionSystem</f>
        <v>Pasture</v>
      </c>
    </row>
    <row r="48" spans="1:12" ht="20.100000000000001" customHeight="1" x14ac:dyDescent="0.25">
      <c r="A48" s="97" t="s">
        <v>1</v>
      </c>
      <c r="D48" s="102" t="str">
        <v>i</v>
      </c>
      <c r="E48" s="103" t="str">
        <v>Wet or dry climate zone</v>
      </c>
      <c r="F48" s="104"/>
      <c r="G48" s="104"/>
      <c r="H48" s="105"/>
      <c r="I48" s="102" t="str">
        <v/>
      </c>
      <c r="J48" s="106" t="str">
        <v>Input</v>
      </c>
      <c r="K48" s="102" t="str">
        <f>X_Cell_Site_WetOrDryClimateZone</f>
        <v>Dry climate zone</v>
      </c>
    </row>
    <row r="49" spans="1:7" ht="20.100000000000001" customHeight="1" x14ac:dyDescent="0.25">
      <c r="A49" s="5" t="str">
        <f>HYPERLINK("#'Constants - Pasture Beef'!A1", "Constants - Pasture Beef")</f>
        <v>Constants - Pasture Beef</v>
      </c>
    </row>
    <row r="50" spans="1:7" ht="20.100000000000001" customHeight="1" x14ac:dyDescent="0.25">
      <c r="A50" s="5" t="str">
        <f>HYPERLINK("#'Constants - Ag Residue'!A1", "Constants - Ag residue")</f>
        <v>Constants - Ag residue</v>
      </c>
      <c r="D50" s="115" t="s">
        <v>562</v>
      </c>
      <c r="E50" s="116" cm="1">
        <f t="array" ref="E50">Fertiliser_Equations_OrganicN2O.VEERG_5_2_1_1__1_OrganicFertiliserApplicationN2OEmissions(K44,K45,K46)</f>
        <v>5.5785714285714286E-2</v>
      </c>
      <c r="F50" s="117" t="str">
        <f>$E$42</f>
        <v>t N2O</v>
      </c>
    </row>
    <row r="51" spans="1:7" ht="20.100000000000001" customHeight="1" x14ac:dyDescent="0.25">
      <c r="A51" s="5" t="str">
        <f>HYPERLINK("#'Constants - Common Livestock'!A1", "Constants - Common Livestock")</f>
        <v>Constants - Common Livestock</v>
      </c>
    </row>
    <row r="52" spans="1:7" ht="20.100000000000001" customHeight="1" x14ac:dyDescent="0.25">
      <c r="A52" s="5" t="str">
        <f>HYPERLINK("#'Constants - Electricity'!A1", "Constants - Electricity")</f>
        <v>Constants - Electricity</v>
      </c>
      <c r="D52" s="118" t="str" cm="1">
        <f t="array" ref="D52:E53">Common_Equations.Common_ConvertN2OToCO2e_Arguments()</f>
        <v>EN2O</v>
      </c>
      <c r="E52" s="119" t="str">
        <v>Nitrous oxide emissions (t N2O)</v>
      </c>
      <c r="F52" s="120"/>
      <c r="G52" s="25">
        <f>VEERG_5_2_1_1__2_MassOfNitrogenInOrganicFertiliser_Result_Method1</f>
        <v>5.5785714285714286E-2</v>
      </c>
    </row>
    <row r="53" spans="1:7" ht="20.100000000000001" customHeight="1" x14ac:dyDescent="0.25">
      <c r="A53" s="5" t="str">
        <f>HYPERLINK("#'Constants - Fertiliser'!A1", "Constants - Fertiliser")</f>
        <v>Constants - Fertiliser</v>
      </c>
      <c r="D53" s="118" t="str">
        <v>GWPN2O</v>
      </c>
      <c r="E53" s="119" t="str">
        <v>Global warming potential for nitrous oxide (t CO2-e / t N2O)</v>
      </c>
      <c r="F53" s="120"/>
      <c r="G53" s="25">
        <f>Common_InputFunctions.Utility_LookupValueInTableNumber("N2O",Table_GWPData[Gas],Table_GWPData[CO2-e factor])</f>
        <v>265</v>
      </c>
    </row>
    <row r="54" spans="1:7" ht="20.100000000000001" customHeight="1" x14ac:dyDescent="0.25">
      <c r="A54" s="5" t="str">
        <f>HYPERLINK("#'Constants - Fuel'!A1", "Constants - Fuel")</f>
        <v>Constants - Fuel</v>
      </c>
    </row>
    <row r="55" spans="1:7" ht="20.100000000000001" customHeight="1" x14ac:dyDescent="0.25">
      <c r="A55" s="5" t="str">
        <f>HYPERLINK("#'Constants - Scope 3'!A1", "Constants - Scope 3")</f>
        <v>Constants - Scope 3</v>
      </c>
      <c r="D55" s="114" t="s">
        <v>323</v>
      </c>
      <c r="E55" s="114" cm="1">
        <f t="array" ref="E55">Common_Equations.Common_ConvertN2OToCO2e(G52,G53)</f>
        <v>14.783214285714285</v>
      </c>
      <c r="F55" s="121" t="str" cm="1">
        <f t="array" ref="F55">Common_Equations.Common_ConvertN2OToCO2e_Unit()</f>
        <v>t CO2e</v>
      </c>
    </row>
    <row r="56" spans="1:7" ht="20.100000000000001" customHeight="1" x14ac:dyDescent="0.25">
      <c r="A56" s="5" t="str">
        <f>HYPERLINK("#'Constants - Common'!A1", "Constants - Common")</f>
        <v>Constants - Common</v>
      </c>
    </row>
    <row r="57" spans="1:7" ht="20.100000000000001" customHeight="1" x14ac:dyDescent="0.25">
      <c r="A57" s="5" t="str">
        <f>HYPERLINK("#'Acknowledgements'!A1", "Acknowledgements")</f>
        <v>Acknowledgements</v>
      </c>
    </row>
    <row r="58" spans="1:7" ht="20.100000000000001" customHeight="1" x14ac:dyDescent="0.25">
      <c r="A58" s="5" t="str">
        <f>HYPERLINK("#'Constants - Solid Waste'!A1", "Constants - Solid Waste")</f>
        <v>Constants - Solid Waste</v>
      </c>
    </row>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56D8-3ACE-495A-94D5-A8635C760470}">
  <dimension ref="A1:U165"/>
  <sheetViews>
    <sheetView showGridLines="0" topLeftCell="A9"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580</v>
      </c>
    </row>
    <row r="2" spans="1:21" s="3" customFormat="1" ht="20.100000000000001" customHeight="1" x14ac:dyDescent="0.25">
      <c r="A2"/>
    </row>
    <row r="3" spans="1:21" ht="20.100000000000001" customHeight="1" x14ac:dyDescent="0.25">
      <c r="A3" s="5" t="str">
        <f>HYPERLINK("#'Home'!A1", "Home")</f>
        <v>Home</v>
      </c>
      <c r="C3" s="33"/>
      <c r="D3" s="33" t="s">
        <v>148</v>
      </c>
      <c r="E3" s="33"/>
      <c r="F3" s="33"/>
      <c r="G3" s="33"/>
      <c r="H3" s="33"/>
      <c r="I3" s="33"/>
      <c r="J3" s="33"/>
      <c r="K3" s="33"/>
      <c r="L3" s="33"/>
      <c r="N3" s="33"/>
      <c r="O3" s="33" t="s">
        <v>149</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D7" s="100" t="s">
        <v>259</v>
      </c>
      <c r="E7" s="100"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261</v>
      </c>
      <c r="E10" s="1" t="str" cm="1">
        <f t="array" ref="E10">Fertiliser_Equations_Lime.VEERG_5_3_1_1__1_LimeApplicationCO2Emissions_Variable()</f>
        <v>E_lime</v>
      </c>
    </row>
    <row r="11" spans="1:21" ht="20.100000000000001" customHeight="1" x14ac:dyDescent="0.25">
      <c r="A11" s="5" t="str">
        <f>HYPERLINK("#'Input - Pasture Beef'!A1", "Pasture Beef")</f>
        <v>Pasture Beef</v>
      </c>
      <c r="D11" s="88" t="s">
        <v>131</v>
      </c>
      <c r="E11" s="15" t="str" cm="1">
        <f t="array" ref="E11">Fertiliser_Equations_Lime.VEERG_5_3_1_1__1_LimeApplicationCO2Emissions_Unit()</f>
        <v>t CO2</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02" t="str" cm="1">
        <f t="array" ref="D13:E20">_xlfn.CHOOSECOLS(Fertiliser_Equations_Lime.VEERG_5_3_1_1__1_LimeApplicationCO2Emissions_Arguments(), 1, 2)</f>
        <v>M_lime</v>
      </c>
      <c r="E13" s="103" t="str">
        <v>total mass of lime applied to production system</v>
      </c>
      <c r="F13" s="105"/>
      <c r="G13" s="102" t="str" cm="1">
        <f t="array" ref="G13:H20">_xlfn.CHOOSECOLS(Fertiliser_Equations_Lime.VEERG_5_3_1_1__1_LimeApplicationCO2Emissions_Arguments(), 3,4)</f>
        <v>kg</v>
      </c>
      <c r="H13" s="106" t="str">
        <v>Input</v>
      </c>
      <c r="I13" s="108" t="str" cm="1">
        <f t="array" aca="1" ref="I13" ca="1">HYPERLINK(Common_InputFunctions.Utility_SourceHyperlink($D$22), $D$22)</f>
        <v>Table_E_lime</v>
      </c>
    </row>
    <row r="14" spans="1:21" ht="20.100000000000001" customHeight="1" x14ac:dyDescent="0.25">
      <c r="A14" s="5" t="str">
        <f>HYPERLINK("#'Input - Beef cattle purchases'!A1", "Beef cattle purchases")</f>
        <v>Beef cattle purchases</v>
      </c>
      <c r="D14" s="102" t="str">
        <v>FracLime</v>
      </c>
      <c r="E14" s="103" t="str">
        <v>fraction of lime as limestone (CaCO3)</v>
      </c>
      <c r="F14" s="105"/>
      <c r="G14" s="102" t="str">
        <v>fraction</v>
      </c>
      <c r="H14" s="106" t="str">
        <v>Input</v>
      </c>
      <c r="I14" s="108" t="str" cm="1">
        <f t="array" aca="1" ref="I14" ca="1">HYPERLINK(Common_InputFunctions.Utility_SourceHyperlink($D$22), $D$22)</f>
        <v>Table_E_lime</v>
      </c>
    </row>
    <row r="15" spans="1:21" ht="20.100000000000001" customHeight="1" x14ac:dyDescent="0.25">
      <c r="A15" s="5" t="str">
        <f>HYPERLINK("#'Input - Pasture'!A1", "Pasture")</f>
        <v>Pasture</v>
      </c>
      <c r="D15" s="102" t="str">
        <v>P_lime</v>
      </c>
      <c r="E15" s="103" t="str">
        <v>fractional purity of limestone</v>
      </c>
      <c r="F15" s="105"/>
      <c r="G15" s="102" t="str">
        <v>fraction</v>
      </c>
      <c r="H15" s="107" t="str">
        <v>Constant</v>
      </c>
      <c r="I15" s="102">
        <f>'Constants - Fertiliser'!$E$66</f>
        <v>0.9</v>
      </c>
    </row>
    <row r="16" spans="1:21" ht="20.100000000000001" customHeight="1" x14ac:dyDescent="0.25">
      <c r="A16" s="5" t="str">
        <f>HYPERLINK("#'Input - Fert Prod System'!A1", "Fert Prod System")</f>
        <v>Fert Prod System</v>
      </c>
      <c r="D16" s="102" t="str">
        <v>EF_lime</v>
      </c>
      <c r="E16" s="103" t="str">
        <v>emission factor for limestone fraction of lime</v>
      </c>
      <c r="F16" s="105"/>
      <c r="G16" s="102" t="str">
        <v>kg C/kg</v>
      </c>
      <c r="H16" s="107" t="str">
        <v>Constant</v>
      </c>
      <c r="I16" s="102">
        <f>'Constants - Fertiliser'!$F$66</f>
        <v>0.12</v>
      </c>
    </row>
    <row r="17" spans="1:9" ht="20.100000000000001" customHeight="1" x14ac:dyDescent="0.25">
      <c r="A17" s="5" t="str">
        <f>HYPERLINK("#'Input - Fertiliser'!A1", "Fertiliser")</f>
        <v>Fertiliser</v>
      </c>
      <c r="D17" s="102" t="str">
        <v>FracDol</v>
      </c>
      <c r="E17" s="103" t="str">
        <v>fraction of lime as dolomite</v>
      </c>
      <c r="F17" s="105"/>
      <c r="G17" s="102" t="str">
        <v>fraction</v>
      </c>
      <c r="H17" s="106" t="str">
        <v>Input</v>
      </c>
      <c r="I17" s="108" t="str" cm="1">
        <f t="array" aca="1" ref="I17" ca="1">HYPERLINK(Common_InputFunctions.Utility_SourceHyperlink($D$22), $D$22)</f>
        <v>Table_E_lime</v>
      </c>
    </row>
    <row r="18" spans="1:9" ht="20.100000000000001" customHeight="1" x14ac:dyDescent="0.25">
      <c r="A18" s="5" t="str">
        <f>HYPERLINK("#'Input - Fuel'!A1", "Fuel")</f>
        <v>Fuel</v>
      </c>
      <c r="D18" s="102" t="str">
        <v>P_dol</v>
      </c>
      <c r="E18" s="103" t="str">
        <v>fractional purity of dolomite</v>
      </c>
      <c r="F18" s="105"/>
      <c r="G18" s="102" t="str">
        <v>fraction</v>
      </c>
      <c r="H18" s="107" t="str">
        <v>Constant</v>
      </c>
      <c r="I18" s="102">
        <f>'Constants - Fertiliser'!$E$67</f>
        <v>0.95</v>
      </c>
    </row>
    <row r="19" spans="1:9" ht="20.100000000000001" customHeight="1" x14ac:dyDescent="0.25">
      <c r="A19" s="5" t="str">
        <f>HYPERLINK("#'Input - Electricity'!A1", "Electricity")</f>
        <v>Electricity</v>
      </c>
      <c r="D19" s="102" t="str">
        <v>EF_dol</v>
      </c>
      <c r="E19" s="103" t="str">
        <v>emission factor for dolomite fraction of lime</v>
      </c>
      <c r="F19" s="105"/>
      <c r="G19" s="102" t="str">
        <v>kg C/kg</v>
      </c>
      <c r="H19" s="107" t="str">
        <v>Constant</v>
      </c>
      <c r="I19" s="102">
        <f>'Constants - Fertiliser'!$F$67</f>
        <v>0.13</v>
      </c>
    </row>
    <row r="20" spans="1:9" ht="20.100000000000001" customHeight="1" x14ac:dyDescent="0.25">
      <c r="A20" s="5" t="str">
        <f>HYPERLINK("#'Input - Farm Inputs'!A1", "Farm Inputs")</f>
        <v>Farm Inputs</v>
      </c>
      <c r="D20" s="102" t="str">
        <v>C_CO2</v>
      </c>
      <c r="E20" s="103" t="str">
        <v>factor to convert elemental mass of carbon dioxide to molecular mass</v>
      </c>
      <c r="F20" s="105"/>
      <c r="G20" s="102" t="str">
        <v/>
      </c>
      <c r="H20" s="107" t="str">
        <v>Constant</v>
      </c>
      <c r="I20" s="118">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Freight'!A1", "Freight")</f>
        <v>Freight</v>
      </c>
    </row>
    <row r="22" spans="1:9" ht="20.100000000000001" customHeight="1" x14ac:dyDescent="0.25">
      <c r="A22" s="5" t="str">
        <f>HYPERLINK("#'Input - Manure sent off-site'!A1", "Manure sent off-site")</f>
        <v>Manure sent off-site</v>
      </c>
      <c r="D22" s="109" t="s">
        <v>581</v>
      </c>
    </row>
    <row r="23" spans="1:9" ht="20.100000000000001" customHeight="1" x14ac:dyDescent="0.25">
      <c r="A23" s="5" t="str">
        <f>HYPERLINK("#'Input - Solid waste'!A1", "Solid waste")</f>
        <v>Solid waste</v>
      </c>
      <c r="D23" s="110" t="s">
        <v>582</v>
      </c>
    </row>
    <row r="24" spans="1:9" ht="20.100000000000001" customHeight="1" x14ac:dyDescent="0.25">
      <c r="D24" s="112" t="s">
        <v>583</v>
      </c>
      <c r="E24" s="112" t="s">
        <v>584</v>
      </c>
      <c r="F24" s="112" t="s">
        <v>585</v>
      </c>
      <c r="G24" s="112" t="s">
        <v>586</v>
      </c>
      <c r="H24" s="111" t="s">
        <v>587</v>
      </c>
    </row>
    <row r="25" spans="1:9" ht="20.100000000000001" customHeight="1" x14ac:dyDescent="0.25">
      <c r="D25" s="25" t="str" cm="1">
        <f t="array" ref="D25:D27">Table_Input_Lime[Product]</f>
        <v>Lime product 1</v>
      </c>
      <c r="E25" s="176" cm="1">
        <f t="array" ref="E25:E27">Table_Input_Lime[Total amount applied (t)]*10^3</f>
        <v>1000000</v>
      </c>
      <c r="F25" s="177" cm="1">
        <f t="array" ref="F25:F27">Table_Input_Lime[Percent Lime CaCO3]</f>
        <v>0.8</v>
      </c>
      <c r="G25" s="177" cm="1">
        <f t="array" ref="G25:G27">Table_Input_Lime[Percent Dolomite CaMg(CO3)2]</f>
        <v>0.1</v>
      </c>
      <c r="H25" s="25" cm="1">
        <f t="array" ref="H25">Fertiliser_Equations_Lime.VEERG_5_3_1_1__1_LimeApplicationCO2Emissions(E25,F25,$I$15,$I$16,G25,$I$18,$I$19,$I$20)</f>
        <v>362.08333333333331</v>
      </c>
    </row>
    <row r="26" spans="1:9" ht="20.100000000000001" customHeight="1" x14ac:dyDescent="0.25">
      <c r="A26" s="6" t="s">
        <v>2</v>
      </c>
      <c r="D26" s="25" t="str">
        <v>Lime product 2</v>
      </c>
      <c r="E26" s="25">
        <v>1000000</v>
      </c>
      <c r="F26" s="25">
        <v>1</v>
      </c>
      <c r="G26" s="25">
        <v>0</v>
      </c>
      <c r="H26" s="25" cm="1">
        <f t="array" ref="H26">Fertiliser_Equations_Lime.VEERG_5_3_1_1__1_LimeApplicationCO2Emissions(E26,F26,$I$15,$I$16,G26,$I$18,$I$19,$I$20)</f>
        <v>396</v>
      </c>
    </row>
    <row r="27" spans="1:9" ht="20.100000000000001" customHeight="1" x14ac:dyDescent="0.25">
      <c r="A27" s="5" t="str">
        <f>HYPERLINK("#'3.2.1.1-2 Enteric Methane'!A1", "3.2.1.1-2 Enteric methane")</f>
        <v>3.2.1.1-2 Enteric methane</v>
      </c>
      <c r="D27" s="25" t="str">
        <v>Lime product 3</v>
      </c>
      <c r="E27" s="25">
        <v>1000000</v>
      </c>
      <c r="F27" s="25">
        <v>0</v>
      </c>
      <c r="G27" s="25">
        <v>0</v>
      </c>
      <c r="H27" s="25" cm="1">
        <f t="array" ref="H27">Fertiliser_Equations_Lime.VEERG_5_3_1_1__1_LimeApplicationCO2Emissions(E27,F27,$I$15,$I$16,G27,$I$18,$I$19,$I$20)</f>
        <v>0</v>
      </c>
    </row>
    <row r="28" spans="1:9" ht="20.100000000000001" customHeight="1" x14ac:dyDescent="0.25">
      <c r="A28" s="5" t="str">
        <f>HYPERLINK("#'4.2.1.1-2 Methane'!A1", "4.2.1.1-2 Manure methane")</f>
        <v>4.2.1.1-2 Manure methane</v>
      </c>
      <c r="D28" s="25"/>
      <c r="E28" s="25"/>
      <c r="F28" s="25"/>
      <c r="G28" s="25"/>
      <c r="H28" s="25" cm="1">
        <f t="array" ref="H28">Fertiliser_Equations_Lime.VEERG_5_3_1_1__1_LimeApplicationCO2Emissions(E28,F28,$I$15,$I$16,G28,$I$18,$I$19,$I$20)</f>
        <v>0</v>
      </c>
    </row>
    <row r="29" spans="1:9" ht="20.100000000000001" customHeight="1" x14ac:dyDescent="0.25">
      <c r="A29" s="5" t="str">
        <f>HYPERLINK("#'4.2.1.3-4 Soil direct N20'!A1", "4.2.1.3-4 Soil direct N2O")</f>
        <v>4.2.1.3-4 Soil direct N2O</v>
      </c>
      <c r="D29" s="25"/>
      <c r="E29" s="25"/>
      <c r="F29" s="25"/>
      <c r="G29" s="25"/>
      <c r="H29" s="25" cm="1">
        <f t="array" ref="H29">Fertiliser_Equations_Lime.VEERG_5_3_1_1__1_LimeApplicationCO2Emissions(E29,F29,$I$15,$I$16,G29,$I$18,$I$19,$I$20)</f>
        <v>0</v>
      </c>
    </row>
    <row r="30" spans="1:9" ht="20.100000000000001" customHeight="1" x14ac:dyDescent="0.25">
      <c r="A30" s="5" t="str">
        <f>HYPERLINK("#'4.2.1.5-6 Soil Atmos Dep'!A1", "4.2.1.5-6 Soil atm. deposition")</f>
        <v>4.2.1.5-6 Soil atm. deposition</v>
      </c>
    </row>
    <row r="31" spans="1:9" ht="20.100000000000001" customHeight="1" x14ac:dyDescent="0.25">
      <c r="A31" s="5" t="str">
        <f>HYPERLINK("#'4.2.1.7-8 Soil leach runoff'!A1", "4.2.1.7-8 Soil leach &amp; runoff")</f>
        <v>4.2.1.7-8 Soil leach &amp; runoff</v>
      </c>
      <c r="D31" s="115" t="s">
        <v>588</v>
      </c>
      <c r="E31" s="116">
        <f>SUM(H25:H29)</f>
        <v>758.08333333333326</v>
      </c>
      <c r="F31" s="178" t="s">
        <v>144</v>
      </c>
    </row>
    <row r="32" spans="1:9" ht="20.100000000000001" customHeight="1" x14ac:dyDescent="0.25">
      <c r="A32" s="5" t="str">
        <f>HYPERLINK("#'5.1.1.1-2 Inorganic fert N2O'!A1", "5.1.1.1-2 Inorganic fert N2O")</f>
        <v>5.1.1.1-2 Inorganic fert N2O</v>
      </c>
    </row>
    <row r="33" spans="1:1" ht="20.100000000000001" customHeight="1" x14ac:dyDescent="0.25">
      <c r="A33" s="5" t="str">
        <f>HYPERLINK("#'5.1.1.3-4 Inorganic fert CO2'!A1", "5.1.1.3-4 Inorganic fert CO2")</f>
        <v>5.1.1.3-4 Inorganic fert CO2</v>
      </c>
    </row>
    <row r="34" spans="1:1" ht="20.100000000000001" customHeight="1" x14ac:dyDescent="0.25">
      <c r="A34" s="5" t="str">
        <f>HYPERLINK("#'5.2.1.1-2 Organic Fert N2O'!A1", "5.2.1.1-2 Organic fert N2O")</f>
        <v>5.2.1.1-2 Organic fert N2O</v>
      </c>
    </row>
    <row r="35" spans="1:1" ht="20.100000000000001" customHeight="1" x14ac:dyDescent="0.25">
      <c r="A35" s="101" t="str">
        <f>HYPERLINK("#'5.3.1.1-2 Lime CO2'!A1", "5.3.1.1-2 Lime CO2")</f>
        <v>5.3.1.1-2 Lime CO2</v>
      </c>
    </row>
    <row r="36" spans="1:1" ht="20.100000000000001" customHeight="1" x14ac:dyDescent="0.25">
      <c r="A36" s="5" t="str">
        <f>HYPERLINK("#'5.4.1.1-4 Atmos deposition'!A1", "5.4.1.1-4 Atmos. deposition")</f>
        <v>5.4.1.1-4 Atmos. deposition</v>
      </c>
    </row>
    <row r="37" spans="1:1" ht="20.100000000000001" customHeight="1" x14ac:dyDescent="0.25">
      <c r="A37" s="5" t="str">
        <f>HYPERLINK("#'5.5.1.1-2 Leaching and runoff'!A1", "5.5.1.1-2 Leaching &amp; runoff")</f>
        <v>5.5.1.1-2 Leaching &amp; runoff</v>
      </c>
    </row>
    <row r="38" spans="1:1" ht="20.100000000000001" customHeight="1" x14ac:dyDescent="0.25">
      <c r="A38" s="5" t="str">
        <f>HYPERLINK("#'6.2.1.1-2 Pasture residue N2O'!A1", "6.2.1.1-2 Pasture residue N2O")</f>
        <v>6.2.1.1-2 Pasture residue N2O</v>
      </c>
    </row>
    <row r="39" spans="1:1" ht="20.100000000000001" customHeight="1" x14ac:dyDescent="0.25">
      <c r="A39" s="5" t="str">
        <f>HYPERLINK("#'6.3.1.1-2 Leach runoff pasture'!A1", "6.3.1.1-2 Leach &amp; runoff (pasture)")</f>
        <v>6.3.1.1-2 Leach &amp; runoff (pasture)</v>
      </c>
    </row>
    <row r="40" spans="1:1" ht="20.100000000000001" customHeight="1" x14ac:dyDescent="0.25">
      <c r="A40" s="5" t="str">
        <f>HYPERLINK("#'8.1.1.1-2 Transport fuel'!A1", "8.1.1.1-2 Transport fuel")</f>
        <v>8.1.1.1-2 Transport fuel</v>
      </c>
    </row>
    <row r="41" spans="1:1" ht="20.100000000000001" customHeight="1" x14ac:dyDescent="0.25">
      <c r="A41" s="5" t="str">
        <f>HYPERLINK("#'8.2.1.1-2 Stationary fuel'!A1", "8.2.1.1-2 Stationary fuel")</f>
        <v>8.2.1.1-2 Stationary fuel</v>
      </c>
    </row>
    <row r="42" spans="1:1" ht="20.100000000000001" customHeight="1" x14ac:dyDescent="0.25">
      <c r="A42" s="5" t="str">
        <f>HYPERLINK("#'14.1.1-2 Purchased electricity'!A1", "14.1.1-2 Purchased electricity")</f>
        <v>14.1.1-2 Purchased electricity</v>
      </c>
    </row>
    <row r="43" spans="1:1" ht="20.100000000000001" customHeight="1" x14ac:dyDescent="0.25">
      <c r="A43" s="5" t="str">
        <f>HYPERLINK("#'15 Scope 3'!A1", "15 Scope 3")</f>
        <v>15 Scope 3</v>
      </c>
    </row>
    <row r="44" spans="1:1" ht="20.100000000000001" customHeight="1" x14ac:dyDescent="0.25">
      <c r="A44" s="5" t="str">
        <f>HYPERLINK("#'Calcs - Manure sent off-site'!A1", "Calcs - Manure sent off-site")</f>
        <v>Calcs - Manure sent off-site</v>
      </c>
    </row>
    <row r="45" spans="1:1" ht="20.100000000000001" customHeight="1" x14ac:dyDescent="0.25">
      <c r="A45" s="5" t="str">
        <f>HYPERLINK("#'10.1.1-2 Solid waste treatment'!A1", "10.1.1-2 Solid waste treatment")</f>
        <v>10.1.1-2 Solid waste treatment</v>
      </c>
    </row>
    <row r="46" spans="1:1" ht="20.100000000000001" customHeight="1" x14ac:dyDescent="0.25"/>
    <row r="47" spans="1:1" ht="20.100000000000001" customHeight="1" x14ac:dyDescent="0.25"/>
    <row r="48" spans="1:1"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A845-B020-4408-849D-3693DD8584F6}">
  <dimension ref="A1:U165"/>
  <sheetViews>
    <sheetView showGridLines="0" topLeftCell="A107"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589</v>
      </c>
    </row>
    <row r="2" spans="1:21" s="3" customFormat="1" ht="20.100000000000001" customHeight="1" x14ac:dyDescent="0.25">
      <c r="A2"/>
    </row>
    <row r="3" spans="1:21" ht="20.100000000000001" customHeight="1" x14ac:dyDescent="0.25">
      <c r="A3" s="5" t="str">
        <f>HYPERLINK("#'Home'!A1", "Home")</f>
        <v>Home</v>
      </c>
      <c r="C3" s="33"/>
      <c r="D3" s="33" t="s">
        <v>148</v>
      </c>
      <c r="E3" s="33"/>
      <c r="F3" s="33"/>
      <c r="G3" s="33"/>
      <c r="H3" s="33"/>
      <c r="I3" s="33"/>
      <c r="J3" s="33"/>
      <c r="K3" s="33"/>
      <c r="L3" s="33"/>
      <c r="N3" s="33"/>
      <c r="O3" s="33" t="s">
        <v>149</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D7" s="100" t="s">
        <v>259</v>
      </c>
      <c r="E7" s="100"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261</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Beef'!A1", "Pasture Beef")</f>
        <v>Pasture Beef</v>
      </c>
      <c r="D11" s="88" t="s">
        <v>131</v>
      </c>
      <c r="E11" s="15" t="str" cm="1">
        <f t="array" ref="E11">Fertiliser_Equations_AtmosphericDeposition.VEERG_5_4_1_1__2_MassOfNitrogenVolatilisedFromInorganicFertiliser_Unit()</f>
        <v>kg N</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02" t="str" cm="1">
        <f t="array" ref="D13:E14">_xlfn.CHOOSECOLS(Fertiliser_Equations_AtmosphericDeposition.VEERG_5_4_1_1__2_MassOfNitrogenVolatilisedFromInorganicFertiliser_Arguments(), 1, 2)</f>
        <v>MN_jf</v>
      </c>
      <c r="E13" s="103" t="str">
        <v>mass of nitrogen in inorganic fertiliser applied</v>
      </c>
      <c r="F13" s="105"/>
      <c r="G13" s="102" t="str" cm="1">
        <f t="array" ref="G13:H14">_xlfn.CHOOSECOLS(Fertiliser_Equations_AtmosphericDeposition.VEERG_5_4_1_1__2_MassOfNitrogenVolatilisedFromInorganicFertiliser_Arguments(), 3,4)</f>
        <v>kg N</v>
      </c>
      <c r="H13" s="107" t="str">
        <v>Calculated from 5.1.1.1 (2)</v>
      </c>
      <c r="I13" s="108" t="str" cm="1">
        <f t="array" aca="1" ref="I13" ca="1">HYPERLINK(Common_InputFunctions.Utility_SourceHyperlink($D$16),$D$16)</f>
        <v>Table_M_vol_inorganic_j_f</v>
      </c>
    </row>
    <row r="14" spans="1:21" ht="20.100000000000001" customHeight="1" x14ac:dyDescent="0.25">
      <c r="A14" s="5" t="str">
        <f>HYPERLINK("#'Input - Beef cattle purchases'!A1", "Beef cattle purchases")</f>
        <v>Beef cattle purchases</v>
      </c>
      <c r="D14" s="102" t="str">
        <v>FracGASF_f</v>
      </c>
      <c r="E14" s="103" t="str">
        <v>fraction of inorganic fertiliser that volatilises</v>
      </c>
      <c r="F14" s="105"/>
      <c r="G14" s="102" t="str">
        <v>(kg NH3-N + NOx-N)/kg N</v>
      </c>
      <c r="H14" s="107" t="str">
        <v>Constant</v>
      </c>
      <c r="I14" s="108" t="str" cm="1">
        <f t="array" aca="1" ref="I14" ca="1">HYPERLINK(Common_InputFunctions.Utility_SourceHyperlink($D$16),$D$16)</f>
        <v>Table_M_vol_inorganic_j_f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09" t="s">
        <v>590</v>
      </c>
    </row>
    <row r="17" spans="1:8" ht="20.100000000000001" customHeight="1" x14ac:dyDescent="0.25">
      <c r="A17" s="5" t="str">
        <f>HYPERLINK("#'Input - Fertiliser'!A1", "Fertiliser")</f>
        <v>Fertiliser</v>
      </c>
      <c r="D17" s="110" t="s">
        <v>591</v>
      </c>
    </row>
    <row r="18" spans="1:8" ht="20.100000000000001" customHeight="1" x14ac:dyDescent="0.25">
      <c r="A18" s="5" t="str">
        <f>HYPERLINK("#'Input - Fuel'!A1", "Fuel")</f>
        <v>Fuel</v>
      </c>
      <c r="D18" s="111" t="s">
        <v>592</v>
      </c>
      <c r="E18" s="111" t="s">
        <v>593</v>
      </c>
      <c r="F18" s="111" t="s">
        <v>594</v>
      </c>
      <c r="G18" s="179" t="s">
        <v>595</v>
      </c>
      <c r="H18" s="179" t="s">
        <v>596</v>
      </c>
    </row>
    <row r="19" spans="1:8" ht="20.100000000000001" customHeight="1" x14ac:dyDescent="0.25">
      <c r="A19" s="5" t="str">
        <f>HYPERLINK("#'Input - Electricity'!A1", "Electricity")</f>
        <v>Electricity</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HYPERLINK("#'Input - Farm Inputs'!A1", "Farm Inputs")</f>
        <v>Farm Inputs</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HYPERLINK("#'Input - Freight'!A1", "Freight")</f>
        <v>Freight</v>
      </c>
      <c r="D21" s="25" t="str">
        <v>Urea</v>
      </c>
      <c r="E21" s="25">
        <f>INDEX(Table_MN_j_f,4,4)</f>
        <v>46000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6900</v>
      </c>
    </row>
    <row r="22" spans="1:8" ht="20.100000000000001" customHeight="1" x14ac:dyDescent="0.25">
      <c r="A22" s="5" t="str">
        <f>HYPERLINK("#'Input - Manure sent off-site'!A1", "Manure sent off-site")</f>
        <v>Manure sent off-site</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HYPERLINK("#'Input - Solid waste'!A1", "Solid waste")</f>
        <v>Solid waste</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6" t="s">
        <v>2</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HYPERLINK("#'3.2.1.1-2 Enteric Methane'!A1", "3.2.1.1-2 Enteric methane")</f>
        <v>3.2.1.1-2 Enteric methane</v>
      </c>
      <c r="D27" s="25" t="str">
        <v>Nitrogen - Nitrate</v>
      </c>
      <c r="E27" s="25">
        <f>INDEX(Table_MN_j_f,10,4)</f>
        <v>19800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5" t="str">
        <f>HYPERLINK("#'4.2.1.1-2 Methane'!A1", "4.2.1.1-2 Manure methane")</f>
        <v>4.2.1.1-2 Manure methane</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2305.7999999999997</v>
      </c>
    </row>
    <row r="29" spans="1:8" ht="20.100000000000001" customHeight="1" x14ac:dyDescent="0.25">
      <c r="A29" s="5" t="str">
        <f>HYPERLINK("#'4.2.1.3-4 Soil direct N20'!A1", "4.2.1.3-4 Soil direct N2O")</f>
        <v>4.2.1.3-4 Soil direct N2O</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HYPERLINK("#'4.2.1.5-6 Soil Atmos Dep'!A1", "4.2.1.5-6 Soil atm. deposition")</f>
        <v>4.2.1.5-6 Soil atm. deposition</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HYPERLINK("#'4.2.1.7-8 Soil leach runoff'!A1", "4.2.1.7-8 Soil leach &amp; runoff")</f>
        <v>4.2.1.7-8 Soil leach &amp; runoff</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HYPERLINK("#'5.1.1.1-2 Inorganic fert N2O'!A1", "5.1.1.1-2 Inorganic fert N2O")</f>
        <v>5.1.1.1-2 Inorganic fert N2O</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HYPERLINK("#'5.1.1.3-4 Inorganic fert CO2'!A1", "5.1.1.3-4 Inorganic fert CO2")</f>
        <v>5.1.1.3-4 Inorganic fert CO2</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HYPERLINK("#'5.2.1.1-2 Organic Fert N2O'!A1", "5.2.1.1-2 Organic fert N2O")</f>
        <v>5.2.1.1-2 Organic fert N2O</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A35" s="5" t="str">
        <f>HYPERLINK("#'5.3.1.1-2 Lime CO2'!A1", "5.3.1.1-2 Lime CO2")</f>
        <v>5.3.1.1-2 Lime CO2</v>
      </c>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A36" s="101" t="str">
        <f>HYPERLINK("#'5.4.1.1-4 Atmos deposition'!A1", "5.4.1.1-4 Atmos. deposition")</f>
        <v>5.4.1.1-4 Atmos. deposition</v>
      </c>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v>
      </c>
    </row>
    <row r="37" spans="1:12" ht="20.100000000000001" customHeight="1" x14ac:dyDescent="0.25">
      <c r="A37" s="5" t="str">
        <f>HYPERLINK("#'5.5.1.1-2 Leaching and runoff'!A1", "5.5.1.1-2 Leaching &amp; runoff")</f>
        <v>5.5.1.1-2 Leaching &amp; runoff</v>
      </c>
      <c r="D37" s="25" t="str">
        <v>Calcium nitrate</v>
      </c>
      <c r="E37" s="25">
        <f>INDEX(Table_MN_j_f,20,4)</f>
        <v>7750</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HYPERLINK("#'6.2.1.1-2 Pasture residue N2O'!A1", "6.2.1.1-2 Pasture residue N2O")</f>
        <v>6.2.1.1-2 Pasture residue N2O</v>
      </c>
    </row>
    <row r="39" spans="1:12" ht="20.100000000000001" customHeight="1" x14ac:dyDescent="0.25">
      <c r="A39" s="5" t="str">
        <f>HYPERLINK("#'6.3.1.1-2 Leach runoff pasture'!A1", "6.3.1.1-2 Leach &amp; runoff (pasture)")</f>
        <v>6.3.1.1-2 Leach &amp; runoff (pasture)</v>
      </c>
    </row>
    <row r="40" spans="1:12" ht="20.100000000000001" customHeight="1" x14ac:dyDescent="0.25">
      <c r="A40" s="5" t="str">
        <f>HYPERLINK("#'8.1.1.1-2 Transport fuel'!A1", "8.1.1.1-2 Transport fuel")</f>
        <v>8.1.1.1-2 Transport fuel</v>
      </c>
      <c r="C40" s="175"/>
      <c r="D40" s="175"/>
      <c r="E40" s="175"/>
      <c r="F40" s="175"/>
      <c r="G40" s="175"/>
      <c r="H40" s="175"/>
      <c r="I40" s="175"/>
      <c r="J40" s="175"/>
      <c r="K40" s="175"/>
      <c r="L40" s="175"/>
    </row>
    <row r="41" spans="1:12" ht="20.100000000000001" customHeight="1" x14ac:dyDescent="0.25">
      <c r="A41" s="5" t="str">
        <f>HYPERLINK("#'8.2.1.1-2 Stationary fuel'!A1", "8.2.1.1-2 Stationary fuel")</f>
        <v>8.2.1.1-2 Stationary fuel</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HYPERLINK("#'14.1.1-2 Purchased electricity'!A1", "14.1.1-2 Purchased electricity")</f>
        <v>14.1.1-2 Purchased electricity</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HYPERLINK("#'15 Scope 3'!A1", "15 Scope 3")</f>
        <v>15 Scope 3</v>
      </c>
      <c r="D43" s="100" t="s">
        <v>259</v>
      </c>
      <c r="E43" s="100"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HYPERLINK("#'Calcs - Manure sent off-site'!A1", "Calcs - Manure sent off-site")</f>
        <v>Calcs - Manure sent off-site</v>
      </c>
    </row>
    <row r="45" spans="1:12" ht="20.100000000000001" customHeight="1" x14ac:dyDescent="0.25">
      <c r="A45" s="5" t="str">
        <f>HYPERLINK("#'10.1.1-2 Solid waste treatment'!A1", "10.1.1-2 Solid waste treatment")</f>
        <v>10.1.1-2 Solid waste treatment</v>
      </c>
    </row>
    <row r="46" spans="1:12" ht="20.100000000000001" customHeight="1" x14ac:dyDescent="0.25">
      <c r="D46" s="88" t="s">
        <v>261</v>
      </c>
      <c r="E46" s="1" t="str" cm="1">
        <f t="array" ref="E46">Fertiliser_Equations_AtmosphericDeposition.VEERG_5_4_1_1__1_InorganicFertiliserAtmosphericDepositionN2OEmissions_Variable()</f>
        <v>E_adinorganic</v>
      </c>
    </row>
    <row r="47" spans="1:12" ht="20.100000000000001" customHeight="1" x14ac:dyDescent="0.25">
      <c r="D47" s="88" t="s">
        <v>131</v>
      </c>
      <c r="E47" s="15" t="str" cm="1">
        <f t="array" ref="E47">Fertiliser_Equations_AtmosphericDeposition.VEERG_5_4_1_1__1_InorganicFertiliserAtmosphericDepositionN2OEmissions_Unit()</f>
        <v>t N2O</v>
      </c>
    </row>
    <row r="48" spans="1:12" ht="20.100000000000001" customHeight="1" x14ac:dyDescent="0.25">
      <c r="A48" s="97" t="s">
        <v>1</v>
      </c>
    </row>
    <row r="49" spans="1:10" ht="20.100000000000001" customHeight="1" x14ac:dyDescent="0.25">
      <c r="A49" s="5" t="str">
        <f>HYPERLINK("#'Constants - Pasture Beef'!A1", "Constants - Pasture Beef")</f>
        <v>Constants - Pasture Beef</v>
      </c>
      <c r="D49" s="102" t="str" cm="1">
        <f t="array" ref="D49:E54">_xlfn.CHOOSECOLS(Fertiliser_Equations_AtmosphericDeposition.VEERG_5_4_1_1__1_InorganicFertiliserAtmosphericDepositionN2OEmissions_Arguments(), 1, 2)</f>
        <v>M_volinorganicjf</v>
      </c>
      <c r="E49" s="103" t="str">
        <v>mass of nitrogen volatilised from inorganic fertiliser applied to production system</v>
      </c>
      <c r="F49" s="104"/>
      <c r="G49" s="105"/>
      <c r="H49" s="102" t="str" cm="1">
        <f t="array" ref="H49:I54">_xlfn.CHOOSECOLS(Fertiliser_Equations_AtmosphericDeposition.VEERG_5_4_1_1__1_InorganicFertiliserAtmosphericDepositionN2OEmissions_Arguments(), 3,4)</f>
        <v>kg N</v>
      </c>
      <c r="I49" s="107" t="str">
        <v>Calculated from 5.4.1.1 (2)</v>
      </c>
      <c r="J49" s="108" t="str" cm="1">
        <f t="array" aca="1" ref="J49" ca="1">HYPERLINK(Common_InputFunctions.Utility_SourceHyperlink($D$16),$D$16)</f>
        <v>Table_M_vol_inorganic_j_f</v>
      </c>
    </row>
    <row r="50" spans="1:10" ht="20.100000000000001" customHeight="1" x14ac:dyDescent="0.25">
      <c r="A50" s="5" t="str">
        <f>HYPERLINK("#'Constants - Ag Residue'!A1", "Constants - Ag residue")</f>
        <v>Constants - Ag residue</v>
      </c>
      <c r="D50" s="102" t="str">
        <v>EF_N2Oj</v>
      </c>
      <c r="E50" s="103" t="str">
        <v>emission factor for atmospheric deposition</v>
      </c>
      <c r="F50" s="104"/>
      <c r="G50" s="105"/>
      <c r="H50" s="102" t="str">
        <v>kg N2O-N/kg N</v>
      </c>
      <c r="I50" s="107" t="str">
        <v>Constant</v>
      </c>
      <c r="J50" s="102">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5">
      <c r="A51" s="5" t="str">
        <f>HYPERLINK("#'Constants - Common Livestock'!A1", "Constants - Common Livestock")</f>
        <v>Constants - Common Livestock</v>
      </c>
      <c r="D51" s="102" t="str">
        <v>C_N2O</v>
      </c>
      <c r="E51" s="103" t="str">
        <v>factor to convert elemental mass of nitrous oxide to molecular mass</v>
      </c>
      <c r="F51" s="104"/>
      <c r="G51" s="105"/>
      <c r="H51" s="102" t="str">
        <v/>
      </c>
      <c r="I51" s="107" t="str">
        <v>Constant</v>
      </c>
      <c r="J51" s="118">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HYPERLINK("#'Constants - Electricity'!A1", "Constants - Electricity")</f>
        <v>Constants - Electricity</v>
      </c>
      <c r="D52" s="102" t="str">
        <v>j</v>
      </c>
      <c r="E52" s="103" t="str">
        <v>Production system</v>
      </c>
      <c r="F52" s="104"/>
      <c r="G52" s="105"/>
      <c r="H52" s="102" t="str">
        <v/>
      </c>
      <c r="I52" s="106" t="str">
        <v>Input</v>
      </c>
      <c r="J52" s="102" t="str">
        <f>X_Cell_Fertiliser_ProductionSystem</f>
        <v>Pasture</v>
      </c>
    </row>
    <row r="53" spans="1:10" ht="20.100000000000001" customHeight="1" x14ac:dyDescent="0.25">
      <c r="A53" s="5" t="str">
        <f>HYPERLINK("#'Constants - Fertiliser'!A1", "Constants - Fertiliser")</f>
        <v>Constants - Fertiliser</v>
      </c>
      <c r="D53" s="102" t="str">
        <v>ir</v>
      </c>
      <c r="E53" s="103" t="str">
        <v>irrigation method</v>
      </c>
      <c r="F53" s="104"/>
      <c r="G53" s="105"/>
      <c r="H53" s="102" t="str">
        <v/>
      </c>
      <c r="I53" s="106" t="str">
        <v>Input</v>
      </c>
      <c r="J53" s="102" t="str">
        <f>X_Cell_Fertiliser_IrrigationMethod</f>
        <v>Surface irrigation</v>
      </c>
    </row>
    <row r="54" spans="1:10" ht="20.100000000000001" customHeight="1" x14ac:dyDescent="0.25">
      <c r="A54" s="5" t="str">
        <f>HYPERLINK("#'Constants - Fuel'!A1", "Constants - Fuel")</f>
        <v>Constants - Fuel</v>
      </c>
      <c r="D54" s="102" t="str">
        <v>r</v>
      </c>
      <c r="E54" s="103" t="str">
        <v>rainfall region</v>
      </c>
      <c r="F54" s="104"/>
      <c r="G54" s="105"/>
      <c r="H54" s="102" t="str">
        <v/>
      </c>
      <c r="I54" s="106" t="str">
        <v>Input</v>
      </c>
      <c r="J54" s="102" t="str">
        <f>X_Cell_Site_RainfallZone</f>
        <v>High rainfall</v>
      </c>
    </row>
    <row r="55" spans="1:10" ht="20.100000000000001" customHeight="1" x14ac:dyDescent="0.25">
      <c r="A55" s="5" t="str">
        <f>HYPERLINK("#'Constants - Scope 3'!A1", "Constants - Scope 3")</f>
        <v>Constants - Scope 3</v>
      </c>
    </row>
    <row r="56" spans="1:10" ht="20.100000000000001" customHeight="1" x14ac:dyDescent="0.25">
      <c r="A56" s="5" t="str">
        <f>HYPERLINK("#'Constants - Common'!A1", "Constants - Common")</f>
        <v>Constants - Common</v>
      </c>
      <c r="D56" s="109" t="s">
        <v>597</v>
      </c>
    </row>
    <row r="57" spans="1:10" ht="20.100000000000001" customHeight="1" x14ac:dyDescent="0.25">
      <c r="A57" s="5" t="str">
        <f>HYPERLINK("#'Acknowledgements'!A1", "Acknowledgements")</f>
        <v>Acknowledgements</v>
      </c>
      <c r="D57" s="110" t="s">
        <v>598</v>
      </c>
    </row>
    <row r="58" spans="1:10" ht="20.100000000000001" customHeight="1" x14ac:dyDescent="0.25">
      <c r="A58" s="5" t="str">
        <f>HYPERLINK("#'Constants - Solid Waste'!A1", "Constants - Solid Waste")</f>
        <v>Constants - Solid Waste</v>
      </c>
      <c r="D58" s="111" t="s">
        <v>592</v>
      </c>
      <c r="E58" s="179" t="s">
        <v>596</v>
      </c>
      <c r="F58" s="179" t="s">
        <v>599</v>
      </c>
    </row>
    <row r="59" spans="1: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1: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1:10" ht="20.100000000000001" customHeight="1" x14ac:dyDescent="0.25">
      <c r="D61" s="25" t="str">
        <v>Urea</v>
      </c>
      <c r="E61" s="25">
        <f t="shared" si="0"/>
        <v>6900</v>
      </c>
      <c r="F61" s="25" cm="1">
        <f t="array" ref="F61">Fertiliser_Equations_AtmosphericDeposition.VEERG_5_4_1_1__1_InorganicFertiliserAtmosphericDepositionN2OEmissions(E61,$J$50,$J$51)</f>
        <v>6.3972857142857151E-2</v>
      </c>
    </row>
    <row r="62" spans="1: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1: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1: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1.8357428571428569E-3</v>
      </c>
    </row>
    <row r="68" spans="4:6" ht="20.100000000000001" customHeight="1" x14ac:dyDescent="0.25">
      <c r="D68" s="25" t="str">
        <v>Nitrogen - Generic</v>
      </c>
      <c r="E68" s="25">
        <f t="shared" si="0"/>
        <v>2305.7999999999997</v>
      </c>
      <c r="F68" s="25" cm="1">
        <f t="array" ref="F68">Fertiliser_Equations_AtmosphericDeposition.VEERG_5_4_1_1__1_InorganicFertiliserAtmosphericDepositionN2OEmissions(E68,$J$50,$J$51)</f>
        <v>2.1378059999999997E-2</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v>
      </c>
      <c r="F76" s="25" cm="1">
        <f t="array" ref="F76">Fertiliser_Equations_AtmosphericDeposition.VEERG_5_4_1_1__1_InorganicFertiliserAtmosphericDepositionN2OEmissions(E76,$J$50,$J$51)</f>
        <v>3.0540085714285712E-2</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7.1853571428571431E-4</v>
      </c>
    </row>
    <row r="78" spans="4:6" ht="20.100000000000001" customHeight="1" x14ac:dyDescent="0.25"/>
    <row r="79" spans="4:6" ht="20.100000000000001" customHeight="1" x14ac:dyDescent="0.25">
      <c r="D79" s="115" t="s">
        <v>600</v>
      </c>
      <c r="E79" s="116">
        <f>SUM(F59:F77)</f>
        <v>0.11844528142857143</v>
      </c>
      <c r="F79" s="117" t="str">
        <f>$E$47</f>
        <v>t N2O</v>
      </c>
    </row>
    <row r="80" spans="4:6" ht="20.100000000000001" customHeight="1" x14ac:dyDescent="0.25"/>
    <row r="81" spans="3:12" ht="20.100000000000001" customHeight="1" x14ac:dyDescent="0.25">
      <c r="D81" s="118" t="str" cm="1">
        <f t="array" ref="D81:E82">Common_Equations.Common_ConvertN2OToCO2e_Arguments()</f>
        <v>EN2O</v>
      </c>
      <c r="E81" s="119" t="str">
        <v>Nitrous oxide emissions (t N2O)</v>
      </c>
      <c r="F81" s="120"/>
      <c r="G81" s="25">
        <f>VEERG_5_4_1_1__1_InorganicFertiliserAtmosphericDepositionN2OEmissions_Result_Method1</f>
        <v>0.11844528142857143</v>
      </c>
    </row>
    <row r="82" spans="3:12" ht="20.100000000000001" customHeight="1" x14ac:dyDescent="0.25">
      <c r="D82" s="118" t="str">
        <v>GWPN2O</v>
      </c>
      <c r="E82" s="119" t="str">
        <v>Global warming potential for nitrous oxide (t CO2-e / t N2O)</v>
      </c>
      <c r="F82" s="120"/>
      <c r="G82" s="25">
        <f>Common_InputFunctions.Utility_LookupValueInTableNumber("N2O",Table_GWPData[Gas],Table_GWPData[CO2-e factor])</f>
        <v>265</v>
      </c>
    </row>
    <row r="83" spans="3:12" ht="20.100000000000001" customHeight="1" x14ac:dyDescent="0.25"/>
    <row r="84" spans="3:12" ht="20.100000000000001" customHeight="1" x14ac:dyDescent="0.25">
      <c r="D84" s="114" t="s">
        <v>323</v>
      </c>
      <c r="E84" s="114" cm="1">
        <f t="array" ref="E84">Common_Equations.Common_ConvertN2OToCO2e(G81,G82)</f>
        <v>31.387999578571428</v>
      </c>
      <c r="F84" s="121"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5"/>
      <c r="D87" s="175"/>
      <c r="E87" s="175"/>
      <c r="F87" s="175"/>
      <c r="G87" s="175"/>
      <c r="H87" s="175"/>
      <c r="I87" s="175"/>
      <c r="J87" s="175"/>
      <c r="K87" s="175"/>
      <c r="L87" s="175"/>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0" t="s">
        <v>259</v>
      </c>
      <c r="E90" s="100"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261</v>
      </c>
      <c r="E93" s="1" t="str" cm="1">
        <f t="array" ref="E93">Fertiliser_Equations_AtmosphericDeposition.VEERG_5_4_1_3__2_MassOfNitrogenVolatilisedFromOrganicFertiliser_Variable()</f>
        <v>M_volorganicjf</v>
      </c>
    </row>
    <row r="94" spans="3:12" ht="20.100000000000001" customHeight="1" x14ac:dyDescent="0.25">
      <c r="D94" s="88" t="s">
        <v>131</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2" t="str" cm="1">
        <f t="array" ref="D96:E97">_xlfn.CHOOSECOLS(Fertiliser_Equations_AtmosphericDeposition.VEERG_5_4_1_3__2_MassOfNitrogenVolatilisedFromOrganicFertiliser_Arguments(), 1, 2)</f>
        <v>MNSoil_jf</v>
      </c>
      <c r="E96" s="102" t="str">
        <v>mass of nitrogen in organic fertiliser type f applied to production system j</v>
      </c>
      <c r="F96" s="102"/>
      <c r="G96" s="102" t="str" cm="1">
        <f t="array" ref="G96:H97">_xlfn.CHOOSECOLS(Fertiliser_Equations_AtmosphericDeposition.VEERG_5_4_1_3__2_MassOfNitrogenVolatilisedFromOrganicFertiliser_Arguments(), 3,4)</f>
        <v>kg N</v>
      </c>
      <c r="H96" s="107" t="str">
        <v>Calculated from 5.2.1.1 (2)</v>
      </c>
      <c r="I96" s="108" t="str" cm="1">
        <f t="array" aca="1" ref="I96" ca="1">HYPERLINK(Common_InputFunctions.Utility_SourceHyperlink($D$99), $D$99)</f>
        <v>Table_M_vol_organic_j_f</v>
      </c>
    </row>
    <row r="97" spans="4:9" ht="20.100000000000001" customHeight="1" x14ac:dyDescent="0.25">
      <c r="D97" s="102" t="str">
        <v>FracGASM_soil</v>
      </c>
      <c r="E97" s="102" t="str">
        <v>fraction of organic fertiliser N that volatilises</v>
      </c>
      <c r="F97" s="102"/>
      <c r="G97" s="102" t="str">
        <v>(kg NH3-N + NOx-N)/kg N</v>
      </c>
      <c r="H97" s="107" t="str">
        <v>Constant</v>
      </c>
      <c r="I97" s="102">
        <f>Fertiliser_FracGASMSoil_Data</f>
        <v>0.21</v>
      </c>
    </row>
    <row r="98" spans="4:9" ht="20.100000000000001" customHeight="1" x14ac:dyDescent="0.25"/>
    <row r="99" spans="4:9" ht="20.100000000000001" customHeight="1" x14ac:dyDescent="0.25">
      <c r="D99" s="109" t="s">
        <v>601</v>
      </c>
    </row>
    <row r="100" spans="4:9" ht="20.100000000000001" customHeight="1" x14ac:dyDescent="0.25">
      <c r="D100" s="110" t="s">
        <v>602</v>
      </c>
    </row>
    <row r="101" spans="4:9" ht="20.100000000000001" customHeight="1" x14ac:dyDescent="0.25">
      <c r="D101" s="112" t="s">
        <v>574</v>
      </c>
      <c r="E101" s="170" t="s">
        <v>578</v>
      </c>
      <c r="F101" s="170" t="s">
        <v>603</v>
      </c>
    </row>
    <row r="102" spans="4:9" ht="20.100000000000001" customHeight="1" x14ac:dyDescent="0.25">
      <c r="D102" s="25" t="str" cm="1">
        <f t="array" ref="D102:D104">Table_Input_OrganicFertiliser[Organic fertiliser type (select)]</f>
        <v>Manure - Other</v>
      </c>
      <c r="E102" s="25">
        <f>INDEX(Table_MNSoil_j_f,2,6)</f>
        <v>3000</v>
      </c>
      <c r="F102" s="25" cm="1">
        <f t="array" ref="F102">Fertiliser_Equations_AtmosphericDeposition.VEERG_5_4_1_3__2_MassOfNitrogenVolatilisedFromOrganicFertiliser(E102,$I$97)</f>
        <v>630</v>
      </c>
      <c r="G102" s="26" t="str">
        <f>$E$94</f>
        <v>kg N</v>
      </c>
    </row>
    <row r="103" spans="4:9" ht="20.100000000000001" customHeight="1" x14ac:dyDescent="0.25">
      <c r="D103" s="25" t="str">
        <v>Manure - Poultry</v>
      </c>
      <c r="E103" s="25">
        <f>INDEX(Table_MNSoil_j_f,3,6)</f>
        <v>2500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5"/>
      <c r="D115" s="175"/>
      <c r="E115" s="175"/>
      <c r="F115" s="175"/>
      <c r="G115" s="175"/>
      <c r="H115" s="175"/>
      <c r="I115" s="175"/>
      <c r="J115" s="175"/>
      <c r="K115" s="175"/>
      <c r="L115" s="175"/>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0" t="s">
        <v>259</v>
      </c>
      <c r="E118" s="100"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261</v>
      </c>
      <c r="E121" s="1" t="str" cm="1">
        <f t="array" ref="E121">Fertiliser_Equations_AtmosphericDeposition.VEERG_5_4_1_3__1_OrganicFertiliserAtmosphericDepositionN2OEmissions_Variable()</f>
        <v>E_adorganic</v>
      </c>
    </row>
    <row r="122" spans="3:12" ht="20.100000000000001" customHeight="1" x14ac:dyDescent="0.25">
      <c r="D122" s="88" t="s">
        <v>131</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2" t="str" cm="1">
        <f t="array" ref="D124:E129">_xlfn.CHOOSECOLS(Fertiliser_Equations_AtmosphericDeposition.VEERG_5_4_1_3__1_OrganicFertiliserAtmosphericDepositionN2OEmissions_Arguments(), 1, 2)</f>
        <v>M_volorganicjf</v>
      </c>
      <c r="E124" s="103" t="str">
        <v>mass of nitrogen volatilised from organic fertiliser applied to production system</v>
      </c>
      <c r="F124" s="105"/>
      <c r="G124" s="102" t="str" cm="1">
        <f t="array" ref="G124:H129">_xlfn.CHOOSECOLS(Fertiliser_Equations_AtmosphericDeposition.VEERG_5_4_1_3__1_OrganicFertiliserAtmosphericDepositionN2OEmissions_Arguments(), 3,4)</f>
        <v>kg N</v>
      </c>
      <c r="H124" s="107" t="str">
        <v>Calculated from 5.4.1.3 (2)</v>
      </c>
      <c r="I124" s="108" t="str" cm="1">
        <f t="array" aca="1" ref="I124" ca="1">HYPERLINK(Common_InputFunctions.Utility_SourceHyperlink($D$99), $D$99)</f>
        <v>Table_M_vol_organic_j_f</v>
      </c>
    </row>
    <row r="125" spans="3:12" ht="20.100000000000001" customHeight="1" x14ac:dyDescent="0.25">
      <c r="D125" s="102" t="str">
        <v>EF_N2Oj</v>
      </c>
      <c r="E125" s="103" t="str">
        <v>emission factor for atmospheric deposition in production system j</v>
      </c>
      <c r="F125" s="105"/>
      <c r="G125" s="102" t="str">
        <v>kg N2O-N/kg N</v>
      </c>
      <c r="H125" s="107" t="str">
        <v>Constant</v>
      </c>
      <c r="I125" s="102">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5">
      <c r="D126" s="102" t="str">
        <v>C_N2O</v>
      </c>
      <c r="E126" s="103" t="str">
        <v>factor to convert elemental mass of nitrous oxide to molecular mass</v>
      </c>
      <c r="F126" s="105"/>
      <c r="G126" s="102" t="str">
        <v/>
      </c>
      <c r="H126" s="107" t="str">
        <v>Constant</v>
      </c>
      <c r="I126" s="118">
        <f>Common_InputFunctions.Utility_LookupValueInTableNumber("N2O",Table_GasToMolecularConversionFactor[Gas],Table_GasToMolecularConversionFactor[Conversion factor combined])</f>
        <v>1.5714285714285714</v>
      </c>
    </row>
    <row r="127" spans="3:12" ht="20.100000000000001" customHeight="1" x14ac:dyDescent="0.25">
      <c r="D127" s="102" t="str">
        <v>j</v>
      </c>
      <c r="E127" s="103" t="str">
        <v>Production system</v>
      </c>
      <c r="F127" s="105"/>
      <c r="G127" s="102" t="str">
        <v/>
      </c>
      <c r="H127" s="106" t="str">
        <v>Input</v>
      </c>
      <c r="I127" s="102" t="str">
        <f>X_Cell_Fertiliser_ProductionSystem</f>
        <v>Pasture</v>
      </c>
    </row>
    <row r="128" spans="3:12" ht="20.100000000000001" customHeight="1" x14ac:dyDescent="0.25">
      <c r="D128" s="102" t="str">
        <v>ir</v>
      </c>
      <c r="E128" s="103" t="str">
        <v>irrigation method</v>
      </c>
      <c r="F128" s="105"/>
      <c r="G128" s="102" t="str">
        <v/>
      </c>
      <c r="H128" s="106" t="str">
        <v>Input</v>
      </c>
      <c r="I128" s="102" t="str">
        <f>X_Cell_Fertiliser_IrrigationMethod</f>
        <v>Surface irrigation</v>
      </c>
    </row>
    <row r="129" spans="4:9" ht="20.100000000000001" customHeight="1" x14ac:dyDescent="0.25">
      <c r="D129" s="102" t="str">
        <v>r</v>
      </c>
      <c r="E129" s="103" t="str">
        <v>rainfall region</v>
      </c>
      <c r="F129" s="105"/>
      <c r="G129" s="102" t="str">
        <v/>
      </c>
      <c r="H129" s="106" t="str">
        <v>Input</v>
      </c>
      <c r="I129" s="102" t="str">
        <f>X_Cell_Site_RainfallZone</f>
        <v>High rainfall</v>
      </c>
    </row>
    <row r="130" spans="4:9" ht="20.100000000000001" customHeight="1" x14ac:dyDescent="0.25"/>
    <row r="131" spans="4:9" ht="20.100000000000001" customHeight="1" x14ac:dyDescent="0.25">
      <c r="D131" s="109" t="s">
        <v>604</v>
      </c>
    </row>
    <row r="132" spans="4:9" ht="20.100000000000001" customHeight="1" x14ac:dyDescent="0.25">
      <c r="D132" s="110" t="s">
        <v>605</v>
      </c>
    </row>
    <row r="133" spans="4:9" ht="20.100000000000001" customHeight="1" x14ac:dyDescent="0.25">
      <c r="D133" s="112" t="s">
        <v>574</v>
      </c>
      <c r="E133" s="170" t="s">
        <v>603</v>
      </c>
      <c r="F133" s="170" t="s">
        <v>606</v>
      </c>
    </row>
    <row r="134" spans="4:9" ht="20.100000000000001" customHeight="1" x14ac:dyDescent="0.25">
      <c r="D134" s="25" t="str" cm="1">
        <f t="array" ref="D134:D136">Table_Input_OrganicFertiliser[Organic fertiliser type (select)]</f>
        <v>Manure - Other</v>
      </c>
      <c r="E134" s="25">
        <f>F102</f>
        <v>630</v>
      </c>
      <c r="F134" s="25" cm="1">
        <f t="array" ref="F134">Fertiliser_Equations_AtmosphericDeposition.VEERG_5_4_1_3__1_OrganicFertiliserAtmosphericDepositionN2OEmissions(E134,$I$125,$I$126)</f>
        <v>5.8410000000000007E-3</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4.8674999999999994E-3</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3.1151999999999998E-3</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5" t="s">
        <v>607</v>
      </c>
      <c r="E146" s="116">
        <f>SUM(F134:F144)</f>
        <v>1.38237E-2</v>
      </c>
      <c r="F146" s="117" t="str">
        <f>$E$122</f>
        <v>t N2O</v>
      </c>
    </row>
    <row r="147" spans="4:7" ht="20.100000000000001" customHeight="1" x14ac:dyDescent="0.25"/>
    <row r="148" spans="4:7" ht="20.100000000000001" customHeight="1" x14ac:dyDescent="0.25">
      <c r="D148" s="118" t="str" cm="1">
        <f t="array" ref="D148:E149">Common_Equations.Common_ConvertN2OToCO2e_Arguments()</f>
        <v>EN2O</v>
      </c>
      <c r="E148" s="119" t="str">
        <v>Nitrous oxide emissions (t N2O)</v>
      </c>
      <c r="F148" s="120"/>
      <c r="G148" s="25">
        <f>VEERG_5_4_1_3__1_OrganicFertiliserAtmosphericDepositionN2OEmissions_Result_Method1</f>
        <v>1.38237E-2</v>
      </c>
    </row>
    <row r="149" spans="4:7" ht="20.100000000000001" customHeight="1" x14ac:dyDescent="0.25">
      <c r="D149" s="118" t="str">
        <v>GWPN2O</v>
      </c>
      <c r="E149" s="119" t="str">
        <v>Global warming potential for nitrous oxide (t CO2-e / t N2O)</v>
      </c>
      <c r="F149" s="120"/>
      <c r="G149" s="25">
        <f>Common_InputFunctions.Utility_LookupValueInTableNumber("N2O",Table_GWPData[Gas],Table_GWPData[CO2-e factor])</f>
        <v>265</v>
      </c>
    </row>
    <row r="150" spans="4:7" ht="20.100000000000001" customHeight="1" x14ac:dyDescent="0.25"/>
    <row r="151" spans="4:7" ht="20.100000000000001" customHeight="1" x14ac:dyDescent="0.25">
      <c r="D151" s="114" t="s">
        <v>323</v>
      </c>
      <c r="E151" s="114" cm="1">
        <f t="array" ref="E151">Common_Equations.Common_ConvertN2OToCO2e(G148,G149)</f>
        <v>3.6632804999999999</v>
      </c>
      <c r="F151" s="121"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8FEB-6B21-4744-B48E-8C69954B5FA2}">
  <dimension ref="A1:T165"/>
  <sheetViews>
    <sheetView showGridLines="0" topLeftCell="A75"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608</v>
      </c>
    </row>
    <row r="2" spans="1:20" s="3" customFormat="1" ht="20.100000000000001" customHeight="1" x14ac:dyDescent="0.25">
      <c r="A2"/>
    </row>
    <row r="3" spans="1:20" ht="20.100000000000001" customHeight="1" x14ac:dyDescent="0.25">
      <c r="A3" s="5" t="str">
        <f>HYPERLINK("#'Home'!A1", "Home")</f>
        <v>Home</v>
      </c>
      <c r="C3" s="33"/>
      <c r="D3" s="33" t="s">
        <v>148</v>
      </c>
      <c r="E3" s="33"/>
      <c r="F3" s="33"/>
      <c r="G3" s="33"/>
      <c r="H3" s="33"/>
      <c r="I3" s="33"/>
      <c r="J3" s="33"/>
      <c r="K3" s="33"/>
      <c r="M3" s="33"/>
      <c r="N3" s="33" t="s">
        <v>149</v>
      </c>
      <c r="O3" s="33"/>
      <c r="P3" s="33"/>
      <c r="Q3" s="33"/>
      <c r="R3" s="33"/>
      <c r="S3" s="33"/>
      <c r="T3" s="33"/>
    </row>
    <row r="4" spans="1:20" ht="20.100000000000001" customHeight="1" x14ac:dyDescent="0.25">
      <c r="A4" s="5" t="str">
        <f>HYPERLINK("#'Overview'!A1", "Overview")</f>
        <v>Overview</v>
      </c>
    </row>
    <row r="5" spans="1:20" ht="20.100000000000001" customHeight="1" x14ac:dyDescent="0.25">
      <c r="A5" s="5" t="str">
        <f>HYPERLINK("#'Results'!A1", "Results")</f>
        <v>Results</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D7" s="100" t="s">
        <v>259</v>
      </c>
      <c r="E7" s="100"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88" t="s">
        <v>261</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Beef'!A1", "Pasture Beef")</f>
        <v>Pasture Beef</v>
      </c>
      <c r="D11" s="88" t="s">
        <v>131</v>
      </c>
      <c r="E11" s="15" t="str" cm="1">
        <f t="array" ref="E11">Fertiliser_Equations_LeachingAndRunoff.VEERG_5_5_1_1__2_MassOfNitrogenLeachedFromInorganicFertiliser_Unit()</f>
        <v>kg N</v>
      </c>
    </row>
    <row r="12" spans="1:20" ht="20.100000000000001" customHeight="1" x14ac:dyDescent="0.25">
      <c r="A12" s="5" t="str">
        <f>HYPERLINK("#'Input - Pasture Beef (Enteric)'!A1", "Pasture Beef (Enteric)")</f>
        <v>Pasture Beef (Enteric)</v>
      </c>
    </row>
    <row r="13" spans="1:20" ht="20.100000000000001" customHeight="1" x14ac:dyDescent="0.25">
      <c r="A13" s="5" t="str">
        <f>HYPERLINK("#'Input - Livestock sales'!A1", "Livestock sales")</f>
        <v>Livestock sales</v>
      </c>
      <c r="D13" s="102" t="str" cm="1">
        <f t="array" ref="D13:E18">_xlfn.CHOOSECOLS(Fertiliser_Equations_LeachingAndRunoff.VEERG_5_5_1_1__2_MassOfNitrogenLeachedFromInorganicFertiliser_Arguments(), 1, 2)</f>
        <v>MN_jf</v>
      </c>
      <c r="E13" s="103" t="str">
        <v>mass of nitrogen in inorganic fertiliser</v>
      </c>
      <c r="F13" s="105"/>
      <c r="G13" s="102" t="str" cm="1">
        <f t="array" ref="G13:H18">_xlfn.CHOOSECOLS(Fertiliser_Equations_LeachingAndRunoff.VEERG_5_5_1_1__2_MassOfNitrogenLeachedFromInorganicFertiliser_Arguments(), 3,4)</f>
        <v>kg N</v>
      </c>
      <c r="H13" s="107" t="str">
        <v>Calculated from 5.1.1.1 (2)</v>
      </c>
      <c r="I13" s="108" t="str" cm="1">
        <f t="array" aca="1" ref="I13" ca="1">HYPERLINK(Common_InputFunctions.Utility_SourceHyperlink(D20), D20)</f>
        <v>Table_M_leach_inorganic_j</v>
      </c>
    </row>
    <row r="14" spans="1:20" ht="20.100000000000001" customHeight="1" x14ac:dyDescent="0.25">
      <c r="A14" s="5" t="str">
        <f>HYPERLINK("#'Input - Beef cattle purchases'!A1", "Beef cattle purchases")</f>
        <v>Beef cattle purchases</v>
      </c>
      <c r="D14" s="102" t="str">
        <v>FracWETj</v>
      </c>
      <c r="E14" s="103" t="str">
        <v>fraction of N available for leaching and runoff</v>
      </c>
      <c r="F14" s="105"/>
      <c r="G14" s="102" t="str">
        <v>fraction</v>
      </c>
      <c r="H14" s="107" t="str">
        <v>Constant</v>
      </c>
      <c r="I14" s="102">
        <f>Common_InputFunctions.CommonCropping_GetFracWET(I16,I18,#REF!,#REF!,Table_SourceData_FracWETIrrigation[Irrigation type i],Table_SourceData_FracWETIrrigation[FracWET])</f>
        <v>1</v>
      </c>
    </row>
    <row r="15" spans="1:20" ht="20.100000000000001" customHeight="1" x14ac:dyDescent="0.25">
      <c r="A15" s="5" t="str">
        <f>HYPERLINK("#'Input - Pasture'!A1", "Pasture")</f>
        <v>Pasture</v>
      </c>
      <c r="D15" s="102" t="str">
        <v>FracLEACH</v>
      </c>
      <c r="E15" s="103" t="str">
        <v>fraction of N that is lost through leaching and runoff</v>
      </c>
      <c r="F15" s="105"/>
      <c r="G15" s="102" t="str">
        <v>fraction</v>
      </c>
      <c r="H15" s="107" t="str">
        <v>Constant</v>
      </c>
      <c r="I15" s="102">
        <f>Fertiliser_FracLEACH_Data</f>
        <v>0.24</v>
      </c>
    </row>
    <row r="16" spans="1:20" ht="20.100000000000001" customHeight="1" x14ac:dyDescent="0.25">
      <c r="A16" s="5" t="str">
        <f>HYPERLINK("#'Input - Fert Prod System'!A1", "Fert Prod System")</f>
        <v>Fert Prod System</v>
      </c>
      <c r="D16" s="102" t="str">
        <v>z</v>
      </c>
      <c r="E16" s="103" t="str">
        <v>location in leaching zone</v>
      </c>
      <c r="F16" s="105"/>
      <c r="G16" s="102" t="str">
        <v/>
      </c>
      <c r="H16" s="106" t="str">
        <v>Input</v>
      </c>
      <c r="I16" s="102" t="str">
        <f>X_Cell_Site_LeachingZone</f>
        <v>NO - Not in leaching zone</v>
      </c>
    </row>
    <row r="17" spans="1:9" ht="20.100000000000001" customHeight="1" x14ac:dyDescent="0.25">
      <c r="A17" s="5" t="str">
        <f>HYPERLINK("#'Input - Fertiliser'!A1", "Fertiliser")</f>
        <v>Fertiliser</v>
      </c>
      <c r="D17" s="102" t="str">
        <v>j</v>
      </c>
      <c r="E17" s="103" t="str">
        <v>production system</v>
      </c>
      <c r="F17" s="105"/>
      <c r="G17" s="102" t="str">
        <v/>
      </c>
      <c r="H17" s="106" t="str">
        <v>Input</v>
      </c>
      <c r="I17" s="102" t="str">
        <f>X_Cell_Fertiliser_ProductionSystem</f>
        <v>Pasture</v>
      </c>
    </row>
    <row r="18" spans="1:9" ht="20.100000000000001" customHeight="1" x14ac:dyDescent="0.25">
      <c r="A18" s="5" t="str">
        <f>HYPERLINK("#'Input - Fuel'!A1", "Fuel")</f>
        <v>Fuel</v>
      </c>
      <c r="D18" s="102" t="str">
        <v>ir</v>
      </c>
      <c r="E18" s="103" t="str">
        <v>irrigation method</v>
      </c>
      <c r="F18" s="105"/>
      <c r="G18" s="102" t="str">
        <v/>
      </c>
      <c r="H18" s="106" t="str">
        <v>Input</v>
      </c>
      <c r="I18" s="102" t="str">
        <f>X_Cell_Fertiliser_IrrigationMethod</f>
        <v>Surface irrigation</v>
      </c>
    </row>
    <row r="19" spans="1:9" ht="20.100000000000001" customHeight="1" x14ac:dyDescent="0.25">
      <c r="A19" s="5" t="str">
        <f>HYPERLINK("#'Input - Electricity'!A1", "Electricity")</f>
        <v>Electricity</v>
      </c>
    </row>
    <row r="20" spans="1:9" ht="20.100000000000001" customHeight="1" x14ac:dyDescent="0.25">
      <c r="A20" s="5" t="str">
        <f>HYPERLINK("#'Input - Farm Inputs'!A1", "Farm Inputs")</f>
        <v>Farm Inputs</v>
      </c>
      <c r="D20" s="109" t="s">
        <v>609</v>
      </c>
    </row>
    <row r="21" spans="1:9" ht="20.100000000000001" customHeight="1" x14ac:dyDescent="0.25">
      <c r="A21" s="5" t="str">
        <f>HYPERLINK("#'Input - Freight'!A1", "Freight")</f>
        <v>Freight</v>
      </c>
      <c r="D21" s="110" t="s">
        <v>610</v>
      </c>
    </row>
    <row r="22" spans="1:9" ht="20.100000000000001" customHeight="1" x14ac:dyDescent="0.25">
      <c r="A22" s="5" t="str">
        <f>HYPERLINK("#'Input - Manure sent off-site'!A1", "Manure sent off-site")</f>
        <v>Manure sent off-site</v>
      </c>
      <c r="D22" s="111" t="s">
        <v>536</v>
      </c>
      <c r="E22" s="111" t="s">
        <v>593</v>
      </c>
      <c r="F22" s="111" t="s">
        <v>611</v>
      </c>
    </row>
    <row r="23" spans="1:9" ht="20.100000000000001" customHeight="1" x14ac:dyDescent="0.25">
      <c r="A23" s="5" t="str">
        <f>HYPERLINK("#'Input - Solid waste'!A1", "Solid waste")</f>
        <v>Solid waste</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D25" s="25" t="str">
        <v>Urea</v>
      </c>
      <c r="E25" s="25">
        <f>INDEX(Table_MN_j_f,4,4)</f>
        <v>46000</v>
      </c>
      <c r="F25" s="25" cm="1">
        <f t="array" ref="F25">Fertiliser_Equations_LeachingAndRunoff.VEERG_5_5_1_1__2_MassOfNitrogenLeachedFromInorganicFertiliser(E25, $I$14, $I$15)</f>
        <v>11040</v>
      </c>
    </row>
    <row r="26" spans="1:9" ht="20.100000000000001" customHeight="1" x14ac:dyDescent="0.25">
      <c r="A26" s="6" t="s">
        <v>2</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HYPERLINK("#'3.2.1.1-2 Enteric Methane'!A1", "3.2.1.1-2 Enteric methane")</f>
        <v>3.2.1.1-2 Enteric methane</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HYPERLINK("#'4.2.1.1-2 Methane'!A1", "4.2.1.1-2 Manure methane")</f>
        <v>4.2.1.1-2 Manure methane</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5" t="str">
        <f>HYPERLINK("#'4.2.1.3-4 Soil direct N20'!A1", "4.2.1.3-4 Soil direct N2O")</f>
        <v>4.2.1.3-4 Soil direct N2O</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HYPERLINK("#'4.2.1.5-6 Soil Atmos Dep'!A1", "4.2.1.5-6 Soil atm. deposition")</f>
        <v>4.2.1.5-6 Soil atm. deposition</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HYPERLINK("#'4.2.1.7-8 Soil leach runoff'!A1", "4.2.1.7-8 Soil leach &amp; runoff")</f>
        <v>4.2.1.7-8 Soil leach &amp; runoff</v>
      </c>
      <c r="D31" s="25" t="str">
        <v>Nitrogen - Nitrate</v>
      </c>
      <c r="E31" s="25">
        <f>INDEX(Table_MN_j_f,10,4)</f>
        <v>19800</v>
      </c>
      <c r="F31" s="25" cm="1">
        <f t="array" ref="F31">Fertiliser_Equations_LeachingAndRunoff.VEERG_5_5_1_1__2_MassOfNitrogenLeachedFromInorganicFertiliser(E31, $I$14, $I$15)</f>
        <v>4752</v>
      </c>
    </row>
    <row r="32" spans="1:9" ht="20.100000000000001" customHeight="1" x14ac:dyDescent="0.25">
      <c r="A32" s="5" t="str">
        <f>HYPERLINK("#'5.1.1.1-2 Inorganic fert N2O'!A1", "5.1.1.1-2 Inorganic fert N2O")</f>
        <v>5.1.1.1-2 Inorganic fert N2O</v>
      </c>
      <c r="D32" s="25" t="str">
        <v>Nitrogen - Generic</v>
      </c>
      <c r="E32" s="25">
        <f>INDEX(Table_MN_j_f,11,4)</f>
        <v>15372</v>
      </c>
      <c r="F32" s="25" cm="1">
        <f t="array" ref="F32">Fertiliser_Equations_LeachingAndRunoff.VEERG_5_5_1_1__2_MassOfNitrogenLeachedFromInorganicFertiliser(E32, $I$14, $I$15)</f>
        <v>3689.2799999999997</v>
      </c>
    </row>
    <row r="33" spans="1:11" ht="20.100000000000001" customHeight="1" x14ac:dyDescent="0.25">
      <c r="A33" s="5" t="str">
        <f>HYPERLINK("#'5.1.1.3-4 Inorganic fert CO2'!A1", "5.1.1.3-4 Inorganic fert CO2")</f>
        <v>5.1.1.3-4 Inorganic fert CO2</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HYPERLINK("#'5.2.1.1-2 Organic Fert N2O'!A1", "5.2.1.1-2 Organic fert N2O")</f>
        <v>5.2.1.1-2 Organic fert N2O</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A35" s="5" t="str">
        <f>HYPERLINK("#'5.3.1.1-2 Lime CO2'!A1", "5.3.1.1-2 Lime CO2")</f>
        <v>5.3.1.1-2 Lime CO2</v>
      </c>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A36" s="5" t="str">
        <f>HYPERLINK("#'5.4.1.1-4 Atmos deposition'!A1", "5.4.1.1-4 Atmos. deposition")</f>
        <v>5.4.1.1-4 Atmos. deposition</v>
      </c>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101" t="str">
        <f>HYPERLINK("#'5.5.1.1-2 Leaching and runoff'!A1", "5.5.1.1-2 Leaching &amp; runoff")</f>
        <v>5.5.1.1-2 Leaching &amp; runoff</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HYPERLINK("#'6.2.1.1-2 Pasture residue N2O'!A1", "6.2.1.1-2 Pasture residue N2O")</f>
        <v>6.2.1.1-2 Pasture residue N2O</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HYPERLINK("#'6.3.1.1-2 Leach runoff pasture'!A1", "6.3.1.1-2 Leach &amp; runoff (pasture)")</f>
        <v>6.3.1.1-2 Leach &amp; runoff (pasture)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HYPERLINK("#'8.1.1.1-2 Transport fuel'!A1", "8.1.1.1-2 Transport fuel")</f>
        <v>8.1.1.1-2 Transport fuel</v>
      </c>
      <c r="D40" s="25" t="str">
        <v>Ammonia</v>
      </c>
      <c r="E40" s="25">
        <f>INDEX(Table_MN_j_f,19,4)</f>
        <v>41175</v>
      </c>
      <c r="F40" s="25" cm="1">
        <f t="array" ref="F40">Fertiliser_Equations_LeachingAndRunoff.VEERG_5_5_1_1__2_MassOfNitrogenLeachedFromInorganicFertiliser(E40, $I$14, $I$15)</f>
        <v>9882</v>
      </c>
    </row>
    <row r="41" spans="1:11" ht="20.100000000000001" customHeight="1" x14ac:dyDescent="0.25">
      <c r="A41" s="5" t="str">
        <f>HYPERLINK("#'8.2.1.1-2 Stationary fuel'!A1", "8.2.1.1-2 Stationary fuel")</f>
        <v>8.2.1.1-2 Stationary fuel</v>
      </c>
      <c r="D41" s="25" t="str">
        <v>Calcium nitrate</v>
      </c>
      <c r="E41" s="25">
        <f>INDEX(Table_MN_j_f,20,4)</f>
        <v>7750</v>
      </c>
      <c r="F41" s="25" cm="1">
        <f t="array" ref="F41">Fertiliser_Equations_LeachingAndRunoff.VEERG_5_5_1_1__2_MassOfNitrogenLeachedFromInorganicFertiliser(E41, $I$14, $I$15)</f>
        <v>1860</v>
      </c>
    </row>
    <row r="42" spans="1:11" ht="20.100000000000001" customHeight="1" x14ac:dyDescent="0.25">
      <c r="A42" s="5" t="str">
        <f>HYPERLINK("#'14.1.1-2 Purchased electricity'!A1", "14.1.1-2 Purchased electricity")</f>
        <v>14.1.1-2 Purchased electricity</v>
      </c>
    </row>
    <row r="43" spans="1:11" ht="20.100000000000001" customHeight="1" x14ac:dyDescent="0.25">
      <c r="A43" s="5" t="str">
        <f>HYPERLINK("#'15 Scope 3'!A1", "15 Scope 3")</f>
        <v>15 Scope 3</v>
      </c>
      <c r="D43" s="122" t="s">
        <v>612</v>
      </c>
      <c r="E43" s="114">
        <f>SUM(F23:F41)</f>
        <v>31223.279999999999</v>
      </c>
      <c r="F43" s="121" t="str">
        <f>$E$11</f>
        <v>kg N</v>
      </c>
    </row>
    <row r="44" spans="1:11" ht="20.100000000000001" customHeight="1" x14ac:dyDescent="0.25">
      <c r="A44" s="5" t="str">
        <f>HYPERLINK("#'Calcs - Manure sent off-site'!A1", "Calcs - Manure sent off-site")</f>
        <v>Calcs - Manure sent off-site</v>
      </c>
    </row>
    <row r="45" spans="1:11" ht="20.100000000000001" customHeight="1" x14ac:dyDescent="0.25">
      <c r="A45" s="5" t="str">
        <f>HYPERLINK("#'10.1.1-2 Solid waste treatment'!A1", "10.1.1-2 Solid waste treatment")</f>
        <v>10.1.1-2 Solid waste treatment</v>
      </c>
      <c r="C45" s="180"/>
      <c r="D45" s="180"/>
      <c r="E45" s="180"/>
      <c r="F45" s="180"/>
      <c r="G45" s="180"/>
      <c r="H45" s="180"/>
      <c r="I45" s="180"/>
      <c r="J45" s="180"/>
      <c r="K45" s="180"/>
    </row>
    <row r="46" spans="1:11" ht="20.100000000000001" customHeight="1" x14ac:dyDescent="0.25"/>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97" t="s">
        <v>1</v>
      </c>
      <c r="D48" s="27" t="str" cm="1">
        <f t="array" ref="D48">Fertiliser_Equations_LeachingAndRunoff.VEERG_5_5_1_1__3_MassOfNitrogenLeachedFromOrganicFertiliser_Source()</f>
        <v>VEERG 2026: 5.5, Equation (3)</v>
      </c>
    </row>
    <row r="49" spans="1:9" ht="20.100000000000001" customHeight="1" x14ac:dyDescent="0.25">
      <c r="A49" s="5" t="str">
        <f>HYPERLINK("#'Constants - Pasture Beef'!A1", "Constants - Pasture Beef")</f>
        <v>Constants - Pasture Beef</v>
      </c>
      <c r="D49" s="100" t="s">
        <v>259</v>
      </c>
      <c r="E49" s="100" t="str" cm="1">
        <f t="array" aca="1" ref="E49" ca="1">Common_InputFunctions.Utility_DisplayFunctionName(F65)</f>
        <v>=Fertiliser_Equations_LeachingAndRunoff.VEERG_5_5_1_1__3_MassOfNitrogenLeachedFromOrganicFertiliser</v>
      </c>
    </row>
    <row r="50" spans="1:9" ht="20.100000000000001" customHeight="1" x14ac:dyDescent="0.25">
      <c r="A50" s="5" t="str">
        <f>HYPERLINK("#'Constants - Ag Residue'!A1", "Constants - Ag residue")</f>
        <v>Constants - Ag residue</v>
      </c>
    </row>
    <row r="51" spans="1:9" ht="20.100000000000001" customHeight="1" x14ac:dyDescent="0.25">
      <c r="A51" s="5" t="str">
        <f>HYPERLINK("#'Constants - Common Livestock'!A1", "Constants - Common Livestock")</f>
        <v>Constants - Common Livestock</v>
      </c>
    </row>
    <row r="52" spans="1:9" ht="20.100000000000001" customHeight="1" x14ac:dyDescent="0.25">
      <c r="A52" s="5" t="str">
        <f>HYPERLINK("#'Constants - Electricity'!A1", "Constants - Electricity")</f>
        <v>Constants - Electricity</v>
      </c>
      <c r="D52" s="88" t="s">
        <v>261</v>
      </c>
      <c r="E52" s="1" t="str" cm="1">
        <f t="array" ref="E52">Fertiliser_Equations_LeachingAndRunoff.VEERG_5_5_1_1__3_MassOfNitrogenLeachedFromOrganicFertiliser_Variable()</f>
        <v>M_leachorganicj</v>
      </c>
    </row>
    <row r="53" spans="1:9" ht="20.100000000000001" customHeight="1" x14ac:dyDescent="0.25">
      <c r="A53" s="5" t="str">
        <f>HYPERLINK("#'Constants - Fertiliser'!A1", "Constants - Fertiliser")</f>
        <v>Constants - Fertiliser</v>
      </c>
      <c r="D53" s="88" t="s">
        <v>131</v>
      </c>
      <c r="E53" s="15" t="str" cm="1">
        <f t="array" ref="E53">Fertiliser_Equations_LeachingAndRunoff.VEERG_5_5_1_1__3_MassOfNitrogenLeachedFromOrganicFertiliser_Unit()</f>
        <v>kg N</v>
      </c>
    </row>
    <row r="54" spans="1:9" ht="20.100000000000001" customHeight="1" x14ac:dyDescent="0.25">
      <c r="A54" s="5" t="str">
        <f>HYPERLINK("#'Constants - Fuel'!A1", "Constants - Fuel")</f>
        <v>Constants - Fuel</v>
      </c>
    </row>
    <row r="55" spans="1:9" ht="20.100000000000001" customHeight="1" x14ac:dyDescent="0.25">
      <c r="A55" s="5" t="str">
        <f>HYPERLINK("#'Constants - Scope 3'!A1", "Constants - Scope 3")</f>
        <v>Constants - Scope 3</v>
      </c>
      <c r="D55" s="102" t="str" cm="1">
        <f t="array" ref="D55:E60">_xlfn.CHOOSECOLS(Fertiliser_Equations_LeachingAndRunoff.VEERG_5_5_1_1__3_MassOfNitrogenLeachedFromOrganicFertiliser_Arguments(), 1, 2)</f>
        <v>MNSoil_jf</v>
      </c>
      <c r="E55" s="103" t="str">
        <v>mass of nitrogen in organic fertiliser</v>
      </c>
      <c r="F55" s="105"/>
      <c r="G55" s="102" t="str" cm="1">
        <f t="array" ref="G55:H60">_xlfn.CHOOSECOLS(Fertiliser_Equations_LeachingAndRunoff.VEERG_5_5_1_1__3_MassOfNitrogenLeachedFromOrganicFertiliser_Arguments(), 3,4)</f>
        <v>kg N</v>
      </c>
      <c r="H55" s="107" t="str">
        <v>Calculated from 5.2.1.1 (2)</v>
      </c>
      <c r="I55" s="108" t="str" cm="1">
        <f t="array" aca="1" ref="I55" ca="1">HYPERLINK(Common_InputFunctions.Utility_SourceHyperlink(D62), D62)</f>
        <v>Table_M_leach_organic_j</v>
      </c>
    </row>
    <row r="56" spans="1:9" ht="20.100000000000001" customHeight="1" x14ac:dyDescent="0.25">
      <c r="A56" s="5" t="str">
        <f>HYPERLINK("#'Constants - Common'!A1", "Constants - Common")</f>
        <v>Constants - Common</v>
      </c>
      <c r="D56" s="102" t="str">
        <v>FracWETj</v>
      </c>
      <c r="E56" s="103" t="str">
        <v>fraction of N available for leaching and runoff</v>
      </c>
      <c r="F56" s="105"/>
      <c r="G56" s="102" t="str">
        <v>fraction</v>
      </c>
      <c r="H56" s="107" t="str">
        <v>Constant</v>
      </c>
      <c r="I56" s="102">
        <f>Common_InputFunctions.CommonCropping_GetFracWET(I58,I60,#REF!,#REF!,Table_SourceData_FracWETIrrigation[Irrigation type i],Table_SourceData_FracWETIrrigation[FracWET])</f>
        <v>1</v>
      </c>
    </row>
    <row r="57" spans="1:9" ht="20.100000000000001" customHeight="1" x14ac:dyDescent="0.25">
      <c r="A57" s="5" t="str">
        <f>HYPERLINK("#'Acknowledgements'!A1", "Acknowledgements")</f>
        <v>Acknowledgements</v>
      </c>
      <c r="D57" s="102" t="str">
        <v>FracLEACH</v>
      </c>
      <c r="E57" s="103" t="str">
        <v>fraction of N that is lost through leaching and runoff</v>
      </c>
      <c r="F57" s="105"/>
      <c r="G57" s="102" t="str">
        <v>fraction</v>
      </c>
      <c r="H57" s="107" t="str">
        <v>Constant</v>
      </c>
      <c r="I57" s="102">
        <f>Fertiliser_FracLEACH_Data</f>
        <v>0.24</v>
      </c>
    </row>
    <row r="58" spans="1:9" ht="20.100000000000001" customHeight="1" x14ac:dyDescent="0.25">
      <c r="A58" s="5" t="str">
        <f>HYPERLINK("#'Constants - Solid Waste'!A1", "Constants - Solid Waste")</f>
        <v>Constants - Solid Waste</v>
      </c>
      <c r="D58" s="102" t="str">
        <v>z</v>
      </c>
      <c r="E58" s="103" t="str">
        <v>location in leaching zone</v>
      </c>
      <c r="F58" s="105"/>
      <c r="G58" s="102" t="str">
        <v/>
      </c>
      <c r="H58" s="106" t="str">
        <v>Input</v>
      </c>
      <c r="I58" s="102" t="str">
        <f>X_Cell_Site_LeachingZone</f>
        <v>NO - Not in leaching zone</v>
      </c>
    </row>
    <row r="59" spans="1:9" ht="20.100000000000001" customHeight="1" x14ac:dyDescent="0.25">
      <c r="D59" s="102" t="str">
        <v>j</v>
      </c>
      <c r="E59" s="103" t="str">
        <v>production system</v>
      </c>
      <c r="F59" s="105"/>
      <c r="G59" s="102" t="str">
        <v/>
      </c>
      <c r="H59" s="106" t="str">
        <v>Input</v>
      </c>
      <c r="I59" s="102" t="str">
        <f>X_Cell_Fertiliser_ProductionSystem</f>
        <v>Pasture</v>
      </c>
    </row>
    <row r="60" spans="1:9" ht="20.100000000000001" customHeight="1" x14ac:dyDescent="0.25">
      <c r="D60" s="102" t="str">
        <v>ir</v>
      </c>
      <c r="E60" s="103" t="str">
        <v>irrigation method</v>
      </c>
      <c r="F60" s="105"/>
      <c r="G60" s="102" t="str">
        <v/>
      </c>
      <c r="H60" s="106" t="str">
        <v>Input</v>
      </c>
      <c r="I60" s="102" t="str">
        <f>X_Cell_Fertiliser_IrrigationMethod</f>
        <v>Surface irrigation</v>
      </c>
    </row>
    <row r="61" spans="1:9" ht="20.100000000000001" customHeight="1" x14ac:dyDescent="0.25"/>
    <row r="62" spans="1:9" ht="20.100000000000001" customHeight="1" x14ac:dyDescent="0.25">
      <c r="D62" s="109" t="s">
        <v>613</v>
      </c>
    </row>
    <row r="63" spans="1:9" ht="20.100000000000001" customHeight="1" x14ac:dyDescent="0.25">
      <c r="D63" s="110" t="s">
        <v>614</v>
      </c>
    </row>
    <row r="64" spans="1:9" ht="20.100000000000001" customHeight="1" x14ac:dyDescent="0.25">
      <c r="D64" s="112" t="s">
        <v>574</v>
      </c>
      <c r="E64" s="181" t="s">
        <v>578</v>
      </c>
      <c r="F64" s="111" t="s">
        <v>615</v>
      </c>
    </row>
    <row r="65" spans="3:11" ht="20.100000000000001" customHeight="1" x14ac:dyDescent="0.25">
      <c r="D65" s="25" t="str">
        <f>INDEX(Table_MNSoil_j_f,2,1)</f>
        <v>Manure - Other</v>
      </c>
      <c r="E65" s="25">
        <f>INDEX(Table_MNSoil_j_f,2,6)</f>
        <v>3000</v>
      </c>
      <c r="F65" s="25" cm="1">
        <f t="array" ref="F65">Fertiliser_Equations_LeachingAndRunoff.VEERG_5_5_1_1__3_MassOfNitrogenLeachedFromOrganicFertiliser(E65,$I$56, $I$57)</f>
        <v>720</v>
      </c>
    </row>
    <row r="66" spans="3:11" ht="20.100000000000001" customHeight="1" x14ac:dyDescent="0.25">
      <c r="D66" s="25" t="str">
        <f>INDEX(Table_MNSoil_j_f,3,1)</f>
        <v>Manure - Poultry</v>
      </c>
      <c r="E66" s="25">
        <f>INDEX(Table_MNSoil_j_f,3,6)</f>
        <v>2500</v>
      </c>
      <c r="F66" s="25" cm="1">
        <f t="array" ref="F66">Fertiliser_Equations_LeachingAndRunoff.VEERG_5_5_1_1__3_MassOfNitrogenLeachedFromOrganicFertiliser(E66,$I$56, $I$57)</f>
        <v>600</v>
      </c>
    </row>
    <row r="67" spans="3:11" ht="20.100000000000001" customHeight="1" x14ac:dyDescent="0.25">
      <c r="D67" s="25" t="str">
        <f>INDEX(Table_MNSoil_j_f,4,1)</f>
        <v>Other organic fertiliser</v>
      </c>
      <c r="E67" s="25">
        <f>INDEX(Table_MNSoil_j_f,4,6)</f>
        <v>1600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22" t="s">
        <v>616</v>
      </c>
      <c r="E77" s="114">
        <f>SUM(F65:F75)</f>
        <v>1704</v>
      </c>
      <c r="F77" s="121" t="str">
        <f>$E$53</f>
        <v>kg N</v>
      </c>
    </row>
    <row r="78" spans="3:11" ht="20.100000000000001" customHeight="1" x14ac:dyDescent="0.25"/>
    <row r="79" spans="3:11" ht="20.100000000000001" customHeight="1" x14ac:dyDescent="0.25">
      <c r="C79" s="180"/>
      <c r="D79" s="180"/>
      <c r="E79" s="180"/>
      <c r="F79" s="180"/>
      <c r="G79" s="180"/>
      <c r="H79" s="180"/>
      <c r="I79" s="180"/>
      <c r="J79" s="180"/>
      <c r="K79" s="180"/>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0" t="s">
        <v>259</v>
      </c>
      <c r="E83" s="100"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261</v>
      </c>
      <c r="E86" s="1" t="str" cm="1">
        <f t="array" ref="E86">Fertiliser_Equations_LeachingAndRunoff.VEERG_5_5_1_1__1_FertiliserLeachingAndRunoffN2OEmissions_Variable()</f>
        <v>E_fertleach</v>
      </c>
    </row>
    <row r="87" spans="4:10" ht="20.100000000000001" customHeight="1" x14ac:dyDescent="0.25">
      <c r="D87" s="88" t="s">
        <v>131</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2" t="str" cm="1">
        <f t="array" ref="D89:E92">_xlfn.CHOOSECOLS(Fertiliser_Equations_LeachingAndRunoff.VEERG_5_5_1_1__1_FertiliserLeachingAndRunoffN2OEmissions_Arguments(), 1, 2)</f>
        <v>M_leachinorganicj</v>
      </c>
      <c r="E89" s="103" t="str">
        <v>mass of nitrogen lost through leaching and runoff from inorganic fertiliser application in production system j</v>
      </c>
      <c r="F89" s="104"/>
      <c r="G89" s="105"/>
      <c r="H89" s="102" t="str" cm="1">
        <f t="array" ref="H89:I92">_xlfn.CHOOSECOLS(Fertiliser_Equations_LeachingAndRunoff.VEERG_5_5_1_1__1_FertiliserLeachingAndRunoffN2OEmissions_Arguments(), 3,4)</f>
        <v>kg N</v>
      </c>
      <c r="I89" s="107" t="str">
        <v>Calculated from 5.5.1.1 (2)</v>
      </c>
      <c r="J89" s="102">
        <f>$E$43</f>
        <v>31223.279999999999</v>
      </c>
    </row>
    <row r="90" spans="4:10" ht="20.100000000000001" customHeight="1" x14ac:dyDescent="0.25">
      <c r="D90" s="102" t="str">
        <v>M_leachorganicj</v>
      </c>
      <c r="E90" s="103" t="str">
        <v>mass of nitrogen lost through leaching and runoff from organic fertiliser application</v>
      </c>
      <c r="F90" s="104"/>
      <c r="G90" s="105"/>
      <c r="H90" s="102" t="str">
        <v>kg N</v>
      </c>
      <c r="I90" s="107" t="str">
        <v>Calculated from 5.5.1.1 (3)</v>
      </c>
      <c r="J90" s="102">
        <f>$E$77</f>
        <v>1704</v>
      </c>
    </row>
    <row r="91" spans="4:10" ht="20.100000000000001" customHeight="1" x14ac:dyDescent="0.25">
      <c r="D91" s="102" t="str">
        <v>EF_leach</v>
      </c>
      <c r="E91" s="103" t="str">
        <v>emission factor for nitrogen leaching and runoff</v>
      </c>
      <c r="F91" s="104"/>
      <c r="G91" s="105"/>
      <c r="H91" s="102" t="str">
        <v>kg N2O-N/kg N</v>
      </c>
      <c r="I91" s="107" t="str">
        <v>Constant</v>
      </c>
      <c r="J91" s="102">
        <f>Fertiliser_EFLeach_Data</f>
        <v>1.0999999999999999E-2</v>
      </c>
    </row>
    <row r="92" spans="4:10" ht="20.100000000000001" customHeight="1" x14ac:dyDescent="0.25">
      <c r="D92" s="102" t="str">
        <v>C_N2O</v>
      </c>
      <c r="E92" s="103" t="str">
        <v>factor to convert elemental mass of nitrous oxide to molecular mass</v>
      </c>
      <c r="F92" s="104"/>
      <c r="G92" s="105"/>
      <c r="H92" s="102" t="str">
        <v/>
      </c>
      <c r="I92" s="107" t="str">
        <v>Constant</v>
      </c>
      <c r="J92" s="118">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5" t="s">
        <v>617</v>
      </c>
      <c r="E94" s="116" cm="1">
        <f t="array" ref="E94">Fertiliser_Equations_LeachingAndRunoff.VEERG_5_5_1_1__1_FertiliserLeachingAndRunoffN2OEmissions(J89,J90,J91,J92)</f>
        <v>0.56917155428571431</v>
      </c>
      <c r="F94" s="117" t="str">
        <f>$E$87</f>
        <v>t N2O</v>
      </c>
    </row>
    <row r="95" spans="4:10" ht="20.100000000000001" customHeight="1" x14ac:dyDescent="0.25"/>
    <row r="96" spans="4:10" ht="20.100000000000001" customHeight="1" x14ac:dyDescent="0.25">
      <c r="D96" s="118" t="str" cm="1">
        <f t="array" ref="D96:E97">Common_Equations.Common_ConvertN2OToCO2e_Arguments()</f>
        <v>EN2O</v>
      </c>
      <c r="E96" s="119" t="str">
        <v>Nitrous oxide emissions (t N2O)</v>
      </c>
      <c r="F96" s="120"/>
      <c r="G96" s="25">
        <f>VEERG_5_5_1_1__1_FertiliserLeachingAndRunoffN2OEmissions_result_Method1</f>
        <v>0.56917155428571431</v>
      </c>
    </row>
    <row r="97" spans="4:7" ht="20.100000000000001" customHeight="1" x14ac:dyDescent="0.25">
      <c r="D97" s="118" t="str">
        <v>GWPN2O</v>
      </c>
      <c r="E97" s="119" t="str">
        <v>Global warming potential for nitrous oxide (t CO2-e / t N2O)</v>
      </c>
      <c r="F97" s="120"/>
      <c r="G97" s="25">
        <f>Common_InputFunctions.Utility_LookupValueInTableNumber("N2O",Table_GWPData[Gas],Table_GWPData[CO2-e factor])</f>
        <v>265</v>
      </c>
    </row>
    <row r="98" spans="4:7" ht="20.100000000000001" customHeight="1" x14ac:dyDescent="0.25"/>
    <row r="99" spans="4:7" ht="20.100000000000001" customHeight="1" x14ac:dyDescent="0.25">
      <c r="D99" s="114" t="s">
        <v>323</v>
      </c>
      <c r="E99" s="114" cm="1">
        <f t="array" ref="E99">Common_Equations.Common_ConvertN2OToCO2e(G96,G97)</f>
        <v>150.8304618857143</v>
      </c>
      <c r="F99" s="121"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DAFD-3AC2-476E-A254-BF1DB3A152E3}">
  <dimension ref="A1:U165"/>
  <sheetViews>
    <sheetView showGridLines="0" topLeftCell="A5"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881</v>
      </c>
    </row>
    <row r="2" spans="1:21" s="3" customFormat="1" ht="20.100000000000001" customHeight="1" x14ac:dyDescent="0.25">
      <c r="A2"/>
    </row>
    <row r="3" spans="1:21" ht="20.100000000000001" customHeight="1" x14ac:dyDescent="0.25">
      <c r="A3" s="5" t="str">
        <f>HYPERLINK("#'Home'!A1", "Home")</f>
        <v>Home</v>
      </c>
      <c r="C3" s="33"/>
      <c r="D3" s="33" t="s">
        <v>148</v>
      </c>
      <c r="E3" s="33"/>
      <c r="F3" s="33"/>
      <c r="G3" s="33"/>
      <c r="H3" s="33"/>
      <c r="I3" s="33"/>
      <c r="J3" s="33"/>
      <c r="K3" s="33"/>
      <c r="M3" s="33"/>
      <c r="N3" s="33" t="s">
        <v>149</v>
      </c>
      <c r="O3" s="33"/>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D7" s="100" t="s">
        <v>259</v>
      </c>
      <c r="E7" s="100" t="str" cm="1">
        <f t="array" aca="1" ref="E7" ca="1">Common_InputFunctions.Utility_DisplayFunctionName(E21)</f>
        <v>=AgResidue_Equations_PastureResidue.VEERG_6_2_1_1__2__MassOfNitrogenInPastureResidues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35" t="s">
        <v>261</v>
      </c>
      <c r="E10" s="1" t="str" cm="1">
        <f t="array" ref="E10">AgResidue_Equations_PastureResidue.VEERG_6_2_1_1__2__MassOfNitrogenInPastureResidues_Variable()</f>
        <v>Mp</v>
      </c>
    </row>
    <row r="11" spans="1:21" ht="20.100000000000001" customHeight="1" x14ac:dyDescent="0.25">
      <c r="A11" s="5" t="str">
        <f>HYPERLINK("#'Input - Pasture Beef'!A1", "Pasture Beef")</f>
        <v>Pasture Beef</v>
      </c>
      <c r="D11" s="35" t="s">
        <v>131</v>
      </c>
      <c r="E11" s="15" t="str" cm="1">
        <f t="array" ref="E11">AgResidue_Equations_PastureResidue.VEERG_6_2_1_1__2__MassOfNitrogenInPastureResidues_Unit()</f>
        <v>kg N</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02" t="str" cm="1">
        <f t="array" ref="D13:E19">_xlfn.CHOOSECOLS(AgResidue_Equations_PastureResidue.VEERG_6_2_1_1__2__MassOfNitrogenInPastureResidues_Arguments(), 1, 2)</f>
        <v>A_p</v>
      </c>
      <c r="E13" s="103" t="str">
        <v>area of pasture renewed or removed</v>
      </c>
      <c r="F13" s="104"/>
      <c r="G13" s="105"/>
      <c r="H13" s="102" t="str" cm="1">
        <f t="array" ref="H13:I19">_xlfn.CHOOSECOLS(AgResidue_Equations_PastureResidue.VEERG_6_2_1_1__2__MassOfNitrogenInPastureResidues_Arguments(), 3,4)</f>
        <v>ha</v>
      </c>
      <c r="I13" s="106" t="str">
        <v>Input</v>
      </c>
      <c r="J13" s="102">
        <f>X_Cell_Pasture_AreaRemovedOrRenewed</f>
        <v>500</v>
      </c>
      <c r="N13" s="102" t="str" cm="1">
        <f t="array" ref="N13:O19">_xlfn.CHOOSECOLS(AgResidue_Equations_PastureResidue.VEERG_6_2_1_1__2__MassOfNitrogenInPastureResidues_Arguments_Method2(), 1, 2)</f>
        <v>A_p</v>
      </c>
      <c r="O13" s="103" t="str">
        <v>area of pasture renewed or removed</v>
      </c>
      <c r="P13" s="104"/>
      <c r="Q13" s="105"/>
      <c r="R13" s="102" t="str" cm="1">
        <f t="array" ref="R13:S19">_xlfn.CHOOSECOLS(AgResidue_Equations_PastureResidue.VEERG_6_2_1_1__2__MassOfNitrogenInPastureResidues_Arguments_Method2(), 3,4)</f>
        <v>ha</v>
      </c>
      <c r="S13" s="106" t="str">
        <v>Input</v>
      </c>
      <c r="T13" s="102"/>
    </row>
    <row r="14" spans="1:21" ht="20.100000000000001" customHeight="1" x14ac:dyDescent="0.25">
      <c r="A14" s="5" t="str">
        <f>HYPERLINK("#'Input - Beef cattle purchases'!A1", "Beef cattle purchases")</f>
        <v>Beef cattle purchases</v>
      </c>
      <c r="D14" s="102" t="str">
        <v>Y_p</v>
      </c>
      <c r="E14" s="103" t="str">
        <v>average yield of pasture crop</v>
      </c>
      <c r="F14" s="104"/>
      <c r="G14" s="105"/>
      <c r="H14" s="102" t="str">
        <v>t DM/ha</v>
      </c>
      <c r="I14" s="107" t="str">
        <v>Constant</v>
      </c>
      <c r="J14" s="102" cm="1">
        <f t="array" ref="J14">Common_InputFunctions.Utility_LookupValueInTableNumber($J$19,Table_SourceData_PastureAttributes[Pasture type],Table_SourceData_PastureAttributes[Average Yield (t DM ha) Yp])</f>
        <v>8.34</v>
      </c>
      <c r="N14" s="102" t="str">
        <v>Y_p</v>
      </c>
      <c r="O14" s="103" t="str">
        <v>average yield of pasture crop</v>
      </c>
      <c r="P14" s="104"/>
      <c r="Q14" s="105"/>
      <c r="R14" s="102" t="str">
        <v>t DM/ha</v>
      </c>
      <c r="S14" s="106" t="str">
        <v>Input</v>
      </c>
      <c r="T14" s="102">
        <f>X_Cell_Pasture_YieldPerHectare</f>
        <v>8.34</v>
      </c>
    </row>
    <row r="15" spans="1:21" ht="20.100000000000001" customHeight="1" x14ac:dyDescent="0.25">
      <c r="A15" s="5" t="str">
        <f>HYPERLINK("#'Input - Pasture'!A1", "Pasture")</f>
        <v>Pasture</v>
      </c>
      <c r="D15" s="102" t="str">
        <v>NC_AGp</v>
      </c>
      <c r="E15" s="103" t="str">
        <v>N content of above-ground pasture residue</v>
      </c>
      <c r="F15" s="104"/>
      <c r="G15" s="105"/>
      <c r="H15" s="102" t="str">
        <v>kg N/kg DM</v>
      </c>
      <c r="I15" s="107" t="str">
        <v>Constant</v>
      </c>
      <c r="J15" s="102" cm="1">
        <f t="array" ref="J15">Common_InputFunctions.Utility_LookupValueInTableNumber($J$19,Table_SourceData_PastureAttributes[Pasture type],Table_SourceData_PastureAttributes[N content Above-ground NCAGp])</f>
        <v>2.5000000000000001E-2</v>
      </c>
      <c r="N15" s="102" t="str">
        <v>NC_AGp</v>
      </c>
      <c r="O15" s="103" t="str">
        <v>N content of above-ground pasture residue</v>
      </c>
      <c r="P15" s="104"/>
      <c r="Q15" s="105"/>
      <c r="R15" s="102" t="str">
        <v>kg N/kg DM</v>
      </c>
      <c r="S15" s="107" t="str">
        <v>Constant</v>
      </c>
      <c r="T15" s="102"/>
    </row>
    <row r="16" spans="1:21" ht="20.100000000000001" customHeight="1" x14ac:dyDescent="0.25">
      <c r="A16" s="5" t="str">
        <f>HYPERLINK("#'Input - Fert Prod System'!A1", "Fert Prod System")</f>
        <v>Fert Prod System</v>
      </c>
      <c r="D16" s="102" t="str">
        <v>R_BGp</v>
      </c>
      <c r="E16" s="103" t="str">
        <v>below-ground residue to above-ground residue ratio for pasture crop</v>
      </c>
      <c r="F16" s="104"/>
      <c r="G16" s="105"/>
      <c r="H16" s="102" t="str">
        <v/>
      </c>
      <c r="I16" s="107" t="str">
        <v>Constant</v>
      </c>
      <c r="J16" s="102" cm="1">
        <f t="array" ref="J16">Common_InputFunctions.Utility_LookupValueInTableNumber($J$19,Table_SourceData_PastureAttributes[Pasture type],Table_SourceData_PastureAttributes[Below-ground: above-ground residue ratio RBGp])</f>
        <v>0.8</v>
      </c>
      <c r="N16" s="102" t="str">
        <v>R_BGp</v>
      </c>
      <c r="O16" s="103" t="str">
        <v>below-ground residue to above-ground residue ratio for pasture crop</v>
      </c>
      <c r="P16" s="104"/>
      <c r="Q16" s="105"/>
      <c r="R16" s="102" t="str">
        <v/>
      </c>
      <c r="S16" s="107" t="str">
        <v>Constant</v>
      </c>
      <c r="T16" s="102"/>
    </row>
    <row r="17" spans="1:21" ht="20.100000000000001" customHeight="1" x14ac:dyDescent="0.25">
      <c r="A17" s="5" t="str">
        <f>HYPERLINK("#'Input - Fertiliser'!A1", "Fertiliser")</f>
        <v>Fertiliser</v>
      </c>
      <c r="D17" s="102" t="str">
        <v>NC_BGp</v>
      </c>
      <c r="E17" s="103" t="str">
        <v>N content of below-ground pasture crop residue</v>
      </c>
      <c r="F17" s="104"/>
      <c r="G17" s="105"/>
      <c r="H17" s="102" t="str">
        <v>kg N/kg DM</v>
      </c>
      <c r="I17" s="107" t="str">
        <v>Constant</v>
      </c>
      <c r="J17" s="102" cm="1">
        <f t="array" ref="J17">Common_InputFunctions.Utility_LookupValueInTableNumber($J$19,Table_SourceData_PastureAttributes[Pasture type],Table_SourceData_PastureAttributes[N content Below-ground NCBGp])</f>
        <v>1.6E-2</v>
      </c>
      <c r="N17" s="102" t="str">
        <v>NC_BGp</v>
      </c>
      <c r="O17" s="103" t="str">
        <v>N content of below-ground pasture crop residue</v>
      </c>
      <c r="P17" s="104"/>
      <c r="Q17" s="105"/>
      <c r="R17" s="102" t="str">
        <v>kg N/kg DM</v>
      </c>
      <c r="S17" s="107" t="str">
        <v>Constant</v>
      </c>
      <c r="T17" s="102"/>
    </row>
    <row r="18" spans="1:21" ht="20.100000000000001" customHeight="1" x14ac:dyDescent="0.25">
      <c r="A18" s="5" t="str">
        <f>HYPERLINK("#'Input - Fuel'!A1", "Fuel")</f>
        <v>Fuel</v>
      </c>
      <c r="D18" s="102" t="str">
        <v>FFOD_p</v>
      </c>
      <c r="E18" s="103" t="str">
        <v>fraction of pasture yield that is removed</v>
      </c>
      <c r="F18" s="104"/>
      <c r="G18" s="105"/>
      <c r="H18" s="102" t="str">
        <v>fraction</v>
      </c>
      <c r="I18" s="107" t="str">
        <v>Constant</v>
      </c>
      <c r="J18" s="102" cm="1">
        <f t="array" ref="J18">Common_InputFunctions.Utility_LookupValueInTableNumber($J$19,Table_SourceData_PastureAttributes[Pasture type],Table_SourceData_PastureAttributes[Fraction of pasture yield that is removed FFODp])</f>
        <v>0.8</v>
      </c>
      <c r="N18" s="102" t="str">
        <v>FFOD_p</v>
      </c>
      <c r="O18" s="103" t="str">
        <v>fraction of pasture yield that is removed</v>
      </c>
      <c r="P18" s="104"/>
      <c r="Q18" s="105"/>
      <c r="R18" s="102" t="str">
        <v>fraction</v>
      </c>
      <c r="S18" s="107" t="str">
        <v>Constant</v>
      </c>
      <c r="T18" s="102"/>
    </row>
    <row r="19" spans="1:21" ht="20.100000000000001" customHeight="1" x14ac:dyDescent="0.25">
      <c r="A19" s="5" t="str">
        <f>HYPERLINK("#'Input - Electricity'!A1", "Electricity")</f>
        <v>Electricity</v>
      </c>
      <c r="D19" s="102" t="str">
        <v>p</v>
      </c>
      <c r="E19" s="103" t="str">
        <v>Pasture type</v>
      </c>
      <c r="F19" s="104"/>
      <c r="G19" s="105"/>
      <c r="H19" s="102" t="str">
        <v/>
      </c>
      <c r="I19" s="106" t="str">
        <v>Input</v>
      </c>
      <c r="J19" s="102" t="str">
        <f>X_Cell_Pasture_PastureType</f>
        <v>Grass clover mixture</v>
      </c>
      <c r="N19" s="102" t="str">
        <v>p</v>
      </c>
      <c r="O19" s="103" t="str">
        <v>Pasture type</v>
      </c>
      <c r="P19" s="104"/>
      <c r="Q19" s="105"/>
      <c r="R19" s="102" t="str">
        <v/>
      </c>
      <c r="S19" s="106" t="str">
        <v>Input</v>
      </c>
      <c r="T19" s="102"/>
    </row>
    <row r="20" spans="1:21" ht="20.100000000000001" customHeight="1" x14ac:dyDescent="0.25">
      <c r="A20" s="5" t="str">
        <f>HYPERLINK("#'Input - Farm Inputs'!A1", "Farm Inputs")</f>
        <v>Farm Inputs</v>
      </c>
    </row>
    <row r="21" spans="1:21" ht="20.100000000000001" customHeight="1" x14ac:dyDescent="0.25">
      <c r="A21" s="5" t="str">
        <f>HYPERLINK("#'Input - Freight'!A1", "Freight")</f>
        <v>Freight</v>
      </c>
      <c r="D21" s="122" t="s">
        <v>882</v>
      </c>
      <c r="E21" s="114" cm="1">
        <f t="array" ref="E21">AgResidue_Equations_PastureResidue.VEERG_6_2_1_1__2__MassOfNitrogenInPastureResidues(J13,J14,J18,J15,J16,J17)</f>
        <v>7.4226E-2</v>
      </c>
      <c r="F21" s="121" t="str" cm="1">
        <f t="array" ref="F21">AgResidue_Equations_PastureResidue.VEERG_6_2_1_1__2__MassOfNitrogenInPastureResidues_Unit()</f>
        <v>kg N</v>
      </c>
      <c r="N21" s="122" t="s">
        <v>882</v>
      </c>
      <c r="O21" s="114" cm="1">
        <f t="array" ref="O21">AgResidue_Equations_PastureResidue.VEERG_6_2_1_1__2__MassOfNitrogenInPastureResidues(J13,T14,J18,J15,J16,J17)</f>
        <v>7.4226E-2</v>
      </c>
      <c r="P21" s="121" t="str" cm="1">
        <f t="array" ref="P21">AgResidue_Equations_PastureResidue.VEERG_6_2_1_1__2__MassOfNitrogenInPastureResidues_Unit()</f>
        <v>kg N</v>
      </c>
    </row>
    <row r="22" spans="1:21" ht="20.100000000000001" customHeight="1" x14ac:dyDescent="0.25">
      <c r="A22" s="5" t="str">
        <f>HYPERLINK("#'Input - Manure sent off-site'!A1", "Manure sent off-site")</f>
        <v>Manure sent off-site</v>
      </c>
    </row>
    <row r="23" spans="1:21" ht="20.100000000000001" customHeight="1" x14ac:dyDescent="0.25">
      <c r="A23" s="5" t="str">
        <f>HYPERLINK("#'Input - Solid waste'!A1", "Solid waste")</f>
        <v>Solid waste</v>
      </c>
    </row>
    <row r="24" spans="1:21" ht="20.100000000000001" customHeight="1" x14ac:dyDescent="0.25">
      <c r="C24" s="114"/>
      <c r="D24" s="114"/>
      <c r="E24" s="114"/>
      <c r="F24" s="114"/>
      <c r="G24" s="114"/>
      <c r="H24" s="114"/>
      <c r="I24" s="114"/>
      <c r="J24" s="114"/>
      <c r="K24" s="114"/>
      <c r="M24" s="114"/>
      <c r="N24" s="114"/>
      <c r="O24" s="114"/>
      <c r="P24" s="114"/>
      <c r="Q24" s="114"/>
      <c r="R24" s="114"/>
      <c r="S24" s="114"/>
      <c r="T24" s="114"/>
      <c r="U24" s="114"/>
    </row>
    <row r="25" spans="1:21" ht="20.100000000000001" customHeight="1" x14ac:dyDescent="0.25">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6" t="s">
        <v>2</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HYPERLINK("#'3.2.1.1-2 Enteric Methane'!A1", "3.2.1.1-2 Enteric methane")</f>
        <v>3.2.1.1-2 Enteric methane</v>
      </c>
      <c r="D27" s="100" t="s">
        <v>259</v>
      </c>
      <c r="E27" s="100" t="str">
        <f ca="1">Common_InputFunctions.Utility_DisplayFunctionName(VEERG_6_2_1_1__1__NitrousOxideEmissionsFromPastureResidues_Result_Method1)</f>
        <v>=AgResidue_Equations_PastureResidue.VEERG_6_2_1_1__1__NitrousOxideEmissionsFromPastureResidues</v>
      </c>
      <c r="N27" s="100" t="s">
        <v>259</v>
      </c>
      <c r="O27" s="100"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c r="A28" s="5" t="str">
        <f>HYPERLINK("#'4.2.1.1-2 Methane'!A1", "4.2.1.1-2 Manure methane")</f>
        <v>4.2.1.1-2 Manure methane</v>
      </c>
    </row>
    <row r="29" spans="1:21" ht="20.100000000000001" customHeight="1" x14ac:dyDescent="0.25">
      <c r="A29" s="5" t="str">
        <f>HYPERLINK("#'4.2.1.3-4 Soil direct N20'!A1", "4.2.1.3-4 Soil direct N2O")</f>
        <v>4.2.1.3-4 Soil direct N2O</v>
      </c>
    </row>
    <row r="30" spans="1:21" ht="20.100000000000001" customHeight="1" x14ac:dyDescent="0.25">
      <c r="A30" s="5" t="str">
        <f>HYPERLINK("#'4.2.1.5-6 Soil Atmos Dep'!A1", "4.2.1.5-6 Soil atm. deposition")</f>
        <v>4.2.1.5-6 Soil atm. deposition</v>
      </c>
      <c r="D30" s="35" t="s">
        <v>261</v>
      </c>
      <c r="E30" s="1" t="str" cm="1">
        <f t="array" ref="E30">AgResidue_Equations_PastureResidue.VEERG_6_2_1_1__1__NitrousOxideEmissionsFromPastureResidues_Variable()</f>
        <v>EN2O</v>
      </c>
      <c r="N30" s="35" t="s">
        <v>261</v>
      </c>
      <c r="O30" s="1" t="str" cm="1">
        <f t="array" ref="O30">AgResidue_Equations_PastureResidue.VEERG_6_2_1_1__1__NitrousOxideEmissionsFromPastureResidues_Variable()</f>
        <v>EN2O</v>
      </c>
    </row>
    <row r="31" spans="1:21" ht="20.100000000000001" customHeight="1" x14ac:dyDescent="0.25">
      <c r="A31" s="5" t="str">
        <f>HYPERLINK("#'4.2.1.7-8 Soil leach runoff'!A1", "4.2.1.7-8 Soil leach &amp; runoff")</f>
        <v>4.2.1.7-8 Soil leach &amp; runoff</v>
      </c>
      <c r="D31" s="35" t="s">
        <v>131</v>
      </c>
      <c r="E31" s="15" t="str" cm="1">
        <f t="array" ref="E31">AgResidue_Equations_PastureResidue.VEERG_6_2_1_1__1__NitrousOxideEmissionsFromPastureResidues_Unit()</f>
        <v>t N2O</v>
      </c>
      <c r="N31" s="35" t="s">
        <v>131</v>
      </c>
      <c r="O31" s="15" t="str" cm="1">
        <f t="array" ref="O31">AgResidue_Equations_PastureResidue.VEERG_6_2_1_1__1__NitrousOxideEmissionsFromPastureResidues_Unit()</f>
        <v>t N2O</v>
      </c>
    </row>
    <row r="32" spans="1:21" ht="20.100000000000001" customHeight="1" x14ac:dyDescent="0.25">
      <c r="A32" s="5" t="str">
        <f>HYPERLINK("#'5.1.1.1-2 Inorganic fert N2O'!A1", "5.1.1.1-2 Inorganic fert N2O")</f>
        <v>5.1.1.1-2 Inorganic fert N2O</v>
      </c>
    </row>
    <row r="33" spans="1:20" ht="20.100000000000001" customHeight="1" x14ac:dyDescent="0.25">
      <c r="A33" s="5" t="str">
        <f>HYPERLINK("#'5.1.1.3-4 Inorganic fert CO2'!A1", "5.1.1.3-4 Inorganic fert CO2")</f>
        <v>5.1.1.3-4 Inorganic fert CO2</v>
      </c>
      <c r="D33" s="102" t="str" cm="1">
        <f t="array" ref="D33:E37">_xlfn.CHOOSECOLS(AgResidue_Equations_PastureResidue.VEERG_6_2_1_1__1__NitrousOxideEmissionsFromPastureResidues_Arguments(), 1, 2)</f>
        <v>M_p</v>
      </c>
      <c r="E33" s="103" t="str">
        <v>mass of nitrogen in pasture p residues returned to the soil</v>
      </c>
      <c r="F33" s="104"/>
      <c r="G33" s="105"/>
      <c r="H33" s="102" t="str" cm="1">
        <f t="array" ref="H33:I37">_xlfn.CHOOSECOLS(AgResidue_Equations_PastureResidue.VEERG_6_2_1_1__1__NitrousOxideEmissionsFromPastureResidues_Arguments(), 3,4)</f>
        <v>kg N</v>
      </c>
      <c r="I33" s="107" t="str">
        <v>Calculated from 6.2.1.1 (2)</v>
      </c>
      <c r="J33" s="102">
        <f>$E$21</f>
        <v>7.4226E-2</v>
      </c>
      <c r="N33" s="102" t="str" cm="1">
        <f t="array" ref="N33:O37">_xlfn.CHOOSECOLS(AgResidue_Equations_PastureResidue.VEERG_6_2_1_1__1__NitrousOxideEmissionsFromPastureResidues_Arguments(), 1, 2)</f>
        <v>M_p</v>
      </c>
      <c r="O33" s="103" t="str">
        <v>mass of nitrogen in pasture p residues returned to the soil</v>
      </c>
      <c r="P33" s="104"/>
      <c r="Q33" s="105"/>
      <c r="R33" s="102" t="str" cm="1">
        <f t="array" ref="R33:S37">_xlfn.CHOOSECOLS(AgResidue_Equations_PastureResidue.VEERG_6_2_1_1__1__NitrousOxideEmissionsFromPastureResidues_Arguments(), 3,4)</f>
        <v>kg N</v>
      </c>
      <c r="S33" s="107" t="str">
        <v>Calculated from 6.2.1.1 (2)</v>
      </c>
      <c r="T33" s="102">
        <f>$O$21</f>
        <v>7.4226E-2</v>
      </c>
    </row>
    <row r="34" spans="1:20" ht="20.100000000000001" customHeight="1" x14ac:dyDescent="0.25">
      <c r="A34" s="5" t="str">
        <f>HYPERLINK("#'5.2.1.1-2 Organic Fert N2O'!A1", "5.2.1.1-2 Organic fert N2O")</f>
        <v>5.2.1.1-2 Organic fert N2O</v>
      </c>
      <c r="D34" s="102" t="str">
        <v>EF_Ni</v>
      </c>
      <c r="E34" s="103" t="str">
        <v>emission factor for crop residues returned to the soil in climate zone i</v>
      </c>
      <c r="F34" s="104"/>
      <c r="G34" s="105"/>
      <c r="H34" s="102" t="str">
        <v>kg N2O-N/kg N</v>
      </c>
      <c r="I34" s="107" t="str">
        <v>Constant</v>
      </c>
      <c r="J34" s="102" cm="1">
        <f t="array" ref="J34">Common_InputFunctions.Utility_LookupValueInTableNumber(J37,Table_SourceData_N2OEFOrganicFert[Climate zone type i],Table_SourceData_N2OEFOrganicFert[EF i N2O])</f>
        <v>5.0000000000000001E-3</v>
      </c>
      <c r="N34" s="102" t="str">
        <v>EF_Ni</v>
      </c>
      <c r="O34" s="103" t="str">
        <v>emission factor for crop residues returned to the soil in climate zone i</v>
      </c>
      <c r="P34" s="104"/>
      <c r="Q34" s="105"/>
      <c r="R34" s="102" t="str">
        <v>kg N2O-N/kg N</v>
      </c>
      <c r="S34" s="107" t="str">
        <v>Constant</v>
      </c>
      <c r="T34" s="102"/>
    </row>
    <row r="35" spans="1:20" ht="20.100000000000001" customHeight="1" x14ac:dyDescent="0.25">
      <c r="A35" s="5" t="str">
        <f>HYPERLINK("#'5.3.1.1-2 Lime CO2'!A1", "5.3.1.1-2 Lime CO2")</f>
        <v>5.3.1.1-2 Lime CO2</v>
      </c>
      <c r="D35" s="102" t="str">
        <v>C_N2O</v>
      </c>
      <c r="E35" s="103" t="str">
        <v>factor to convert elemental mass of nitrous oxide to molecular mass</v>
      </c>
      <c r="F35" s="104"/>
      <c r="G35" s="105"/>
      <c r="H35" s="102" t="str">
        <v>dimensionless</v>
      </c>
      <c r="I35" s="107" t="str">
        <v>Constant</v>
      </c>
      <c r="J35" s="102">
        <f>Common_InputFunctions.Utility_LookupValueInTableNumber("N2O",Table_GasToMolecularConversionFactor[Gas],Table_GasToMolecularConversionFactor[Conversion factor combined])</f>
        <v>1.5714285714285714</v>
      </c>
      <c r="N35" s="102" t="str">
        <v>C_N2O</v>
      </c>
      <c r="O35" s="103" t="str">
        <v>factor to convert elemental mass of nitrous oxide to molecular mass</v>
      </c>
      <c r="P35" s="104"/>
      <c r="Q35" s="105"/>
      <c r="R35" s="102" t="str">
        <v>dimensionless</v>
      </c>
      <c r="S35" s="107" t="str">
        <v>Constant</v>
      </c>
      <c r="T35" s="102"/>
    </row>
    <row r="36" spans="1:20" ht="20.100000000000001" customHeight="1" x14ac:dyDescent="0.25">
      <c r="A36" s="5" t="str">
        <f>HYPERLINK("#'5.4.1.1-4 Atmos deposition'!A1", "5.4.1.1-4 Atmos. deposition")</f>
        <v>5.4.1.1-4 Atmos. deposition</v>
      </c>
      <c r="D36" s="102" t="str">
        <v>p</v>
      </c>
      <c r="E36" s="103" t="str">
        <v>Pasture type</v>
      </c>
      <c r="F36" s="104"/>
      <c r="G36" s="105"/>
      <c r="H36" s="102" t="str">
        <v/>
      </c>
      <c r="I36" s="106" t="str">
        <v>Input</v>
      </c>
      <c r="J36" s="102" t="str">
        <f>X_Cell_Pasture_PastureType</f>
        <v>Grass clover mixture</v>
      </c>
      <c r="N36" s="102" t="str">
        <v>p</v>
      </c>
      <c r="O36" s="103" t="str">
        <v>Pasture type</v>
      </c>
      <c r="P36" s="104"/>
      <c r="Q36" s="105"/>
      <c r="R36" s="102" t="str">
        <v/>
      </c>
      <c r="S36" s="106" t="str">
        <v>Input</v>
      </c>
      <c r="T36" s="102"/>
    </row>
    <row r="37" spans="1:20" ht="20.100000000000001" customHeight="1" x14ac:dyDescent="0.25">
      <c r="A37" s="5" t="str">
        <f>HYPERLINK("#'5.5.1.1-2 Leaching and runoff'!A1", "5.5.1.1-2 Leaching &amp; runoff")</f>
        <v>5.5.1.1-2 Leaching &amp; runoff</v>
      </c>
      <c r="D37" s="102" t="str">
        <v>i</v>
      </c>
      <c r="E37" s="103" t="str">
        <v>Wet or dry climate zone</v>
      </c>
      <c r="F37" s="104"/>
      <c r="G37" s="105"/>
      <c r="H37" s="102" t="str">
        <v/>
      </c>
      <c r="I37" s="106" t="str">
        <v>Input</v>
      </c>
      <c r="J37" s="102" t="str">
        <f>X_Cell_Site_WetOrDryClimateZone</f>
        <v>Dry climate zone</v>
      </c>
      <c r="N37" s="102" t="str">
        <v>i</v>
      </c>
      <c r="O37" s="103" t="str">
        <v>Wet or dry climate zone</v>
      </c>
      <c r="P37" s="104"/>
      <c r="Q37" s="105"/>
      <c r="R37" s="102" t="str">
        <v/>
      </c>
      <c r="S37" s="106" t="str">
        <v>Input</v>
      </c>
      <c r="T37" s="102"/>
    </row>
    <row r="38" spans="1:20" ht="20.100000000000001" customHeight="1" x14ac:dyDescent="0.25">
      <c r="A38" s="101" t="str">
        <f>HYPERLINK("#'6.2.1.1-2 Pasture residue N2O'!A1", "6.2.1.1-2 Pasture residue N2O")</f>
        <v>6.2.1.1-2 Pasture residue N2O</v>
      </c>
    </row>
    <row r="39" spans="1:20" ht="20.100000000000001" customHeight="1" x14ac:dyDescent="0.25">
      <c r="A39" s="5" t="str">
        <f>HYPERLINK("#'6.3.1.1-2 Leach runoff pasture'!A1", "6.3.1.1-2 Leach &amp; runoff (pasture)")</f>
        <v>6.3.1.1-2 Leach &amp; runoff (pasture)</v>
      </c>
    </row>
    <row r="40" spans="1:20" ht="20.100000000000001" customHeight="1" x14ac:dyDescent="0.25">
      <c r="A40" s="5" t="str">
        <f>HYPERLINK("#'8.1.1.1-2 Transport fuel'!A1", "8.1.1.1-2 Transport fuel")</f>
        <v>8.1.1.1-2 Transport fuel</v>
      </c>
      <c r="D40" s="115" t="s">
        <v>562</v>
      </c>
      <c r="E40" s="116" cm="1">
        <f t="array" ref="E40">AgResidue_Equations_PastureResidue.VEERG_6_2_1_1__1__NitrousOxideEmissionsFromPastureResidues(J33,J34,J35)</f>
        <v>5.8320428571428569E-7</v>
      </c>
      <c r="F40" s="117" t="str" cm="1">
        <f t="array" ref="F40">AgResidue_Equations_PastureResidue.VEERG_6_2_1_1__1__NitrousOxideEmissionsFromPastureResidues_Unit()</f>
        <v>t N2O</v>
      </c>
      <c r="N40" s="115" t="s">
        <v>562</v>
      </c>
      <c r="O40" s="116" cm="1">
        <f t="array" ref="O40">AgResidue_Equations_PastureResidue.VEERG_6_2_1_1__1__NitrousOxideEmissionsFromPastureResidues(T33,J34,J35)</f>
        <v>5.8320428571428569E-7</v>
      </c>
      <c r="P40" s="117" t="str" cm="1">
        <f t="array" ref="P40">AgResidue_Equations_PastureResidue.VEERG_6_2_1_1__1__NitrousOxideEmissionsFromPastureResidues_Unit()</f>
        <v>t N2O</v>
      </c>
    </row>
    <row r="41" spans="1:20" ht="20.100000000000001" customHeight="1" x14ac:dyDescent="0.25">
      <c r="A41" s="5" t="str">
        <f>HYPERLINK("#'8.2.1.1-2 Stationary fuel'!A1", "8.2.1.1-2 Stationary fuel")</f>
        <v>8.2.1.1-2 Stationary fuel</v>
      </c>
    </row>
    <row r="42" spans="1:20" ht="20.100000000000001" customHeight="1" x14ac:dyDescent="0.25">
      <c r="A42" s="5" t="str">
        <f>HYPERLINK("#'14.1.1-2 Purchased electricity'!A1", "14.1.1-2 Purchased electricity")</f>
        <v>14.1.1-2 Purchased electricity</v>
      </c>
      <c r="D42" s="118" t="str" cm="1">
        <f t="array" ref="D42:E43">Common_Equations.Common_ConvertN2OToCO2e_Arguments()</f>
        <v>EN2O</v>
      </c>
      <c r="E42" s="119" t="str">
        <v>Nitrous oxide emissions (t N2O)</v>
      </c>
      <c r="F42" s="168"/>
      <c r="G42" s="118">
        <f>VEERG_6_2_1_1__1__NitrousOxideEmissionsFromPastureResidues_Result_Method1</f>
        <v>5.8320428571428569E-7</v>
      </c>
      <c r="N42" s="118" t="str" cm="1">
        <f t="array" ref="N42:O43">Common_Equations.Common_ConvertN2OToCO2e_Arguments()</f>
        <v>EN2O</v>
      </c>
      <c r="O42" s="119" t="str">
        <v>Nitrous oxide emissions (t N2O)</v>
      </c>
      <c r="P42" s="168"/>
      <c r="Q42" s="118">
        <f>VEERG_6_2_1_1__1__NitrousOxideEmissionsFromPastureResidues_Result_Method2</f>
        <v>5.8320428571428569E-7</v>
      </c>
    </row>
    <row r="43" spans="1:20" ht="20.100000000000001" customHeight="1" x14ac:dyDescent="0.25">
      <c r="A43" s="5" t="str">
        <f>HYPERLINK("#'15 Scope 3'!A1", "15 Scope 3")</f>
        <v>15 Scope 3</v>
      </c>
      <c r="D43" s="118" t="str">
        <v>GWPN2O</v>
      </c>
      <c r="E43" s="119" t="str">
        <v>Global warming potential for nitrous oxide (t CO2-e / t N2O)</v>
      </c>
      <c r="F43" s="168"/>
      <c r="G43" s="25">
        <f>Common_InputFunctions.Utility_LookupValueInTableNumber("N2O",Table_GWPData[Gas],Table_GWPData[CO2-e factor])</f>
        <v>265</v>
      </c>
      <c r="N43" s="118" t="str">
        <v>GWPN2O</v>
      </c>
      <c r="O43" s="119" t="str">
        <v>Global warming potential for nitrous oxide (t CO2-e / t N2O)</v>
      </c>
      <c r="P43" s="168"/>
      <c r="Q43" s="25">
        <f>Common_InputFunctions.Utility_LookupValueInTableNumber("N2O",Table_GWPData[Gas],Table_GWPData[CO2-e factor])</f>
        <v>265</v>
      </c>
    </row>
    <row r="44" spans="1:20" ht="20.100000000000001" customHeight="1" x14ac:dyDescent="0.25">
      <c r="A44" s="5" t="str">
        <f>HYPERLINK("#'Calcs - Manure sent off-site'!A1", "Calcs - Manure sent off-site")</f>
        <v>Calcs - Manure sent off-site</v>
      </c>
    </row>
    <row r="45" spans="1:20" ht="20.100000000000001" customHeight="1" x14ac:dyDescent="0.25">
      <c r="A45" s="5" t="str">
        <f>HYPERLINK("#'10.1.1-2 Solid waste treatment'!A1", "10.1.1-2 Solid waste treatment")</f>
        <v>10.1.1-2 Solid waste treatment</v>
      </c>
      <c r="D45" s="1" t="s">
        <v>883</v>
      </c>
      <c r="E45" s="1" cm="1">
        <f t="array" ref="E45">Common_Equations.Common_ConvertN2OToCO2e(G42,G43)</f>
        <v>1.545491357142857E-4</v>
      </c>
      <c r="F45" s="15" t="str" cm="1">
        <f t="array" ref="F45">Common_Equations.Common_ConvertN2OToCO2e_Unit()</f>
        <v>t CO2e</v>
      </c>
      <c r="N45" s="1" t="s">
        <v>883</v>
      </c>
      <c r="O45" s="1" cm="1">
        <f t="array" ref="O45">Common_Equations.Common_ConvertN2OToCO2e(Q42,Q43)</f>
        <v>1.545491357142857E-4</v>
      </c>
      <c r="P45" s="15"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FF88E-B90D-419B-8B26-8C019ED14A64}">
  <dimension ref="A1:T165"/>
  <sheetViews>
    <sheetView showGridLines="0" topLeftCell="A2"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884</v>
      </c>
    </row>
    <row r="2" spans="1:20" s="3" customFormat="1" ht="20.100000000000001" customHeight="1" x14ac:dyDescent="0.25">
      <c r="A2"/>
    </row>
    <row r="3" spans="1:20" ht="20.100000000000001" customHeight="1" x14ac:dyDescent="0.25">
      <c r="A3" s="5" t="str">
        <f>HYPERLINK("#'Home'!A1", "Home")</f>
        <v>Home</v>
      </c>
      <c r="C3" s="33"/>
      <c r="D3" s="33" t="s">
        <v>148</v>
      </c>
      <c r="E3" s="33"/>
      <c r="F3" s="33"/>
      <c r="G3" s="33"/>
      <c r="H3" s="33"/>
      <c r="I3" s="33"/>
      <c r="J3" s="33"/>
      <c r="K3" s="33"/>
      <c r="M3" s="33"/>
      <c r="N3" s="33" t="s">
        <v>149</v>
      </c>
      <c r="O3" s="33"/>
      <c r="P3" s="33"/>
      <c r="Q3" s="33"/>
      <c r="R3" s="33"/>
      <c r="S3" s="33"/>
      <c r="T3" s="33"/>
    </row>
    <row r="4" spans="1:20" ht="20.100000000000001" customHeight="1" x14ac:dyDescent="0.25">
      <c r="A4" s="5" t="str">
        <f>HYPERLINK("#'Overview'!A1", "Overview")</f>
        <v>Overview</v>
      </c>
    </row>
    <row r="5" spans="1:20" ht="20.100000000000001" customHeight="1" x14ac:dyDescent="0.25">
      <c r="A5" s="5" t="str">
        <f>HYPERLINK("#'Results'!A1", "Results")</f>
        <v>Results</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00" t="s">
        <v>259</v>
      </c>
      <c r="E7" s="100" t="str" cm="1">
        <f t="array" aca="1" ref="E7" ca="1">Common_InputFunctions.Utility_DisplayFunctionName(I25)</f>
        <v>=AgResidue_Equations_Leaching.VEERG_6_3_1_1__2__MassOfNitrogenLostThroughLeachingAndRunoff</v>
      </c>
      <c r="F7" s="100"/>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12" t="s">
        <v>261</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Beef'!A1", "Pasture Beef")</f>
        <v>Pasture Beef</v>
      </c>
      <c r="C11" s="8"/>
      <c r="D11" s="12" t="s">
        <v>131</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 Beef (Enteric)'!A1", "Pasture Beef (Enteric)")</f>
        <v>Pasture Beef (Enteric)</v>
      </c>
      <c r="C12" s="8"/>
      <c r="D12" s="8"/>
      <c r="E12" s="8"/>
      <c r="F12" s="8"/>
      <c r="G12" s="8"/>
      <c r="H12" s="8"/>
      <c r="I12" s="8"/>
      <c r="J12" s="8"/>
      <c r="K12" s="8"/>
    </row>
    <row r="13" spans="1:20" ht="20.100000000000001" customHeight="1" x14ac:dyDescent="0.25">
      <c r="A13" s="5" t="str">
        <f>HYPERLINK("#'Input - Livestock sales'!A1", "Livestock sales")</f>
        <v>Livestock sales</v>
      </c>
      <c r="C13" s="8"/>
      <c r="D13" s="102" t="str" cm="1">
        <f t="array" ref="D13:E19">_xlfn.CHOOSECOLS(AgResidue_Equations_Leaching.VEERG_6_3_1_1__2__MassOfNitrogenLostThroughLeachingAndRunoff_Arguments(), 1,2)</f>
        <v>M_cp</v>
      </c>
      <c r="E13" s="103" t="str">
        <v>mass of nitrogen in crop residues c or pasture residues p applied to soils</v>
      </c>
      <c r="F13" s="104"/>
      <c r="G13" s="105"/>
      <c r="H13" s="102" t="str" cm="1">
        <f t="array" ref="H13:I19">_xlfn.CHOOSECOLS(AgResidue_Equations_Leaching.VEERG_6_3_1_1__2__MassOfNitrogenLostThroughLeachingAndRunoff_Arguments(), 3,4)</f>
        <v>kg N</v>
      </c>
      <c r="I13" s="107" t="str">
        <v>Calc from 6.1.1.1 (2) and 6.2.1.1 (2)</v>
      </c>
      <c r="J13" s="108" t="str" cm="1">
        <f t="array" aca="1" ref="J13" ca="1">HYPERLINK(Common_InputFunctions.Utility_SourceHyperlink($D$21), $D$21)</f>
        <v>M1_Table_M_leach_cp</v>
      </c>
      <c r="K13" s="8"/>
    </row>
    <row r="14" spans="1:20" ht="20.100000000000001" customHeight="1" x14ac:dyDescent="0.25">
      <c r="A14" s="5" t="str">
        <f>HYPERLINK("#'Input - Beef cattle purchases'!A1", "Beef cattle purchases")</f>
        <v>Beef cattle purchases</v>
      </c>
      <c r="C14" s="8"/>
      <c r="D14" s="102" t="str">
        <v>FracWET_j</v>
      </c>
      <c r="E14" s="103" t="str">
        <v>fraction of N that is available for leaching and runoff from the leaching zone z and irrigation type ir</v>
      </c>
      <c r="F14" s="104"/>
      <c r="G14" s="105"/>
      <c r="H14" s="102" t="str">
        <v>fraction</v>
      </c>
      <c r="I14" s="107" t="str">
        <v>Constant</v>
      </c>
      <c r="J14" s="108" t="str" cm="1">
        <f t="array" aca="1" ref="J14" ca="1">HYPERLINK(Common_InputFunctions.Utility_SourceHyperlink($D$21), $D$21)</f>
        <v>M1_Table_M_leach_cp</v>
      </c>
      <c r="K14" s="8"/>
    </row>
    <row r="15" spans="1:20" ht="20.100000000000001" customHeight="1" x14ac:dyDescent="0.25">
      <c r="A15" s="5" t="str">
        <f>HYPERLINK("#'Input - Pasture'!A1", "Pasture")</f>
        <v>Pasture</v>
      </c>
      <c r="C15" s="8"/>
      <c r="D15" s="102" t="str">
        <v>FracLEACH</v>
      </c>
      <c r="E15" s="103" t="str">
        <v>fraction of N that is lost through leaching and runoff</v>
      </c>
      <c r="F15" s="104"/>
      <c r="G15" s="105"/>
      <c r="H15" s="102" t="str">
        <v>fraction</v>
      </c>
      <c r="I15" s="107" t="str">
        <v>Constant</v>
      </c>
      <c r="J15" s="102">
        <f>'Constants - Common'!$E$164</f>
        <v>0.24</v>
      </c>
      <c r="K15" s="8"/>
    </row>
    <row r="16" spans="1:20" ht="20.100000000000001" customHeight="1" x14ac:dyDescent="0.25">
      <c r="A16" s="5" t="str">
        <f>HYPERLINK("#'Input - Fert Prod System'!A1", "Fert Prod System")</f>
        <v>Fert Prod System</v>
      </c>
      <c r="C16" s="8"/>
      <c r="D16" s="102" t="str">
        <v>z</v>
      </c>
      <c r="E16" s="103" t="str">
        <v>Location in leaching zone</v>
      </c>
      <c r="F16" s="104"/>
      <c r="G16" s="105"/>
      <c r="H16" s="102" t="str">
        <v/>
      </c>
      <c r="I16" s="106" t="str">
        <v>Input</v>
      </c>
      <c r="J16" s="108" t="str" cm="1">
        <f t="array" aca="1" ref="J16" ca="1">HYPERLINK(Common_InputFunctions.Utility_SourceHyperlink($D$21), $D$21)</f>
        <v>M1_Table_M_leach_cp</v>
      </c>
      <c r="K16" s="8"/>
    </row>
    <row r="17" spans="1:20" ht="20.100000000000001" customHeight="1" x14ac:dyDescent="0.25">
      <c r="A17" s="5" t="str">
        <f>HYPERLINK("#'Input - Fertiliser'!A1", "Fertiliser")</f>
        <v>Fertiliser</v>
      </c>
      <c r="C17" s="8"/>
      <c r="D17" s="102" t="str">
        <v>c</v>
      </c>
      <c r="E17" s="103" t="str">
        <v>Crop residue type</v>
      </c>
      <c r="F17" s="104"/>
      <c r="G17" s="105"/>
      <c r="H17" s="102" t="str">
        <v/>
      </c>
      <c r="I17" s="106" t="str">
        <v>Input</v>
      </c>
      <c r="J17" s="102" t="s">
        <v>140</v>
      </c>
      <c r="K17" s="8"/>
    </row>
    <row r="18" spans="1:20" ht="20.100000000000001" customHeight="1" x14ac:dyDescent="0.25">
      <c r="A18" s="5" t="str">
        <f>HYPERLINK("#'Input - Fuel'!A1", "Fuel")</f>
        <v>Fuel</v>
      </c>
      <c r="C18" s="8"/>
      <c r="D18" s="102" t="str">
        <v>p</v>
      </c>
      <c r="E18" s="103" t="str">
        <v>Pasture residue type</v>
      </c>
      <c r="F18" s="104"/>
      <c r="G18" s="105"/>
      <c r="H18" s="102" t="str">
        <v/>
      </c>
      <c r="I18" s="106" t="str">
        <v>Input</v>
      </c>
      <c r="J18" s="102" t="str">
        <f>X_Cell_Pasture_PastureType</f>
        <v>Grass clover mixture</v>
      </c>
      <c r="K18" s="8"/>
    </row>
    <row r="19" spans="1:20" ht="20.100000000000001" customHeight="1" x14ac:dyDescent="0.25">
      <c r="A19" s="5" t="str">
        <f>HYPERLINK("#'Input - Electricity'!A1", "Electricity")</f>
        <v>Electricity</v>
      </c>
      <c r="C19" s="8"/>
      <c r="D19" s="102" t="str">
        <v>ir</v>
      </c>
      <c r="E19" s="103" t="str">
        <v>Irrigation type</v>
      </c>
      <c r="F19" s="104"/>
      <c r="G19" s="105"/>
      <c r="H19" s="102" t="str">
        <v/>
      </c>
      <c r="I19" s="106" t="str">
        <v>Input</v>
      </c>
      <c r="J19" s="108" t="str" cm="1">
        <f t="array" aca="1" ref="J19" ca="1">HYPERLINK(Common_InputFunctions.Utility_SourceHyperlink($D$21), $D$21)</f>
        <v>M1_Table_M_leach_cp</v>
      </c>
      <c r="K19" s="8"/>
    </row>
    <row r="20" spans="1:20" ht="20.100000000000001" customHeight="1" x14ac:dyDescent="0.25">
      <c r="A20" s="5" t="str">
        <f>HYPERLINK("#'Input - Farm Inputs'!A1", "Farm Inputs")</f>
        <v>Farm Inputs</v>
      </c>
      <c r="C20" s="8"/>
      <c r="D20" s="8"/>
      <c r="E20" s="8"/>
      <c r="F20" s="8"/>
      <c r="G20" s="8"/>
      <c r="H20" s="8"/>
      <c r="I20" s="8"/>
      <c r="J20" s="8"/>
      <c r="K20" s="8"/>
    </row>
    <row r="21" spans="1:20" ht="20.100000000000001" customHeight="1" x14ac:dyDescent="0.25">
      <c r="A21" s="5" t="str">
        <f>HYPERLINK("#'Input - Freight'!A1", "Freight")</f>
        <v>Freight</v>
      </c>
      <c r="C21" s="8"/>
      <c r="D21" s="109" t="s">
        <v>885</v>
      </c>
      <c r="E21" s="8"/>
      <c r="F21" s="8"/>
      <c r="G21" s="8"/>
      <c r="H21" s="8"/>
      <c r="I21" s="8"/>
      <c r="J21" s="8"/>
      <c r="K21" s="8"/>
      <c r="N21" s="109" t="s">
        <v>886</v>
      </c>
      <c r="O21" s="8"/>
      <c r="P21" s="8"/>
      <c r="Q21" s="8"/>
      <c r="R21" s="8"/>
      <c r="S21" s="8"/>
    </row>
    <row r="22" spans="1:20" ht="20.100000000000001" customHeight="1" x14ac:dyDescent="0.25">
      <c r="A22" s="5" t="str">
        <f>HYPERLINK("#'Input - Manure sent off-site'!A1", "Manure sent off-site")</f>
        <v>Manure sent off-site</v>
      </c>
      <c r="C22" s="8"/>
      <c r="D22" s="110" t="s">
        <v>887</v>
      </c>
      <c r="E22" s="8"/>
      <c r="F22" s="8"/>
      <c r="G22" s="8"/>
      <c r="H22" s="8"/>
      <c r="I22" s="8"/>
      <c r="J22" s="8"/>
      <c r="K22" s="8"/>
      <c r="N22" s="110" t="s">
        <v>888</v>
      </c>
      <c r="O22" s="8"/>
      <c r="P22" s="8"/>
      <c r="Q22" s="8"/>
      <c r="R22" s="8"/>
      <c r="S22" s="8"/>
    </row>
    <row r="23" spans="1:20" ht="20.100000000000001" customHeight="1" x14ac:dyDescent="0.25">
      <c r="A23" s="5" t="str">
        <f>HYPERLINK("#'Input - Solid waste'!A1", "Solid waste")</f>
        <v>Solid waste</v>
      </c>
      <c r="C23" s="8"/>
      <c r="D23" s="112" t="s">
        <v>889</v>
      </c>
      <c r="E23" s="111" t="s">
        <v>890</v>
      </c>
      <c r="F23" s="112" t="s">
        <v>891</v>
      </c>
      <c r="G23" s="112" t="s">
        <v>113</v>
      </c>
      <c r="H23" s="111" t="s">
        <v>892</v>
      </c>
      <c r="I23" s="111" t="s">
        <v>893</v>
      </c>
      <c r="J23" s="8"/>
      <c r="K23" s="8"/>
      <c r="N23" s="112" t="s">
        <v>889</v>
      </c>
      <c r="O23" s="111" t="s">
        <v>890</v>
      </c>
      <c r="P23" s="112" t="s">
        <v>891</v>
      </c>
      <c r="Q23" s="112" t="s">
        <v>113</v>
      </c>
      <c r="R23" s="111" t="s">
        <v>892</v>
      </c>
      <c r="S23" s="111" t="s">
        <v>893</v>
      </c>
    </row>
    <row r="24" spans="1:20" ht="20.100000000000001" customHeight="1" x14ac:dyDescent="0.25">
      <c r="D24" s="25" t="s">
        <v>628</v>
      </c>
      <c r="E24" s="25" t="s">
        <v>140</v>
      </c>
      <c r="F24" s="25" t="s">
        <v>140</v>
      </c>
      <c r="G24" s="25" t="s">
        <v>140</v>
      </c>
      <c r="H24" s="25" t="s">
        <v>140</v>
      </c>
      <c r="I24" s="25" t="s">
        <v>140</v>
      </c>
      <c r="N24" s="25"/>
      <c r="O24" s="25" t="s">
        <v>140</v>
      </c>
      <c r="P24" s="25"/>
      <c r="Q24" s="25"/>
      <c r="R24" s="25"/>
      <c r="S24" s="25" t="s">
        <v>140</v>
      </c>
    </row>
    <row r="25" spans="1:20" ht="20.100000000000001" customHeight="1" x14ac:dyDescent="0.25">
      <c r="D25" s="25" t="s">
        <v>191</v>
      </c>
      <c r="E25" s="25">
        <f>'6.2.1.1-2 Pasture residue N2O'!$E$21</f>
        <v>7.4226E-2</v>
      </c>
      <c r="F25" s="25" t="str">
        <f>X_Cell_Pasture_IrrigationMethod</f>
        <v>Surface irrigation</v>
      </c>
      <c r="G25" s="25" t="str">
        <f>X_Cell_Site_LeachingZone</f>
        <v>NO - Not in leaching zone</v>
      </c>
      <c r="H25" s="25">
        <f>CommonCropping_InputFunctions.CommonCropping_GetFracWET(G25,F25,#REF!,#REF!,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6" t="s">
        <v>2</v>
      </c>
    </row>
    <row r="27" spans="1:20" ht="20.100000000000001" customHeight="1" x14ac:dyDescent="0.25">
      <c r="A27" s="5" t="str">
        <f>HYPERLINK("#'3.2.1.1-2 Enteric Methane'!A1", "3.2.1.1-2 Enteric methane")</f>
        <v>3.2.1.1-2 Enteric methane</v>
      </c>
      <c r="C27" s="239"/>
      <c r="D27" s="239"/>
      <c r="E27" s="239"/>
      <c r="F27" s="239"/>
      <c r="G27" s="239"/>
      <c r="H27" s="239"/>
      <c r="I27" s="239"/>
      <c r="J27" s="239"/>
      <c r="K27" s="239"/>
      <c r="M27" s="239"/>
      <c r="N27" s="239"/>
      <c r="O27" s="239"/>
      <c r="P27" s="239"/>
      <c r="Q27" s="239"/>
      <c r="R27" s="239"/>
      <c r="S27" s="239"/>
      <c r="T27" s="239"/>
    </row>
    <row r="28" spans="1:20" ht="20.100000000000001" customHeight="1" x14ac:dyDescent="0.25">
      <c r="A28" s="5" t="str">
        <f>HYPERLINK("#'4.2.1.1-2 Methane'!A1", "4.2.1.1-2 Manure methane")</f>
        <v>4.2.1.1-2 Manure methane</v>
      </c>
      <c r="C28" s="8"/>
      <c r="D28" s="2" t="str" cm="1">
        <f t="array" ref="D28">AgResidue_Equations_Leaching.VEERG_6_3_1_1__1__LeachingAndRunoffEmissionsCropAndPastureResidue_Title()</f>
        <v>Nitrous oxide leaching and runoff emissions from crop and pasture residues returned to the soil</v>
      </c>
      <c r="E28" s="8"/>
      <c r="F28" s="240"/>
      <c r="G28" s="8"/>
      <c r="H28" s="8"/>
      <c r="I28" s="8"/>
      <c r="J28" s="8"/>
      <c r="K28" s="8"/>
    </row>
    <row r="29" spans="1:20" ht="20.100000000000001" customHeight="1" x14ac:dyDescent="0.25">
      <c r="A29" s="5" t="str">
        <f>HYPERLINK("#'4.2.1.3-4 Soil direct N20'!A1", "4.2.1.3-4 Soil direct N2O")</f>
        <v>4.2.1.3-4 Soil direct N2O</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HYPERLINK("#'4.2.1.5-6 Soil Atmos Dep'!A1", "4.2.1.5-6 Soil atm. deposition")</f>
        <v>4.2.1.5-6 Soil atm. deposition</v>
      </c>
      <c r="C30" s="8"/>
      <c r="D30" s="100" t="s">
        <v>259</v>
      </c>
      <c r="E30" s="100"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HYPERLINK("#'4.2.1.7-8 Soil leach runoff'!A1", "4.2.1.7-8 Soil leach &amp; runoff")</f>
        <v>4.2.1.7-8 Soil leach &amp; runoff</v>
      </c>
      <c r="C31" s="8"/>
      <c r="D31" s="8"/>
      <c r="E31" s="8"/>
      <c r="F31" s="8"/>
      <c r="G31" s="8"/>
      <c r="H31" s="8"/>
      <c r="I31" s="8"/>
      <c r="J31" s="8"/>
      <c r="K31" s="8"/>
    </row>
    <row r="32" spans="1:20" ht="20.100000000000001" customHeight="1" x14ac:dyDescent="0.25">
      <c r="A32" s="5" t="str">
        <f>HYPERLINK("#'5.1.1.1-2 Inorganic fert N2O'!A1", "5.1.1.1-2 Inorganic fert N2O")</f>
        <v>5.1.1.1-2 Inorganic fert N2O</v>
      </c>
      <c r="C32" s="8"/>
      <c r="D32" s="8"/>
      <c r="E32" s="8"/>
      <c r="F32" s="27"/>
      <c r="G32" s="8"/>
      <c r="H32" s="8"/>
      <c r="I32" s="8"/>
      <c r="J32" s="8"/>
      <c r="K32" s="8"/>
    </row>
    <row r="33" spans="1:17" ht="20.100000000000001" customHeight="1" x14ac:dyDescent="0.25">
      <c r="A33" s="5" t="str">
        <f>HYPERLINK("#'5.1.1.3-4 Inorganic fert CO2'!A1", "5.1.1.3-4 Inorganic fert CO2")</f>
        <v>5.1.1.3-4 Inorganic fert CO2</v>
      </c>
      <c r="C33" s="8"/>
      <c r="D33" s="12" t="s">
        <v>261</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HYPERLINK("#'5.2.1.1-2 Organic Fert N2O'!A1", "5.2.1.1-2 Organic fert N2O")</f>
        <v>5.2.1.1-2 Organic fert N2O</v>
      </c>
      <c r="C34" s="8"/>
      <c r="D34" s="12" t="s">
        <v>131</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HYPERLINK("#'5.3.1.1-2 Lime CO2'!A1", "5.3.1.1-2 Lime CO2")</f>
        <v>5.3.1.1-2 Lime CO2</v>
      </c>
      <c r="C35" s="8"/>
      <c r="D35" s="8"/>
      <c r="E35" s="8"/>
      <c r="F35" s="8"/>
      <c r="G35" s="8"/>
      <c r="H35" s="8"/>
      <c r="I35" s="8"/>
      <c r="J35" s="8"/>
      <c r="K35" s="8"/>
    </row>
    <row r="36" spans="1:17" ht="20.100000000000001" customHeight="1" x14ac:dyDescent="0.25">
      <c r="A36" s="5" t="str">
        <f>HYPERLINK("#'5.4.1.1-4 Atmos deposition'!A1", "5.4.1.1-4 Atmos. deposition")</f>
        <v>5.4.1.1-4 Atmos. deposition</v>
      </c>
      <c r="C36" s="8"/>
      <c r="D36" s="102" t="str" cm="1">
        <f t="array" ref="D36:E40">_xlfn.CHOOSECOLS(AgResidue_Equations_Leaching.VEERG_6_3_1_1__1__LeachingAndRunoffEmissionsCropAndPastureResidue_Arguments(),1,2)</f>
        <v>M_leachcp</v>
      </c>
      <c r="E36" s="103" t="str">
        <v>mass of nitrogen lost through leaching and runoff from the crop residue c or pasture residue p</v>
      </c>
      <c r="F36" s="104"/>
      <c r="G36" s="105"/>
      <c r="H36" s="102" t="str" cm="1">
        <f t="array" ref="H36:I40">_xlfn.CHOOSECOLS(AgResidue_Equations_Leaching.VEERG_6_3_1_1__1__LeachingAndRunoffEmissionsCropAndPastureResidue_Arguments(),3,4)</f>
        <v>kg N</v>
      </c>
      <c r="I36" s="107" t="str">
        <v>Calculated from 6.3.1.1 (2)</v>
      </c>
      <c r="J36" s="102" t="str" cm="1">
        <f t="array" aca="1" ref="J36" ca="1">HYPERLINK(Common_InputFunctions.Utility_SourceHyperlink($D$21), $D$21)</f>
        <v>M1_Table_M_leach_cp</v>
      </c>
      <c r="K36" s="8"/>
    </row>
    <row r="37" spans="1:17" ht="20.100000000000001" customHeight="1" x14ac:dyDescent="0.25">
      <c r="A37" s="5" t="str">
        <f>HYPERLINK("#'5.5.1.1-2 Leaching and runoff'!A1", "5.5.1.1-2 Leaching &amp; runoff")</f>
        <v>5.5.1.1-2 Leaching &amp; runoff</v>
      </c>
      <c r="C37" s="8"/>
      <c r="D37" s="102" t="str">
        <v>EF_leach</v>
      </c>
      <c r="E37" s="103" t="str">
        <v>emission factor for leaching and runoff</v>
      </c>
      <c r="F37" s="104"/>
      <c r="G37" s="105"/>
      <c r="H37" s="102" t="str">
        <v>kg N2O-N/kg N</v>
      </c>
      <c r="I37" s="107" t="str">
        <v>Constant</v>
      </c>
      <c r="J37" s="102">
        <f>'Constants - Common'!$E$170</f>
        <v>1.0999999999999999E-2</v>
      </c>
      <c r="K37" s="8"/>
    </row>
    <row r="38" spans="1:17" ht="20.100000000000001" customHeight="1" x14ac:dyDescent="0.25">
      <c r="A38" s="5" t="str">
        <f>HYPERLINK("#'6.2.1.1-2 Pasture residue N2O'!A1", "6.2.1.1-2 Pasture residue N2O")</f>
        <v>6.2.1.1-2 Pasture residue N2O</v>
      </c>
      <c r="C38" s="8"/>
      <c r="D38" s="102" t="str">
        <v>C_N2O</v>
      </c>
      <c r="E38" s="103" t="str">
        <v>factor to convert elemental mass of nitrous oxide to molecular mass</v>
      </c>
      <c r="F38" s="104"/>
      <c r="G38" s="105"/>
      <c r="H38" s="102" t="str">
        <v>dimensionless</v>
      </c>
      <c r="I38" s="107" t="str">
        <v>Constant</v>
      </c>
      <c r="J38" s="102">
        <f>Common_InputFunctions.Utility_LookupValueInTableNumber("N2O",Table_GasToMolecularConversionFactor[Gas],Table_GasToMolecularConversionFactor[Conversion factor combined])</f>
        <v>1.5714285714285714</v>
      </c>
      <c r="K38" s="8"/>
    </row>
    <row r="39" spans="1:17" ht="20.100000000000001" customHeight="1" x14ac:dyDescent="0.25">
      <c r="A39" s="101" t="str">
        <f>HYPERLINK("#'6.3.1.1-2 Leach runoff pasture'!A1", "6.3.1.1-2 Leach &amp; runoff (pasture)")</f>
        <v>6.3.1.1-2 Leach &amp; runoff (pasture)</v>
      </c>
      <c r="C39" s="8"/>
      <c r="D39" s="102" t="str">
        <v>c</v>
      </c>
      <c r="E39" s="103" t="str">
        <v>Crop residue type</v>
      </c>
      <c r="F39" s="104"/>
      <c r="G39" s="105"/>
      <c r="H39" s="102" t="str">
        <v/>
      </c>
      <c r="I39" s="106" t="str">
        <v>Input</v>
      </c>
      <c r="J39" s="102" t="s">
        <v>140</v>
      </c>
      <c r="K39" s="8"/>
    </row>
    <row r="40" spans="1:17" ht="20.100000000000001" customHeight="1" x14ac:dyDescent="0.25">
      <c r="A40" s="5" t="str">
        <f>HYPERLINK("#'8.1.1.1-2 Transport fuel'!A1", "8.1.1.1-2 Transport fuel")</f>
        <v>8.1.1.1-2 Transport fuel</v>
      </c>
      <c r="C40" s="8"/>
      <c r="D40" s="102" t="str">
        <v>p</v>
      </c>
      <c r="E40" s="103" t="str">
        <v>Pasture residue type</v>
      </c>
      <c r="F40" s="104"/>
      <c r="G40" s="105"/>
      <c r="H40" s="102" t="str">
        <v/>
      </c>
      <c r="I40" s="106" t="str">
        <v>Input</v>
      </c>
      <c r="J40" s="102" t="str">
        <f>X_Cell_Pasture_PastureType</f>
        <v>Grass clover mixture</v>
      </c>
      <c r="K40" s="8"/>
    </row>
    <row r="41" spans="1:17" ht="20.100000000000001" customHeight="1" x14ac:dyDescent="0.25">
      <c r="A41" s="5" t="str">
        <f>HYPERLINK("#'8.2.1.1-2 Stationary fuel'!A1", "8.2.1.1-2 Stationary fuel")</f>
        <v>8.2.1.1-2 Stationary fuel</v>
      </c>
      <c r="C41" s="8"/>
      <c r="D41" s="8"/>
      <c r="E41" s="8"/>
      <c r="F41" s="8"/>
      <c r="G41" s="8"/>
      <c r="H41" s="8"/>
      <c r="I41" s="8"/>
      <c r="J41" s="8"/>
      <c r="K41" s="8"/>
    </row>
    <row r="42" spans="1:17" ht="20.100000000000001" customHeight="1" x14ac:dyDescent="0.25">
      <c r="A42" s="5" t="str">
        <f>HYPERLINK("#'14.1.1-2 Purchased electricity'!A1", "14.1.1-2 Purchased electricity")</f>
        <v>14.1.1-2 Purchased electricity</v>
      </c>
      <c r="C42" s="8"/>
      <c r="D42" s="109" t="s">
        <v>557</v>
      </c>
      <c r="E42" s="8"/>
      <c r="F42" s="8"/>
      <c r="G42" s="8"/>
      <c r="H42" s="8"/>
      <c r="I42" s="8"/>
      <c r="J42" s="8"/>
      <c r="K42" s="8"/>
      <c r="N42" s="109" t="s">
        <v>557</v>
      </c>
      <c r="O42" s="8"/>
      <c r="P42" s="8"/>
      <c r="Q42" s="8"/>
    </row>
    <row r="43" spans="1:17" ht="20.100000000000001" customHeight="1" x14ac:dyDescent="0.25">
      <c r="A43" s="5" t="str">
        <f>HYPERLINK("#'15 Scope 3'!A1", "15 Scope 3")</f>
        <v>15 Scope 3</v>
      </c>
      <c r="C43" s="8"/>
      <c r="D43" s="110" t="s">
        <v>894</v>
      </c>
      <c r="E43" s="8"/>
      <c r="F43" s="8"/>
      <c r="G43" s="8"/>
      <c r="H43" s="8"/>
      <c r="I43" s="8"/>
      <c r="J43" s="8"/>
      <c r="K43" s="8"/>
      <c r="N43" s="110" t="s">
        <v>894</v>
      </c>
      <c r="O43" s="8"/>
      <c r="P43" s="8"/>
      <c r="Q43" s="8"/>
    </row>
    <row r="44" spans="1:17" ht="20.100000000000001" customHeight="1" x14ac:dyDescent="0.25">
      <c r="A44" s="5" t="str">
        <f>HYPERLINK("#'Calcs - Manure sent off-site'!A1", "Calcs - Manure sent off-site")</f>
        <v>Calcs - Manure sent off-site</v>
      </c>
      <c r="C44" s="8"/>
      <c r="D44" s="111" t="s">
        <v>893</v>
      </c>
      <c r="E44" s="111" t="s">
        <v>895</v>
      </c>
      <c r="F44" s="8"/>
      <c r="G44" s="8"/>
      <c r="H44" s="8"/>
      <c r="I44" s="8"/>
      <c r="J44" s="8"/>
      <c r="K44" s="8"/>
      <c r="N44" s="111" t="s">
        <v>893</v>
      </c>
      <c r="O44" s="111" t="s">
        <v>895</v>
      </c>
      <c r="P44" s="8"/>
      <c r="Q44" s="8"/>
    </row>
    <row r="45" spans="1:17" ht="20.100000000000001" customHeight="1" x14ac:dyDescent="0.25">
      <c r="A45" s="5" t="str">
        <f>HYPERLINK("#'10.1.1-2 Solid waste treatment'!A1", "10.1.1-2 Solid waste treatment")</f>
        <v>10.1.1-2 Solid waste treatment</v>
      </c>
      <c r="C45" s="8"/>
      <c r="D45" s="25" t="str">
        <f>I24</f>
        <v>N/A</v>
      </c>
      <c r="E45" s="25" t="s">
        <v>140</v>
      </c>
      <c r="F45" s="8"/>
      <c r="G45" s="8"/>
      <c r="H45" s="8"/>
      <c r="I45" s="8"/>
      <c r="J45" s="8"/>
      <c r="K45" s="8"/>
      <c r="N45" s="25" t="str">
        <f>S24</f>
        <v>N/A</v>
      </c>
      <c r="O45" s="25" t="s">
        <v>140</v>
      </c>
      <c r="P45" s="8"/>
      <c r="Q45" s="8"/>
    </row>
    <row r="46" spans="1:17" ht="20.100000000000001" customHeight="1" x14ac:dyDescent="0.25">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A48" s="97" t="s">
        <v>1</v>
      </c>
      <c r="C48" s="8"/>
      <c r="D48" s="241" t="s">
        <v>896</v>
      </c>
      <c r="E48" s="242">
        <f>SUM(E45:E46)</f>
        <v>3.0793186285714277E-7</v>
      </c>
      <c r="F48" s="117" t="str">
        <f>$E$34</f>
        <v>t N2O</v>
      </c>
      <c r="G48" s="8"/>
      <c r="H48" s="8"/>
      <c r="I48" s="8"/>
      <c r="J48" s="8"/>
      <c r="K48" s="8"/>
      <c r="N48" s="241" t="s">
        <v>896</v>
      </c>
      <c r="O48" s="242">
        <f>SUM(O45:O46)</f>
        <v>3.0793186285714277E-7</v>
      </c>
      <c r="P48" s="117" t="str">
        <f>$E$34</f>
        <v>t N2O</v>
      </c>
      <c r="Q48" s="8"/>
    </row>
    <row r="49" spans="1:17" ht="20.100000000000001" customHeight="1" x14ac:dyDescent="0.25">
      <c r="A49" s="5" t="str">
        <f>HYPERLINK("#'Constants - Pasture Beef'!A1", "Constants - Pasture Beef")</f>
        <v>Constants - Pasture Beef</v>
      </c>
      <c r="D49" s="8"/>
      <c r="E49" s="8"/>
      <c r="F49" s="8"/>
      <c r="G49" s="8"/>
      <c r="N49" s="8"/>
      <c r="O49" s="8"/>
      <c r="P49" s="8"/>
      <c r="Q49" s="8"/>
    </row>
    <row r="50" spans="1:17" ht="20.100000000000001" customHeight="1" x14ac:dyDescent="0.25">
      <c r="A50" s="5" t="str">
        <f>HYPERLINK("#'Constants - Ag Residue'!A1", "Constants - Ag residue")</f>
        <v>Constants - Ag residue</v>
      </c>
      <c r="D50" s="118" t="str" cm="1">
        <f t="array" ref="D50:E51">Common_Equations.Common_ConvertN2OToCO2e_Arguments()</f>
        <v>EN2O</v>
      </c>
      <c r="E50" s="119" t="str">
        <v>Nitrous oxide emissions (t N2O)</v>
      </c>
      <c r="F50" s="120"/>
      <c r="G50" s="25">
        <f>VEERG_6_3_1_1__1__LeachingAndRunoffEmissionsCropAndPastureResidue_PastureOnly_Result_Method1</f>
        <v>3.0793186285714277E-7</v>
      </c>
      <c r="N50" s="118" t="str" cm="1">
        <f t="array" ref="N50:O51">Common_Equations.Common_ConvertN2OToCO2e_Arguments()</f>
        <v>EN2O</v>
      </c>
      <c r="O50" s="119" t="str">
        <v>Nitrous oxide emissions (t N2O)</v>
      </c>
      <c r="P50" s="120"/>
      <c r="Q50" s="25">
        <f>VEERG_6_3_1_1__1__LeachingAndRunoffEmissionsCropAndPastureResidue_PastureOnly_Result_Method2</f>
        <v>3.0793186285714277E-7</v>
      </c>
    </row>
    <row r="51" spans="1:17" ht="20.100000000000001" customHeight="1" x14ac:dyDescent="0.25">
      <c r="A51" s="5" t="str">
        <f>HYPERLINK("#'Constants - Common Livestock'!A1", "Constants - Common Livestock")</f>
        <v>Constants - Common Livestock</v>
      </c>
      <c r="D51" s="118" t="str">
        <v>GWPN2O</v>
      </c>
      <c r="E51" s="119" t="str">
        <v>Global warming potential for nitrous oxide (t CO2-e / t N2O)</v>
      </c>
      <c r="F51" s="120"/>
      <c r="G51" s="25">
        <f>Common_InputFunctions.Utility_LookupValueInTableNumber("N2O",Table_GWPData[Gas],Table_GWPData[CO2-e factor])</f>
        <v>265</v>
      </c>
      <c r="H51" s="8"/>
      <c r="I51" s="8"/>
      <c r="N51" s="118" t="str">
        <v>GWPN2O</v>
      </c>
      <c r="O51" s="119" t="str">
        <v>Global warming potential for nitrous oxide (t CO2-e / t N2O)</v>
      </c>
      <c r="P51" s="120"/>
      <c r="Q51" s="25">
        <f>Common_InputFunctions.Utility_LookupValueInTableNumber("N2O",Table_GWPData[Gas],Table_GWPData[CO2-e factor])</f>
        <v>265</v>
      </c>
    </row>
    <row r="52" spans="1:17" ht="20.100000000000001" customHeight="1" x14ac:dyDescent="0.25">
      <c r="A52" s="5" t="str">
        <f>HYPERLINK("#'Constants - Electricity'!A1", "Constants - Electricity")</f>
        <v>Constants - Electricity</v>
      </c>
      <c r="H52" s="8"/>
      <c r="I52" s="8"/>
    </row>
    <row r="53" spans="1:17" ht="20.100000000000001" customHeight="1" x14ac:dyDescent="0.25">
      <c r="A53" s="5" t="str">
        <f>HYPERLINK("#'Constants - Fertiliser'!A1", "Constants - Fertiliser")</f>
        <v>Constants - Fertiliser</v>
      </c>
      <c r="D53" s="114" t="s">
        <v>323</v>
      </c>
      <c r="E53" s="114" cm="1">
        <f t="array" ref="E53">Common_Equations.Common_ConvertN2OToCO2e(G50,G51)</f>
        <v>8.1601943657142831E-5</v>
      </c>
      <c r="F53" s="121" t="str" cm="1">
        <f t="array" ref="F53">Common_Equations.Common_ConvertN2OToCO2e_Unit()</f>
        <v>t CO2e</v>
      </c>
      <c r="I53" s="8"/>
      <c r="N53" s="114" t="s">
        <v>323</v>
      </c>
      <c r="O53" s="114" cm="1">
        <f t="array" ref="O53">Common_Equations.Common_ConvertN2OToCO2e(Q50,Q51)</f>
        <v>8.1601943657142831E-5</v>
      </c>
      <c r="P53" s="121" t="str" cm="1">
        <f t="array" ref="P53">Common_Equations.Common_ConvertN2OToCO2e_Unit()</f>
        <v>t CO2e</v>
      </c>
    </row>
    <row r="54" spans="1:17" ht="20.100000000000001" customHeight="1" x14ac:dyDescent="0.25">
      <c r="A54" s="5" t="str">
        <f>HYPERLINK("#'Constants - Fuel'!A1", "Constants - Fuel")</f>
        <v>Constants - Fuel</v>
      </c>
      <c r="I54" s="8"/>
    </row>
    <row r="55" spans="1:17" ht="20.100000000000001" customHeight="1" x14ac:dyDescent="0.25">
      <c r="A55" s="5" t="str">
        <f>HYPERLINK("#'Constants - Scope 3'!A1", "Constants - Scope 3")</f>
        <v>Constants - Scope 3</v>
      </c>
    </row>
    <row r="56" spans="1:17" ht="20.100000000000001" customHeight="1" x14ac:dyDescent="0.25">
      <c r="A56" s="5" t="str">
        <f>HYPERLINK("#'Constants - Common'!A1", "Constants - Common")</f>
        <v>Constants - Common</v>
      </c>
    </row>
    <row r="57" spans="1:17" ht="20.100000000000001" customHeight="1" x14ac:dyDescent="0.25">
      <c r="A57" s="5" t="str">
        <f>HYPERLINK("#'Acknowledgements'!A1", "Acknowledgements")</f>
        <v>Acknowledgements</v>
      </c>
    </row>
    <row r="58" spans="1:17" ht="20.100000000000001" customHeight="1" x14ac:dyDescent="0.25">
      <c r="A58" s="5" t="str">
        <f>HYPERLINK("#'Constants - Solid Waste'!A1", "Constants - Solid Waste")</f>
        <v>Constants - Solid Waste</v>
      </c>
    </row>
    <row r="59" spans="1:17" ht="20.100000000000001" customHeight="1" x14ac:dyDescent="0.25"/>
    <row r="60" spans="1:17" ht="20.100000000000001" customHeight="1" x14ac:dyDescent="0.25">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6CAF-9C7D-496F-AE79-028A643A1FAD}">
  <dimension ref="A1:R342"/>
  <sheetViews>
    <sheetView showGridLines="0" topLeftCell="A42"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721</v>
      </c>
    </row>
    <row r="2" spans="1:18" s="3" customFormat="1" ht="20.100000000000001" customHeight="1" x14ac:dyDescent="0.25">
      <c r="A2"/>
    </row>
    <row r="3" spans="1:18" ht="20.100000000000001" customHeight="1" x14ac:dyDescent="0.25">
      <c r="A3" s="5" t="str">
        <f>HYPERLINK("#'Home'!A1", "Home")</f>
        <v>Home</v>
      </c>
      <c r="C3" s="33"/>
      <c r="D3" s="33" t="s">
        <v>148</v>
      </c>
      <c r="E3" s="33"/>
      <c r="F3" s="33"/>
      <c r="G3" s="33"/>
      <c r="H3" s="33"/>
      <c r="I3" s="33"/>
      <c r="J3" s="33"/>
      <c r="K3" s="33"/>
      <c r="L3" s="33"/>
      <c r="M3" s="33"/>
      <c r="N3" s="33"/>
      <c r="O3" s="33"/>
      <c r="P3" s="33"/>
      <c r="Q3" s="33"/>
      <c r="R3" s="33"/>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3"/>
      <c r="P5" s="173"/>
      <c r="Q5" s="173"/>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3"/>
      <c r="P6" s="173"/>
      <c r="Q6" s="173"/>
    </row>
    <row r="7" spans="1:18" ht="20.100000000000001" customHeight="1" x14ac:dyDescent="0.25">
      <c r="D7" s="100" t="s">
        <v>259</v>
      </c>
      <c r="E7" s="100" t="str" cm="1">
        <f t="array" aca="1" ref="E7" ca="1">Common_InputFunctions.Utility_DisplayFunctionName(N25)</f>
        <v>=Fuel_Equations.VEERG_8_1_1_1__1_FuelCombustionTransport</v>
      </c>
      <c r="K7" s="100" t="s">
        <v>259</v>
      </c>
      <c r="L7" s="100" t="str" cm="1">
        <f t="array" aca="1" ref="L7" ca="1">Common_InputFunctions.Utility_DisplayFunctionName(Q25)</f>
        <v>=Scope3_Equations.VEERG_15_11_1_1__2_UpstreamTransportFuelEmissions</v>
      </c>
      <c r="O7" s="173"/>
      <c r="P7" s="173"/>
      <c r="Q7" s="173"/>
    </row>
    <row r="8" spans="1:18" ht="20.100000000000001" customHeight="1" x14ac:dyDescent="0.25">
      <c r="A8" s="7" t="s">
        <v>0</v>
      </c>
      <c r="E8" s="100"/>
      <c r="L8" s="100"/>
      <c r="O8" s="173"/>
      <c r="P8" s="173"/>
      <c r="Q8" s="173"/>
    </row>
    <row r="9" spans="1:18" ht="20.100000000000001" customHeight="1" x14ac:dyDescent="0.25">
      <c r="A9" s="5" t="str">
        <f>HYPERLINK("#'Input - Enterprise'!A1", "Enterprise")</f>
        <v>Enterprise</v>
      </c>
      <c r="G9" s="27"/>
      <c r="O9" s="173"/>
      <c r="P9" s="173"/>
      <c r="Q9" s="173"/>
    </row>
    <row r="10" spans="1:18" ht="20.100000000000001" customHeight="1" x14ac:dyDescent="0.25">
      <c r="A10" s="5" t="str">
        <f>HYPERLINK("#'Input - Site'!A1", "Site")</f>
        <v>Site</v>
      </c>
      <c r="O10" s="173"/>
      <c r="P10" s="173"/>
      <c r="Q10" s="173"/>
    </row>
    <row r="11" spans="1:18" ht="20.100000000000001" customHeight="1" x14ac:dyDescent="0.25">
      <c r="A11" s="5" t="str">
        <f>HYPERLINK("#'Input - Pasture Beef'!A1", "Pasture Beef")</f>
        <v>Pasture Beef</v>
      </c>
      <c r="D11" s="88" t="s">
        <v>261</v>
      </c>
      <c r="E11" s="1" t="str" cm="1">
        <f t="array" ref="E11">Fuel_Equations.VEERG_8_1_1_1__1_FuelCombustionTransport_Variable()</f>
        <v>E_g</v>
      </c>
      <c r="K11" s="88" t="s">
        <v>261</v>
      </c>
      <c r="L11" s="1" t="str" cm="1">
        <f t="array" ref="L11">Scope3_Equations.VEERG_15_11_1_1__2_UpstreamTransportFuelEmissions_Variable()</f>
        <v>E_WTTtransq</v>
      </c>
      <c r="O11" s="173"/>
      <c r="P11" s="173"/>
      <c r="Q11" s="173"/>
    </row>
    <row r="12" spans="1:18" ht="20.100000000000001" customHeight="1" x14ac:dyDescent="0.25">
      <c r="A12" s="5" t="str">
        <f>HYPERLINK("#'Input - Pasture Beef (Enteric)'!A1", "Pasture Beef (Enteric)")</f>
        <v>Pasture Beef (Enteric)</v>
      </c>
      <c r="D12" s="88" t="s">
        <v>131</v>
      </c>
      <c r="E12" s="15" t="str" cm="1">
        <f t="array" ref="E12">Fuel_Equations.VEERG_8_1_1_1__1_FuelCombustionTransport_Unit()</f>
        <v>t CO2-e</v>
      </c>
      <c r="K12" s="88" t="s">
        <v>131</v>
      </c>
      <c r="L12" s="15" t="str" cm="1">
        <f t="array" ref="L12">Scope3_Equations.VEERG_15_11_1_1__2_UpstreamTransportFuelEmissions_Unit()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Beef cattle purchases'!A1", "Beef cattle purchases")</f>
        <v>Beef cattle purchases</v>
      </c>
      <c r="D14" s="102" t="str" cm="1">
        <f t="array" ref="D14:E20">_xlfn.CHOOSECOLS(Fuel_Equations.VEERG_8_1_1_1__1_FuelCombustionTransport_Arguments(), 1,2)</f>
        <v>Q_Transtq</v>
      </c>
      <c r="E14" s="103" t="str">
        <v>Amount of fuel type q combusted for transport energy purposes</v>
      </c>
      <c r="F14" s="105"/>
      <c r="G14" s="102" t="str" cm="1">
        <f t="array" ref="G14:H20">_xlfn.CHOOSECOLS(Fuel_Equations.VEERG_8_1_1_1__1_FuelCombustionTransport_Arguments(), 3,4)</f>
        <v>Varies based on fuel type: kL, m3, GJ</v>
      </c>
      <c r="H14" s="106" t="str">
        <v>Input</v>
      </c>
      <c r="I14" s="108" t="str" cm="1">
        <f t="array" aca="1" ref="I14" ca="1">HYPERLINK(Common_InputFunctions.Utility_SourceHyperlink($D$22), $D$22)</f>
        <v>Table_E_g</v>
      </c>
      <c r="K14" s="102" t="str" cm="1">
        <f t="array" ref="K14:L16">_xlfn.CHOOSECOLS(Scope3_Equations.VEERG_15_11_1_1__2_UpstreamTransportFuelEmissions_Arguments(),1,2)</f>
        <v>Q_Transq</v>
      </c>
      <c r="L14" s="102" t="str">
        <v>amount of fuel q combusted for transport energy purposes</v>
      </c>
      <c r="M14" s="102"/>
      <c r="N14" s="102" t="str" cm="1">
        <f t="array" ref="N14:O16">_xlfn.CHOOSECOLS(Scope3_Equations.VEERG_15_11_1_1__2_UpstreamTransportFuelEmissions_Arguments(),3,4)</f>
        <v>kL</v>
      </c>
      <c r="O14" s="106" t="str">
        <v>Input</v>
      </c>
      <c r="P14" s="108" t="str" cm="1">
        <f t="array" aca="1" ref="P14" ca="1">HYPERLINK(Common_InputFunctions.Utility_SourceHyperlink($D$22), $D$22)</f>
        <v>Table_E_g</v>
      </c>
      <c r="Q14" s="173"/>
    </row>
    <row r="15" spans="1:18" ht="20.100000000000001" customHeight="1" x14ac:dyDescent="0.25">
      <c r="A15" s="5" t="str">
        <f>HYPERLINK("#'Input - Pasture'!A1", "Pasture")</f>
        <v>Pasture</v>
      </c>
      <c r="D15" s="102" t="str">
        <v>EC_Transq</v>
      </c>
      <c r="E15" s="103" t="str">
        <v>Energy content factor for transport energy purposes</v>
      </c>
      <c r="F15" s="105"/>
      <c r="G15" s="102" t="str">
        <v>GJ / unit of fuel</v>
      </c>
      <c r="H15" s="107" t="str">
        <v>Constant</v>
      </c>
      <c r="I15" s="108" t="str" cm="1">
        <f t="array" aca="1" ref="I15" ca="1">HYPERLINK(Common_InputFunctions.Utility_SourceHyperlink($D$22), $D$22)</f>
        <v>Table_E_g</v>
      </c>
      <c r="K15" s="102" t="str">
        <v>EC_Transq</v>
      </c>
      <c r="L15" s="102" t="str">
        <v>energy content factor for transport energy purposes</v>
      </c>
      <c r="M15" s="102"/>
      <c r="N15" s="102" t="str">
        <v>GJ/kL or GJ/m3</v>
      </c>
      <c r="O15" s="107" t="str">
        <v>Constant</v>
      </c>
      <c r="P15" s="108" t="str" cm="1">
        <f t="array" aca="1" ref="P15" ca="1">HYPERLINK(Common_InputFunctions.Utility_SourceHyperlink($D$22), $D$22)</f>
        <v>Table_E_g</v>
      </c>
      <c r="Q15" s="173"/>
    </row>
    <row r="16" spans="1:18" ht="20.100000000000001" customHeight="1" x14ac:dyDescent="0.25">
      <c r="A16" s="5" t="str">
        <f>HYPERLINK("#'Input - Fert Prod System'!A1", "Fert Prod System")</f>
        <v>Fert Prod System</v>
      </c>
      <c r="D16" s="102" t="str">
        <v>EF_Trans1tqg</v>
      </c>
      <c r="E16" s="103" t="str">
        <v>Scope 1 emission factor for transport energy purposes for each greenhouse gas</v>
      </c>
      <c r="F16" s="105"/>
      <c r="G16" s="102" t="str">
        <v>kg CO2e / GJ</v>
      </c>
      <c r="H16" s="107" t="str">
        <v>Constant</v>
      </c>
      <c r="I16" s="108" t="str" cm="1">
        <f t="array" aca="1" ref="I16" ca="1">HYPERLINK(Common_InputFunctions.Utility_SourceHyperlink($D$22), $D$22)</f>
        <v>Table_E_g</v>
      </c>
      <c r="K16" s="102" t="str">
        <v>EF_Trans3q</v>
      </c>
      <c r="L16" s="102" t="str">
        <v>scope 3 emission factor for transport energy purposes</v>
      </c>
      <c r="M16" s="102"/>
      <c r="N16" s="102" t="str">
        <v>kg CO2e/GJ</v>
      </c>
      <c r="O16" s="107" t="str">
        <v>Constant</v>
      </c>
      <c r="P16" s="108" t="str" cm="1">
        <f t="array" aca="1" ref="P16" ca="1">HYPERLINK(Common_InputFunctions.Utility_SourceHyperlink($D$22), $D$22)</f>
        <v>Table_E_g</v>
      </c>
      <c r="Q16" s="173"/>
    </row>
    <row r="17" spans="1:17" ht="20.100000000000001" customHeight="1" x14ac:dyDescent="0.25">
      <c r="A17" s="5" t="str">
        <f>HYPERLINK("#'Input - Fertiliser'!A1", "Fertiliser")</f>
        <v>Fertiliser</v>
      </c>
      <c r="D17" s="102" t="str">
        <v>q</v>
      </c>
      <c r="E17" s="103" t="str">
        <v>Fuel type</v>
      </c>
      <c r="F17" s="105"/>
      <c r="G17" s="102" t="str">
        <v/>
      </c>
      <c r="H17" s="107" t="str">
        <v>Constant</v>
      </c>
      <c r="I17" s="108"/>
      <c r="J17" s="173"/>
      <c r="P17" s="173"/>
      <c r="Q17" s="173"/>
    </row>
    <row r="18" spans="1:17" ht="20.100000000000001" customHeight="1" x14ac:dyDescent="0.25">
      <c r="A18" s="5" t="str">
        <f>HYPERLINK("#'Input - Fuel'!A1", "Fuel")</f>
        <v>Fuel</v>
      </c>
      <c r="D18" s="102" t="str">
        <v>Trans</v>
      </c>
      <c r="E18" s="103" t="str">
        <v>Transport combustion</v>
      </c>
      <c r="F18" s="105"/>
      <c r="G18" s="102" t="str">
        <v/>
      </c>
      <c r="H18" s="107" t="str">
        <v>Constant</v>
      </c>
      <c r="I18" s="108"/>
      <c r="J18" s="173"/>
      <c r="L18" s="173"/>
      <c r="M18" s="173"/>
      <c r="N18" s="173"/>
      <c r="O18" s="173"/>
      <c r="P18" s="173"/>
      <c r="Q18" s="173"/>
    </row>
    <row r="19" spans="1:17" ht="20.100000000000001" customHeight="1" x14ac:dyDescent="0.25">
      <c r="A19" s="5" t="str">
        <f>HYPERLINK("#'Input - Electricity'!A1", "Electricity")</f>
        <v>Electricity</v>
      </c>
      <c r="D19" s="102" t="str">
        <v>g</v>
      </c>
      <c r="E19" s="103" t="str">
        <v>Greenhouse gas</v>
      </c>
      <c r="F19" s="105"/>
      <c r="G19" s="102" t="str">
        <v/>
      </c>
      <c r="H19" s="107" t="str">
        <v>Constant</v>
      </c>
      <c r="I19" s="108"/>
      <c r="J19" s="173"/>
      <c r="L19" s="173"/>
      <c r="M19" s="173"/>
      <c r="N19" s="173"/>
      <c r="O19" s="173"/>
      <c r="P19" s="173"/>
      <c r="Q19" s="173"/>
    </row>
    <row r="20" spans="1:17" ht="20.100000000000001" customHeight="1" x14ac:dyDescent="0.25">
      <c r="A20" s="5" t="str">
        <f>HYPERLINK("#'Input - Farm Inputs'!A1", "Farm Inputs")</f>
        <v>Farm Inputs</v>
      </c>
      <c r="D20" s="102" t="str">
        <v>1</v>
      </c>
      <c r="E20" s="103" t="str">
        <v>Scope 1</v>
      </c>
      <c r="F20" s="105"/>
      <c r="G20" s="102" t="str">
        <v/>
      </c>
      <c r="H20" s="107" t="str">
        <v>Constant</v>
      </c>
      <c r="I20" s="108"/>
      <c r="J20" s="173"/>
      <c r="L20" s="173"/>
      <c r="M20" s="173"/>
      <c r="N20" s="173"/>
      <c r="O20" s="173"/>
      <c r="P20" s="173"/>
      <c r="Q20" s="173"/>
    </row>
    <row r="21" spans="1:17" ht="20.100000000000001" customHeight="1" x14ac:dyDescent="0.25">
      <c r="A21" s="5" t="str">
        <f>HYPERLINK("#'Input - Freight'!A1", "Freight")</f>
        <v>Freight</v>
      </c>
      <c r="O21" s="173"/>
      <c r="P21" s="173"/>
      <c r="Q21" s="173"/>
    </row>
    <row r="22" spans="1:17" ht="20.100000000000001" customHeight="1" x14ac:dyDescent="0.25">
      <c r="A22" s="5" t="str">
        <f>HYPERLINK("#'Input - Manure sent off-site'!A1", "Manure sent off-site")</f>
        <v>Manure sent off-site</v>
      </c>
      <c r="D22" s="109" t="s">
        <v>722</v>
      </c>
    </row>
    <row r="23" spans="1:17" ht="20.100000000000001" customHeight="1" x14ac:dyDescent="0.25">
      <c r="A23" s="5" t="str">
        <f>HYPERLINK("#'Input - Solid waste'!A1", "Solid waste")</f>
        <v>Solid waste</v>
      </c>
      <c r="D23" s="110" t="s">
        <v>723</v>
      </c>
    </row>
    <row r="24" spans="1:17" ht="20.100000000000001" customHeight="1" x14ac:dyDescent="0.25">
      <c r="D24" s="111" t="s">
        <v>724</v>
      </c>
      <c r="E24" s="111" t="s">
        <v>725</v>
      </c>
      <c r="F24" s="111" t="s">
        <v>726</v>
      </c>
      <c r="G24" s="111" t="s">
        <v>727</v>
      </c>
      <c r="H24" s="111" t="s">
        <v>728</v>
      </c>
      <c r="I24" s="111" t="s">
        <v>729</v>
      </c>
      <c r="J24" s="111" t="s">
        <v>730</v>
      </c>
      <c r="K24" s="111" t="s">
        <v>731</v>
      </c>
      <c r="L24" s="112" t="s">
        <v>732</v>
      </c>
      <c r="M24" s="111" t="s">
        <v>733</v>
      </c>
      <c r="N24" s="111" t="s">
        <v>734</v>
      </c>
      <c r="O24" s="111" t="s">
        <v>735</v>
      </c>
      <c r="P24" s="111" t="s">
        <v>736</v>
      </c>
      <c r="Q24" s="111" t="s">
        <v>737</v>
      </c>
    </row>
    <row r="25" spans="1:17" ht="20.100000000000001" customHeight="1" x14ac:dyDescent="0.25">
      <c r="D25" s="35" t="str">
        <f>Table_FuelTypesPerUse[[#Headers],[Cars and light commercial vehicles]]</f>
        <v>Cars and light commercial vehicles</v>
      </c>
      <c r="E25" s="198" t="str">
        <f>'Constants - Fuel'!$E$10</f>
        <v>Gasoline</v>
      </c>
      <c r="F25" s="198"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77" cm="1">
        <f t="array" ref="L25">Fuel_InputFunctions.Fuel_TotalConsumption(Table_Input_Fuel[Amount consumed], Table_Input_Fuel[Fuel use (select)], D25, Table_Input_Fuel[Fuel type (select)],F25)</f>
        <v>0</v>
      </c>
      <c r="M25" s="177" t="str" cm="1">
        <f t="array" ref="M25">Common_InputFunctions.Utility_LookupValueInTable(F25,Table_FuelTypes_Units[Fuel type],Table_FuelTypes_Units[Unit])</f>
        <v>kL</v>
      </c>
      <c r="N25" s="199" cm="1">
        <f t="array" ref="N25">Fuel_Equations.VEERG_8_1_1_1__1_FuelCombustionTransport($L25,$G25,$H25)</f>
        <v>0</v>
      </c>
      <c r="O25" s="199" cm="1">
        <f t="array" ref="O25">Fuel_Equations.VEERG_8_1_1_1__1_FuelCombustionTransport($L25,$G25,$I25)</f>
        <v>0</v>
      </c>
      <c r="P25" s="199" cm="1">
        <f t="array" ref="P25">Fuel_Equations.VEERG_8_1_1_1__1_FuelCombustionTransport($L25,$G25,$J25)</f>
        <v>0</v>
      </c>
      <c r="Q25" s="199" cm="1">
        <f t="array" ref="Q25">Scope3_Equations.VEERG_15_11_1_1__2_UpstreamTransportFuelEmissions(L25,G25,K25)</f>
        <v>0</v>
      </c>
    </row>
    <row r="26" spans="1:17" ht="20.100000000000001" customHeight="1" x14ac:dyDescent="0.25">
      <c r="A26" s="6" t="s">
        <v>2</v>
      </c>
      <c r="D26" s="200" t="str">
        <f t="shared" ref="D26:D32" si="0">$D$25</f>
        <v>Cars and light commercial vehicles</v>
      </c>
      <c r="E26" s="198" t="str">
        <f>'Constants - Fuel'!$E$11</f>
        <v>Diesel oil</v>
      </c>
      <c r="F26" s="198"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77" cm="1">
        <f t="array" ref="L26">Fuel_InputFunctions.Fuel_TotalConsumption(Table_Input_Fuel[Amount consumed], Table_Input_Fuel[Fuel use (select)], D26, Table_Input_Fuel[Fuel type (select)],F26)</f>
        <v>10</v>
      </c>
      <c r="M26" s="177" t="str" cm="1">
        <f t="array" ref="M26">Common_InputFunctions.Utility_LookupValueInTable(F26,Table_FuelTypes_Units[Fuel type],Table_FuelTypes_Units[Unit])</f>
        <v>kL</v>
      </c>
      <c r="N26" s="199" cm="1">
        <f t="array" ref="N26">Fuel_Equations.VEERG_8_1_1_1__1_FuelCombustionTransport($L26,$G26,$H26)</f>
        <v>26.981400000000001</v>
      </c>
      <c r="O26" s="199" cm="1">
        <f t="array" ref="O26">Fuel_Equations.VEERG_8_1_1_1__1_FuelCombustionTransport($L26,$G26,$I26)</f>
        <v>3.8600000000000001E-3</v>
      </c>
      <c r="P26" s="199" cm="1">
        <f t="array" ref="P26">Fuel_Equations.VEERG_8_1_1_1__1_FuelCombustionTransport($L26,$G26,$J26)</f>
        <v>0.193</v>
      </c>
      <c r="Q26" s="199" cm="1">
        <f t="array" ref="Q26">Scope3_Equations.VEERG_15_11_1_1__2_UpstreamTransportFuelEmissions(L26,G26,K26)</f>
        <v>6.6778000000000004</v>
      </c>
    </row>
    <row r="27" spans="1:17" ht="20.100000000000001" customHeight="1" x14ac:dyDescent="0.25">
      <c r="A27" s="5" t="str">
        <f>HYPERLINK("#'3.2.1.1-2 Enteric Methane'!A1", "3.2.1.1-2 Enteric methane")</f>
        <v>3.2.1.1-2 Enteric methane</v>
      </c>
      <c r="D27" s="200" t="str">
        <f t="shared" si="0"/>
        <v>Cars and light commercial vehicles</v>
      </c>
      <c r="E27" s="198" t="str">
        <f>'Constants - Fuel'!$E$12</f>
        <v>Liquefied petroleum gas (LPG)</v>
      </c>
      <c r="F27" s="198"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77" cm="1">
        <f t="array" ref="L27">Fuel_InputFunctions.Fuel_TotalConsumption(Table_Input_Fuel[Amount consumed], Table_Input_Fuel[Fuel use (select)], D27, Table_Input_Fuel[Fuel type (select)],F27)</f>
        <v>0</v>
      </c>
      <c r="M27" s="177" t="str" cm="1">
        <f t="array" ref="M27">Common_InputFunctions.Utility_LookupValueInTable(F27,Table_FuelTypes_Units[Fuel type],Table_FuelTypes_Units[Unit])</f>
        <v>kL</v>
      </c>
      <c r="N27" s="199" cm="1">
        <f t="array" ref="N27">Fuel_Equations.VEERG_8_1_1_1__1_FuelCombustionTransport($L27,$G27,$H27)</f>
        <v>0</v>
      </c>
      <c r="O27" s="199" cm="1">
        <f t="array" ref="O27">Fuel_Equations.VEERG_8_1_1_1__1_FuelCombustionTransport($L27,$G27,$I27)</f>
        <v>0</v>
      </c>
      <c r="P27" s="199" cm="1">
        <f t="array" ref="P27">Fuel_Equations.VEERG_8_1_1_1__1_FuelCombustionTransport($L27,$G27,$J27)</f>
        <v>0</v>
      </c>
      <c r="Q27" s="199" cm="1">
        <f t="array" ref="Q27">Scope3_Equations.VEERG_15_11_1_1__2_UpstreamTransportFuelEmissions(L27,G27,K27)</f>
        <v>0</v>
      </c>
    </row>
    <row r="28" spans="1:17" ht="20.100000000000001" customHeight="1" x14ac:dyDescent="0.25">
      <c r="A28" s="5" t="str">
        <f>HYPERLINK("#'4.2.1.1-2 Methane'!A1", "4.2.1.1-2 Manure methane")</f>
        <v>4.2.1.1-2 Manure methane</v>
      </c>
      <c r="D28" s="200" t="str">
        <f t="shared" si="0"/>
        <v>Cars and light commercial vehicles</v>
      </c>
      <c r="E28" s="198" t="str">
        <f>'Constants - Fuel'!$E$13</f>
        <v>Fuel oil</v>
      </c>
      <c r="F28" s="198"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77" cm="1">
        <f t="array" ref="L28">Fuel_InputFunctions.Fuel_TotalConsumption(Table_Input_Fuel[Amount consumed], Table_Input_Fuel[Fuel use (select)], D28, Table_Input_Fuel[Fuel type (select)],F28)</f>
        <v>0</v>
      </c>
      <c r="M28" s="177" t="str" cm="1">
        <f t="array" ref="M28">Common_InputFunctions.Utility_LookupValueInTable(F28,Table_FuelTypes_Units[Fuel type],Table_FuelTypes_Units[Unit])</f>
        <v>kL</v>
      </c>
      <c r="N28" s="199" cm="1">
        <f t="array" ref="N28">Fuel_Equations.VEERG_8_1_1_1__1_FuelCombustionTransport($L28,$G28,$H28)</f>
        <v>0</v>
      </c>
      <c r="O28" s="199" cm="1">
        <f t="array" ref="O28">Fuel_Equations.VEERG_8_1_1_1__1_FuelCombustionTransport($L28,$G28,$I28)</f>
        <v>0</v>
      </c>
      <c r="P28" s="199" cm="1">
        <f t="array" ref="P28">Fuel_Equations.VEERG_8_1_1_1__1_FuelCombustionTransport($L28,$G28,$J28)</f>
        <v>0</v>
      </c>
      <c r="Q28" s="199" cm="1">
        <f t="array" ref="Q28">Scope3_Equations.VEERG_15_11_1_1__2_UpstreamTransportFuelEmissions(L28,G28,K28)</f>
        <v>0</v>
      </c>
    </row>
    <row r="29" spans="1:17" ht="20.100000000000001" customHeight="1" x14ac:dyDescent="0.25">
      <c r="A29" s="5" t="str">
        <f>HYPERLINK("#'4.2.1.3-4 Soil direct N20'!A1", "4.2.1.3-4 Soil direct N2O")</f>
        <v>4.2.1.3-4 Soil direct N2O</v>
      </c>
      <c r="D29" s="200" t="str">
        <f t="shared" si="0"/>
        <v>Cars and light commercial vehicles</v>
      </c>
      <c r="E29" s="198" t="str">
        <f>'Constants - Fuel'!$E$14</f>
        <v>Ethanol</v>
      </c>
      <c r="F29" s="198"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77" cm="1">
        <f t="array" ref="L29">Fuel_InputFunctions.Fuel_TotalConsumption(Table_Input_Fuel[Amount consumed], Table_Input_Fuel[Fuel use (select)], D29, Table_Input_Fuel[Fuel type (select)],F29)</f>
        <v>0</v>
      </c>
      <c r="M29" s="177" t="str" cm="1">
        <f t="array" ref="M29">Common_InputFunctions.Utility_LookupValueInTable(F29,Table_FuelTypes_Units[Fuel type],Table_FuelTypes_Units[Unit])</f>
        <v>kL</v>
      </c>
      <c r="N29" s="199" cm="1">
        <f t="array" ref="N29">Fuel_Equations.VEERG_8_1_1_1__1_FuelCombustionTransport($L29,$G29,$H29)</f>
        <v>0</v>
      </c>
      <c r="O29" s="199" cm="1">
        <f t="array" ref="O29">Fuel_Equations.VEERG_8_1_1_1__1_FuelCombustionTransport($L29,$G29,$I29)</f>
        <v>0</v>
      </c>
      <c r="P29" s="199" cm="1">
        <f t="array" ref="P29">Fuel_Equations.VEERG_8_1_1_1__1_FuelCombustionTransport($L29,$G29,$J29)</f>
        <v>0</v>
      </c>
      <c r="Q29" s="199" cm="1">
        <f t="array" ref="Q29">Scope3_Equations.VEERG_15_11_1_1__2_UpstreamTransportFuelEmissions(L29,G29,IF(ISNUMBER(K29),K29,0))</f>
        <v>0</v>
      </c>
    </row>
    <row r="30" spans="1:17" ht="20.100000000000001" customHeight="1" x14ac:dyDescent="0.25">
      <c r="A30" s="5" t="str">
        <f>HYPERLINK("#'4.2.1.5-6 Soil Atmos Dep'!A1", "4.2.1.5-6 Soil atm. deposition")</f>
        <v>4.2.1.5-6 Soil atm. deposition</v>
      </c>
      <c r="D30" s="200" t="str">
        <f t="shared" si="0"/>
        <v>Cars and light commercial vehicles</v>
      </c>
      <c r="E30" s="198" t="str">
        <f>'Constants - Fuel'!$E$15</f>
        <v>Biodiesel</v>
      </c>
      <c r="F30" s="198"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77" cm="1">
        <f t="array" ref="L30">Fuel_InputFunctions.Fuel_TotalConsumption(Table_Input_Fuel[Amount consumed], Table_Input_Fuel[Fuel use (select)], D30, Table_Input_Fuel[Fuel type (select)],F30)</f>
        <v>0</v>
      </c>
      <c r="M30" s="177" t="str" cm="1">
        <f t="array" ref="M30">Common_InputFunctions.Utility_LookupValueInTable(F30,Table_FuelTypes_Units[Fuel type],Table_FuelTypes_Units[Unit])</f>
        <v>kL</v>
      </c>
      <c r="N30" s="199" cm="1">
        <f t="array" ref="N30">Fuel_Equations.VEERG_8_1_1_1__1_FuelCombustionTransport($L30,$G30,$H30)</f>
        <v>0</v>
      </c>
      <c r="O30" s="199" cm="1">
        <f t="array" ref="O30">Fuel_Equations.VEERG_8_1_1_1__1_FuelCombustionTransport($L30,$G30,$I30)</f>
        <v>0</v>
      </c>
      <c r="P30" s="199" cm="1">
        <f t="array" ref="P30">Fuel_Equations.VEERG_8_1_1_1__1_FuelCombustionTransport($L30,$G30,$J30)</f>
        <v>0</v>
      </c>
      <c r="Q30" s="199" cm="1">
        <f t="array" ref="Q30">Scope3_Equations.VEERG_15_11_1_1__2_UpstreamTransportFuelEmissions(L30,G30,IF(ISNUMBER(K30),K30,0))</f>
        <v>0</v>
      </c>
    </row>
    <row r="31" spans="1:17" ht="20.100000000000001" customHeight="1" x14ac:dyDescent="0.25">
      <c r="A31" s="5" t="str">
        <f>HYPERLINK("#'4.2.1.7-8 Soil leach runoff'!A1", "4.2.1.7-8 Soil leach &amp; runoff")</f>
        <v>4.2.1.7-8 Soil leach &amp; runoff</v>
      </c>
      <c r="D31" s="200" t="str">
        <f t="shared" si="0"/>
        <v>Cars and light commercial vehicles</v>
      </c>
      <c r="E31" s="198" t="str">
        <f>'Constants - Fuel'!$E$16</f>
        <v>Renewable diesel</v>
      </c>
      <c r="F31" s="198"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77" cm="1">
        <f t="array" ref="L31">Fuel_InputFunctions.Fuel_TotalConsumption(Table_Input_Fuel[Amount consumed], Table_Input_Fuel[Fuel use (select)], D31, Table_Input_Fuel[Fuel type (select)],F31)</f>
        <v>0</v>
      </c>
      <c r="M31" s="177" t="str" cm="1">
        <f t="array" ref="M31">Common_InputFunctions.Utility_LookupValueInTable(F31,Table_FuelTypes_Units[Fuel type],Table_FuelTypes_Units[Unit])</f>
        <v>kL</v>
      </c>
      <c r="N31" s="199" cm="1">
        <f t="array" ref="N31">Fuel_Equations.VEERG_8_1_1_1__1_FuelCombustionTransport($L31,$G31,$H31)</f>
        <v>0</v>
      </c>
      <c r="O31" s="199" cm="1">
        <f t="array" ref="O31">Fuel_Equations.VEERG_8_1_1_1__1_FuelCombustionTransport($L31,$G31,$I31)</f>
        <v>0</v>
      </c>
      <c r="P31" s="199" cm="1">
        <f t="array" ref="P31">Fuel_Equations.VEERG_8_1_1_1__1_FuelCombustionTransport($L31,$G31,$J31)</f>
        <v>0</v>
      </c>
      <c r="Q31" s="199" cm="1">
        <f t="array" ref="Q31">Scope3_Equations.VEERG_15_11_1_1__2_UpstreamTransportFuelEmissions(L31,G31,IF(ISNUMBER(K31),K31,0))</f>
        <v>0</v>
      </c>
    </row>
    <row r="32" spans="1:17" ht="20.100000000000001" customHeight="1" x14ac:dyDescent="0.25">
      <c r="A32" s="5" t="str">
        <f>HYPERLINK("#'5.1.1.1-2 Inorganic fert N2O'!A1", "5.1.1.1-2 Inorganic fert N2O")</f>
        <v>5.1.1.1-2 Inorganic fert N2O</v>
      </c>
      <c r="D32" s="200" t="str">
        <f t="shared" si="0"/>
        <v>Cars and light commercial vehicles</v>
      </c>
      <c r="E32" s="198" t="str">
        <f>'Constants - Fuel'!$E$17</f>
        <v>Other biofuels</v>
      </c>
      <c r="F32" s="198"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6" t="str" cm="1">
        <f t="array" ref="K32">IFERROR(_xlfn.XLOOKUP(1, (Table_Fuel_EFs_Transport[Fuel combusted]=$E32)*(Table_Fuel_EFs_Transport[Transport type]=$D$25), Table_Fuel_EFs_Transport[Scope 3 Emission Factor (kg CO2 - e / GJ)]), 0)</f>
        <v>NE</v>
      </c>
      <c r="L32" s="201" cm="1">
        <f t="array" ref="L32">Fuel_InputFunctions.Fuel_TotalConsumption(Table_Input_Fuel[Amount consumed], Table_Input_Fuel[Fuel use (select)], D32, Table_Input_Fuel[Fuel type (select)],F32)</f>
        <v>0</v>
      </c>
      <c r="M32" s="177" t="str" cm="1">
        <f t="array" ref="M32">Common_InputFunctions.Utility_LookupValueInTable(F32,Table_FuelTypes_Units[Fuel type],Table_FuelTypes_Units[Unit])</f>
        <v>kL</v>
      </c>
      <c r="N32" s="202" cm="1">
        <f t="array" ref="N32">Fuel_Equations.VEERG_8_1_1_1__1_FuelCombustionTransport($L32,$G32,$H32)</f>
        <v>0</v>
      </c>
      <c r="O32" s="202" cm="1">
        <f t="array" ref="O32">Fuel_Equations.VEERG_8_1_1_1__1_FuelCombustionTransport($L32,$G32,$I32)</f>
        <v>0</v>
      </c>
      <c r="P32" s="202" cm="1">
        <f t="array" ref="P32">Fuel_Equations.VEERG_8_1_1_1__1_FuelCombustionTransport($L32,$G32,$J32)</f>
        <v>0</v>
      </c>
      <c r="Q32" s="199" cm="1">
        <f t="array" ref="Q32">Scope3_Equations.VEERG_15_11_1_1__2_UpstreamTransportFuelEmissions(L32,G32,IF(ISNUMBER(K32),K32,0))</f>
        <v>0</v>
      </c>
    </row>
    <row r="33" spans="1:17" ht="20.100000000000001" customHeight="1" x14ac:dyDescent="0.25">
      <c r="A33" s="5" t="str">
        <f>HYPERLINK("#'5.1.1.3-4 Inorganic fert CO2'!A1", "5.1.1.3-4 Inorganic fert CO2")</f>
        <v>5.1.1.3-4 Inorganic fert CO2</v>
      </c>
      <c r="D33" s="203" t="str">
        <f>Table_FuelTypesPerUse[[#Headers],[Off-road Agriculture and forestry equipment]]</f>
        <v>Off-road Agriculture and forestry equipment</v>
      </c>
      <c r="E33" s="204" t="str">
        <f>'Constants - Fuel'!$E$11</f>
        <v>Diesel oil</v>
      </c>
      <c r="F33" s="204" t="str">
        <f>'Constants - Fuel'!H131</f>
        <v>Diesel</v>
      </c>
      <c r="G33" s="205" cm="1">
        <f t="array" ref="G33">IFERROR(_xlfn.XLOOKUP(1, (Table_Fuel_EFs_Transport[Fuel combusted]=$E33)*(Table_Fuel_EFs_Transport[Transport type]=$D$33), Table_Fuel_EFs_Transport[Energy Content Factor (GJ per unit of fuel)]), 0)</f>
        <v>38.6</v>
      </c>
      <c r="H33" s="205" cm="1">
        <f t="array" ref="H33">IFERROR(_xlfn.XLOOKUP(1, (Table_Fuel_EFs_Transport[Fuel combusted]=$E33)*(Table_Fuel_EFs_Transport[Transport type]=$D$33), Table_Fuel_EFs_Transport[Scope 1 Emission Factor (kg CO2 - e / GJ) CO2]), 0)</f>
        <v>69.900000000000006</v>
      </c>
      <c r="I33" s="205" cm="1">
        <f t="array" ref="I33">IFERROR(_xlfn.XLOOKUP(1, (Table_Fuel_EFs_Transport[Fuel combusted]=$E33)*(Table_Fuel_EFs_Transport[Transport type]=$D$33), Table_Fuel_EFs_Transport[Scope 1 Emission Factor (kg CO2 - e / GJ) CH4]), 0)</f>
        <v>0.3</v>
      </c>
      <c r="J33" s="205" cm="1">
        <f t="array" ref="J33">IFERROR(_xlfn.XLOOKUP(1, (Table_Fuel_EFs_Transport[Fuel combusted]=$E33)*(Table_Fuel_EFs_Transport[Transport type]=$D$33), Table_Fuel_EFs_Transport[Scope 1 Emission Factor (kg CO2 - e / GJ) N2O]), 0)</f>
        <v>0.5</v>
      </c>
      <c r="K33" s="206" cm="1">
        <f t="array" ref="K33">IFERROR(_xlfn.XLOOKUP(1, (Table_Fuel_EFs_Transport[Fuel combusted]=$E33)*(Table_Fuel_EFs_Transport[Transport type]=$D$25), Table_Fuel_EFs_Transport[Scope 3 Emission Factor (kg CO2 - e / GJ)]), 0)</f>
        <v>17.3</v>
      </c>
      <c r="L33" s="207" cm="1">
        <f t="array" ref="L33">Fuel_InputFunctions.Fuel_TotalConsumption(Table_Input_Fuel[Amount consumed], Table_Input_Fuel[Fuel use (select)], D33, Table_Input_Fuel[Fuel type (select)],F33)</f>
        <v>10</v>
      </c>
      <c r="M33" s="208" t="str" cm="1">
        <f t="array" ref="M33">Common_InputFunctions.Utility_LookupValueInTable(F33,Table_FuelTypes_Units[Fuel type],Table_FuelTypes_Units[Unit])</f>
        <v>kL</v>
      </c>
      <c r="N33" s="209" cm="1">
        <f t="array" ref="N33">Fuel_Equations.VEERG_8_1_1_1__1_FuelCombustionTransport($L33,$G33,$H33)</f>
        <v>26.981400000000001</v>
      </c>
      <c r="O33" s="209" cm="1">
        <f t="array" ref="O33">Fuel_Equations.VEERG_8_1_1_1__1_FuelCombustionTransport($L33,$G33,$I33)</f>
        <v>0.1158</v>
      </c>
      <c r="P33" s="209" cm="1">
        <f t="array" ref="P33">Fuel_Equations.VEERG_8_1_1_1__1_FuelCombustionTransport($L33,$G33,$J33)</f>
        <v>0.193</v>
      </c>
      <c r="Q33" s="210" cm="1">
        <f t="array" ref="Q33">Scope3_Equations.VEERG_15_11_1_1__2_UpstreamTransportFuelEmissions(L33,G33,K33)</f>
        <v>6.6778000000000004</v>
      </c>
    </row>
    <row r="34" spans="1:17" ht="20.100000000000001" customHeight="1" x14ac:dyDescent="0.25">
      <c r="A34" s="5" t="str">
        <f>HYPERLINK("#'5.2.1.1-2 Organic Fert N2O'!A1", "5.2.1.1-2 Organic fert N2O")</f>
        <v>5.2.1.1-2 Organic fert N2O</v>
      </c>
      <c r="D34" s="203" t="str">
        <f>Table_FuelTypesPerUse[[#Headers],[Aviation]]</f>
        <v>Aviation</v>
      </c>
      <c r="E34" s="204" t="str">
        <f>'Constants - Fuel'!$E$28</f>
        <v>Gasoline for use as fuel in an aircraft</v>
      </c>
      <c r="F34" s="204" t="str">
        <f>'Constants - Fuel'!$F$131</f>
        <v>Avgas</v>
      </c>
      <c r="G34" s="211" cm="1">
        <f t="array" ref="G34">IFERROR(_xlfn.XLOOKUP(1, (Table_Fuel_EFs_Transport[Fuel combusted]=$E34)*(Table_Fuel_EFs_Transport[Transport type]=$D$34), Table_Fuel_EFs_Transport[Energy Content Factor (GJ per unit of fuel)]), 0)</f>
        <v>33.1</v>
      </c>
      <c r="H34" s="211" cm="1">
        <f t="array" ref="H34">IFERROR(_xlfn.XLOOKUP(1, (Table_Fuel_EFs_Transport[Fuel combusted]=$E34)*(Table_Fuel_EFs_Transport[Transport type]=$D$34), Table_Fuel_EFs_Transport[Scope 1 Emission Factor (kg CO2 - e / GJ) CO2]), 0)</f>
        <v>67</v>
      </c>
      <c r="I34" s="211" cm="1">
        <f t="array" ref="I34">IFERROR(_xlfn.XLOOKUP(1, (Table_Fuel_EFs_Transport[Fuel combusted]=$E34)*(Table_Fuel_EFs_Transport[Transport type]=$D$34), Table_Fuel_EFs_Transport[Scope 1 Emission Factor (kg CO2 - e / GJ) CH4]), 0)</f>
        <v>0.06</v>
      </c>
      <c r="J34" s="211" cm="1">
        <f t="array" ref="J34">IFERROR(_xlfn.XLOOKUP(1, (Table_Fuel_EFs_Transport[Fuel combusted]=$E34)*(Table_Fuel_EFs_Transport[Transport type]=$D$34), Table_Fuel_EFs_Transport[Scope 1 Emission Factor (kg CO2 - e / GJ) N2O]), 0)</f>
        <v>0.6</v>
      </c>
      <c r="K34" s="211" cm="1">
        <f t="array" ref="K34">IFERROR(_xlfn.XLOOKUP(1, (Table_Fuel_EFs_Transport[Fuel combusted]=$E34)*(Table_Fuel_EFs_Transport[Transport type]=$D$25), Table_Fuel_EFs_Transport[Scope 3 Emission Factor (kg CO2 - e / GJ)]), 0)</f>
        <v>0</v>
      </c>
      <c r="L34" s="208" cm="1">
        <f t="array" ref="L34">Fuel_InputFunctions.Fuel_TotalConsumption(Table_Input_Fuel[Amount consumed], Table_Input_Fuel[Fuel use (select)], D34, Table_Input_Fuel[Fuel type (select)],F34)</f>
        <v>0</v>
      </c>
      <c r="M34" s="208" t="str" cm="1">
        <f t="array" ref="M34">Common_InputFunctions.Utility_LookupValueInTable(F34,Table_FuelTypes_Units[Fuel type],Table_FuelTypes_Units[Unit])</f>
        <v>kL</v>
      </c>
      <c r="N34" s="209" cm="1">
        <f t="array" ref="N34">Fuel_Equations.VEERG_8_1_1_1__1_FuelCombustionTransport($L34,$G34,$H34)</f>
        <v>0</v>
      </c>
      <c r="O34" s="209" cm="1">
        <f t="array" ref="O34">Fuel_Equations.VEERG_8_1_1_1__1_FuelCombustionTransport($L34,$G34,$I34)</f>
        <v>0</v>
      </c>
      <c r="P34" s="209" cm="1">
        <f t="array" ref="P34">Fuel_Equations.VEERG_8_1_1_1__1_FuelCombustionTransport($L34,$G34,$J34)</f>
        <v>0</v>
      </c>
      <c r="Q34" s="209" cm="1">
        <f t="array" ref="Q34">Scope3_Equations.VEERG_15_11_1_1__2_UpstreamTransportFuelEmissions(L34,G34,K34)</f>
        <v>0</v>
      </c>
    </row>
    <row r="35" spans="1:17" ht="20.100000000000001" customHeight="1" x14ac:dyDescent="0.25">
      <c r="A35" s="5" t="str">
        <f>HYPERLINK("#'5.3.1.1-2 Lime CO2'!A1", "5.3.1.1-2 Lime CO2")</f>
        <v>5.3.1.1-2 Lime CO2</v>
      </c>
      <c r="D35" s="200" t="str">
        <f>$D$34</f>
        <v>Aviation</v>
      </c>
      <c r="E35" s="198" t="str">
        <f>'Constants - Fuel'!$E$29</f>
        <v>Kerosene for use as fuel in an aircraft</v>
      </c>
      <c r="F35" s="198"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77" cm="1">
        <f t="array" ref="L35">Fuel_InputFunctions.Fuel_TotalConsumption(Table_Input_Fuel[Amount consumed], Table_Input_Fuel[Fuel use (select)], D35, Table_Input_Fuel[Fuel type (select)],F35)</f>
        <v>0</v>
      </c>
      <c r="M35" s="177" t="str" cm="1">
        <f t="array" ref="M35">Common_InputFunctions.Utility_LookupValueInTable(F35,Table_FuelTypes_Units[Fuel type],Table_FuelTypes_Units[Unit])</f>
        <v>kL</v>
      </c>
      <c r="N35" s="199" cm="1">
        <f t="array" ref="N35">Fuel_Equations.VEERG_8_1_1_1__1_FuelCombustionTransport($L35,$G35,$H35)</f>
        <v>0</v>
      </c>
      <c r="O35" s="199" cm="1">
        <f t="array" ref="O35">Fuel_Equations.VEERG_8_1_1_1__1_FuelCombustionTransport($L35,$G35,$I35)</f>
        <v>0</v>
      </c>
      <c r="P35" s="199" cm="1">
        <f t="array" ref="P35">Fuel_Equations.VEERG_8_1_1_1__1_FuelCombustionTransport($L35,$G35,$J35)</f>
        <v>0</v>
      </c>
      <c r="Q35" s="199" cm="1">
        <f t="array" ref="Q35">Scope3_Equations.VEERG_15_11_1_1__2_UpstreamTransportFuelEmissions(L35,G35,K35)</f>
        <v>0</v>
      </c>
    </row>
    <row r="36" spans="1:17" ht="20.100000000000001" customHeight="1" x14ac:dyDescent="0.25">
      <c r="A36" s="5" t="str">
        <f>HYPERLINK("#'5.4.1.1-4 Atmos deposition'!A1", "5.4.1.1-4 Atmos. deposition")</f>
        <v>5.4.1.1-4 Atmos. deposition</v>
      </c>
      <c r="D36" s="200" t="str">
        <f>$D$34</f>
        <v>Aviation</v>
      </c>
      <c r="E36" s="198" t="str">
        <f>'Constants - Fuel'!$E$30</f>
        <v>Renewable aviation kerosene</v>
      </c>
      <c r="F36" s="198" t="str">
        <f>'Constants - Fuel'!$F$133</f>
        <v>Renewable aviation kerosene</v>
      </c>
      <c r="G36" s="196" cm="1">
        <f t="array" ref="G36">IFERROR(_xlfn.XLOOKUP(1, (Table_Fuel_EFs_Transport[Fuel combusted]=$E36)*(Table_Fuel_EFs_Transport[Transport type]=$D$34), Table_Fuel_EFs_Transport[Energy Content Factor (GJ per unit of fuel)]), 0)</f>
        <v>36.799999999999997</v>
      </c>
      <c r="H36" s="196" cm="1">
        <f t="array" ref="H36">IFERROR(_xlfn.XLOOKUP(1, (Table_Fuel_EFs_Transport[Fuel combusted]=$E36)*(Table_Fuel_EFs_Transport[Transport type]=$D$34), Table_Fuel_EFs_Transport[Scope 1 Emission Factor (kg CO2 - e / GJ) CO2]), 0)</f>
        <v>0</v>
      </c>
      <c r="I36" s="196" cm="1">
        <f t="array" ref="I36">IFERROR(_xlfn.XLOOKUP(1, (Table_Fuel_EFs_Transport[Fuel combusted]=$E36)*(Table_Fuel_EFs_Transport[Transport type]=$D$34), Table_Fuel_EFs_Transport[Scope 1 Emission Factor (kg CO2 - e / GJ) CH4]), 0)</f>
        <v>0.01</v>
      </c>
      <c r="J36" s="196" cm="1">
        <f t="array" ref="J36">IFERROR(_xlfn.XLOOKUP(1, (Table_Fuel_EFs_Transport[Fuel combusted]=$E36)*(Table_Fuel_EFs_Transport[Transport type]=$D$34), Table_Fuel_EFs_Transport[Scope 1 Emission Factor (kg CO2 - e / GJ) N2O]), 0)</f>
        <v>0.6</v>
      </c>
      <c r="K36" s="196" cm="1">
        <f t="array" ref="K36">IFERROR(_xlfn.XLOOKUP(1, (Table_Fuel_EFs_Transport[Fuel combusted]=$E36)*(Table_Fuel_EFs_Transport[Transport type]=$D$25), Table_Fuel_EFs_Transport[Scope 3 Emission Factor (kg CO2 - e / GJ)]), 0)</f>
        <v>0</v>
      </c>
      <c r="L36" s="201" cm="1">
        <f t="array" ref="L36">Fuel_InputFunctions.Fuel_TotalConsumption(Table_Input_Fuel[Amount consumed], Table_Input_Fuel[Fuel use (select)], D36, Table_Input_Fuel[Fuel type (select)],F36)</f>
        <v>0</v>
      </c>
      <c r="M36" s="177" t="str" cm="1">
        <f t="array" ref="M36">Common_InputFunctions.Utility_LookupValueInTable(F36,Table_FuelTypes_Units[Fuel type],Table_FuelTypes_Units[Unit])</f>
        <v>kL</v>
      </c>
      <c r="N36" s="199" cm="1">
        <f t="array" ref="N36">Fuel_Equations.VEERG_8_1_1_1__1_FuelCombustionTransport($L36,$G36,$H36)</f>
        <v>0</v>
      </c>
      <c r="O36" s="199" cm="1">
        <f t="array" ref="O36">Fuel_Equations.VEERG_8_1_1_1__1_FuelCombustionTransport($L36,$G36,$I36)</f>
        <v>0</v>
      </c>
      <c r="P36" s="199" cm="1">
        <f t="array" ref="P36">Fuel_Equations.VEERG_8_1_1_1__1_FuelCombustionTransport($L36,$G36,$J36)</f>
        <v>0</v>
      </c>
      <c r="Q36" s="202" cm="1">
        <f t="array" ref="Q36">Scope3_Equations.VEERG_15_11_1_1__2_UpstreamTransportFuelEmissions(L36,G36,K36)</f>
        <v>0</v>
      </c>
    </row>
    <row r="37" spans="1:17" ht="20.100000000000001" customHeight="1" x14ac:dyDescent="0.25">
      <c r="A37" s="5" t="str">
        <f>HYPERLINK("#'5.5.1.1-2 Leaching and runoff'!A1", "5.5.1.1-2 Leaching &amp; runoff")</f>
        <v>5.5.1.1-2 Leaching &amp; runoff</v>
      </c>
      <c r="D37" s="203" t="str">
        <f>Table_FuelTypesPerUse[[#Headers],[Vessels]]</f>
        <v>Vessels</v>
      </c>
      <c r="E37" s="204" t="str">
        <f>'Constants - Fuel'!$E$10</f>
        <v>Gasoline</v>
      </c>
      <c r="F37" s="204" t="str">
        <f>'Constants - Fuel'!$I$131</f>
        <v>Petrol</v>
      </c>
      <c r="G37" s="211" cm="1">
        <f t="array" ref="G37">IFERROR(_xlfn.XLOOKUP(1, (Table_Fuel_EFs_Transport[Fuel combusted]=$E37)*(Table_Fuel_EFs_Transport[Transport type]=$D$37), Table_Fuel_EFs_Transport[Energy Content Factor (GJ per unit of fuel)]), 0)</f>
        <v>34.200000000000003</v>
      </c>
      <c r="H37" s="211" cm="1">
        <f t="array" ref="H37">IFERROR(_xlfn.XLOOKUP(1, (Table_Fuel_EFs_Transport[Fuel combusted]=$E37)*(Table_Fuel_EFs_Transport[Transport type]=$D$37), Table_Fuel_EFs_Transport[Scope 1 Emission Factor (kg CO2 - e / GJ) CO2]), 0)</f>
        <v>67.400000000000006</v>
      </c>
      <c r="I37" s="211" cm="1">
        <f t="array" ref="I37">IFERROR(_xlfn.XLOOKUP(1, (Table_Fuel_EFs_Transport[Fuel combusted]=$E37)*(Table_Fuel_EFs_Transport[Transport type]=$D$37), Table_Fuel_EFs_Transport[Scope 1 Emission Factor (kg CO2 - e / GJ) CH4]), 0)</f>
        <v>10.1</v>
      </c>
      <c r="J37" s="211" cm="1">
        <f t="array" ref="J37">IFERROR(_xlfn.XLOOKUP(1, (Table_Fuel_EFs_Transport[Fuel combusted]=$E37)*(Table_Fuel_EFs_Transport[Transport type]=$D$37), Table_Fuel_EFs_Transport[Scope 1 Emission Factor (kg CO2 - e / GJ) N2O]), 0)</f>
        <v>0.3</v>
      </c>
      <c r="K37" s="211" cm="1">
        <f t="array" ref="K37">IFERROR(_xlfn.XLOOKUP(1, (Table_Fuel_EFs_Transport[Fuel combusted]=$E37)*(Table_Fuel_EFs_Transport[Transport type]=$D$25), Table_Fuel_EFs_Transport[Scope 3 Emission Factor (kg CO2 - e / GJ)]), 0)</f>
        <v>17.2</v>
      </c>
      <c r="L37" s="208" cm="1">
        <f t="array" ref="L37">Fuel_InputFunctions.Fuel_TotalConsumption(Table_Input_Fuel[Amount consumed], Table_Input_Fuel[Fuel use (select)], D37, Table_Input_Fuel[Fuel type (select)],F37)</f>
        <v>0</v>
      </c>
      <c r="M37" s="212" t="str" cm="1">
        <f t="array" ref="M37">Common_InputFunctions.Utility_LookupValueInTable(F37,Table_FuelTypes_Units[Fuel type],Table_FuelTypes_Units[Unit])</f>
        <v>kL</v>
      </c>
      <c r="N37" s="209" cm="1">
        <f t="array" ref="N37">Fuel_Equations.VEERG_8_1_1_1__1_FuelCombustionTransport($L37,$G37,$H37)</f>
        <v>0</v>
      </c>
      <c r="O37" s="209" cm="1">
        <f t="array" ref="O37">Fuel_Equations.VEERG_8_1_1_1__1_FuelCombustionTransport($L37,$G37,$I37)</f>
        <v>0</v>
      </c>
      <c r="P37" s="209" cm="1">
        <f t="array" ref="P37">Fuel_Equations.VEERG_8_1_1_1__1_FuelCombustionTransport($L37,$G37,$J37)</f>
        <v>0</v>
      </c>
      <c r="Q37" s="209" cm="1">
        <f t="array" ref="Q37">Scope3_Equations.VEERG_15_11_1_1__2_UpstreamTransportFuelEmissions(L37,G37,K37)</f>
        <v>0</v>
      </c>
    </row>
    <row r="38" spans="1:17" ht="20.100000000000001" customHeight="1" x14ac:dyDescent="0.25">
      <c r="A38" s="5" t="str">
        <f>HYPERLINK("#'6.2.1.1-2 Pasture residue N2O'!A1", "6.2.1.1-2 Pasture residue N2O")</f>
        <v>6.2.1.1-2 Pasture residue N2O</v>
      </c>
      <c r="D38" s="200" t="str">
        <f>$D$37</f>
        <v>Vessels</v>
      </c>
      <c r="E38" s="198" t="str">
        <f>'Constants - Fuel'!$E$11</f>
        <v>Diesel oil</v>
      </c>
      <c r="F38" s="198"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77" cm="1">
        <f t="array" ref="L38">Fuel_InputFunctions.Fuel_TotalConsumption(Table_Input_Fuel[Amount consumed], Table_Input_Fuel[Fuel use (select)], D38, Table_Input_Fuel[Fuel type (select)],F38)</f>
        <v>0</v>
      </c>
      <c r="M38" s="177" t="str" cm="1">
        <f t="array" ref="M38">Common_InputFunctions.Utility_LookupValueInTable(F38,Table_FuelTypes_Units[Fuel type],Table_FuelTypes_Units[Unit])</f>
        <v>kL</v>
      </c>
      <c r="N38" s="199" cm="1">
        <f t="array" ref="N38">Fuel_Equations.VEERG_8_1_1_1__1_FuelCombustionTransport($L38,$G38,$H38)</f>
        <v>0</v>
      </c>
      <c r="O38" s="199" cm="1">
        <f t="array" ref="O38">Fuel_Equations.VEERG_8_1_1_1__1_FuelCombustionTransport($L38,$G38,$I38)</f>
        <v>0</v>
      </c>
      <c r="P38" s="199" cm="1">
        <f t="array" ref="P38">Fuel_Equations.VEERG_8_1_1_1__1_FuelCombustionTransport($L38,$G38,$J38)</f>
        <v>0</v>
      </c>
      <c r="Q38" s="199" cm="1">
        <f t="array" ref="Q38">Scope3_Equations.VEERG_15_11_1_1__2_UpstreamTransportFuelEmissions(L38,G38,K38)</f>
        <v>0</v>
      </c>
    </row>
    <row r="39" spans="1:17" ht="20.100000000000001" customHeight="1" x14ac:dyDescent="0.25">
      <c r="A39" s="5" t="str">
        <f>HYPERLINK("#'6.3.1.1-2 Leach runoff pasture'!A1", "6.3.1.1-2 Leach &amp; runoff (pasture)")</f>
        <v>6.3.1.1-2 Leach &amp; runoff (pasture)</v>
      </c>
      <c r="D39" s="200" t="str">
        <f>$D$37</f>
        <v>Vessels</v>
      </c>
      <c r="E39" s="198" t="str">
        <f>'Constants - Fuel'!E33</f>
        <v>Fuel Oil</v>
      </c>
      <c r="F39" s="198"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77" cm="1">
        <f t="array" ref="L39">Fuel_InputFunctions.Fuel_TotalConsumption(Table_Input_Fuel[Amount consumed], Table_Input_Fuel[Fuel use (select)], D39, Table_Input_Fuel[Fuel type (select)],F39)</f>
        <v>10</v>
      </c>
      <c r="M39" s="177" t="str" cm="1">
        <f t="array" ref="M39">Common_InputFunctions.Utility_LookupValueInTable(F39,Table_FuelTypes_Units[Fuel type],Table_FuelTypes_Units[Unit])</f>
        <v>kL</v>
      </c>
      <c r="N39" s="199" cm="1">
        <f t="array" ref="N39">Fuel_Equations.VEERG_8_1_1_1__1_FuelCombustionTransport($L39,$G39,$H39)</f>
        <v>29.219199999999997</v>
      </c>
      <c r="O39" s="199" cm="1">
        <f t="array" ref="O39">Fuel_Equations.VEERG_8_1_1_1__1_FuelCombustionTransport($L39,$G39,$I39)</f>
        <v>7.9400000000000012E-2</v>
      </c>
      <c r="P39" s="199" cm="1">
        <f t="array" ref="P39">Fuel_Equations.VEERG_8_1_1_1__1_FuelCombustionTransport($L39,$G39,$J39)</f>
        <v>0.19850000000000001</v>
      </c>
      <c r="Q39" s="199" cm="1">
        <f t="array" ref="Q39">Scope3_Equations.VEERG_15_11_1_1__2_UpstreamTransportFuelEmissions(L39,G39,K39)</f>
        <v>7.1459999999999999</v>
      </c>
    </row>
    <row r="40" spans="1:17" ht="20.100000000000001" customHeight="1" x14ac:dyDescent="0.25">
      <c r="A40" s="101" t="str">
        <f>HYPERLINK("#'8.1.1.1-2 Transport fuel'!A1", "8.1.1.1-2 Transport fuel")</f>
        <v>8.1.1.1-2 Transport fuel</v>
      </c>
      <c r="H40" s="173"/>
      <c r="I40" s="173"/>
      <c r="J40" s="173"/>
      <c r="L40" s="173"/>
      <c r="M40" s="173"/>
      <c r="N40" s="173"/>
      <c r="O40" s="173"/>
      <c r="P40" s="173"/>
      <c r="Q40" s="173"/>
    </row>
    <row r="41" spans="1:17" ht="20.100000000000001" customHeight="1" x14ac:dyDescent="0.25">
      <c r="A41" s="5" t="str">
        <f>HYPERLINK("#'8.2.1.1-2 Stationary fuel'!A1", "8.2.1.1-2 Stationary fuel")</f>
        <v>8.2.1.1-2 Stationary fuel</v>
      </c>
      <c r="H41" s="173"/>
      <c r="I41" s="173"/>
      <c r="J41" s="173"/>
      <c r="L41" s="173"/>
      <c r="M41" s="173"/>
      <c r="N41" s="173"/>
      <c r="O41" s="173"/>
      <c r="P41" s="173"/>
      <c r="Q41" s="173"/>
    </row>
    <row r="42" spans="1:17" ht="20.100000000000001" customHeight="1" x14ac:dyDescent="0.25">
      <c r="A42" s="5" t="str">
        <f>HYPERLINK("#'14.1.1-2 Purchased electricity'!A1", "14.1.1-2 Purchased electricity")</f>
        <v>14.1.1-2 Purchased electricity</v>
      </c>
      <c r="D42" s="213" t="str">
        <f>"Total scope 1 - " &amp; D25</f>
        <v>Total scope 1 - Cars and light commercial vehicles</v>
      </c>
      <c r="E42" s="214"/>
      <c r="F42" s="215"/>
    </row>
    <row r="43" spans="1:17" ht="20.100000000000001" customHeight="1" x14ac:dyDescent="0.25">
      <c r="A43" s="5" t="str">
        <f>HYPERLINK("#'15 Scope 3'!A1", "15 Scope 3")</f>
        <v>15 Scope 3</v>
      </c>
      <c r="D43" s="35" t="s">
        <v>738</v>
      </c>
      <c r="E43" s="216">
        <f>SUM(N25:N32)</f>
        <v>26.981400000000001</v>
      </c>
      <c r="F43" s="26" t="str">
        <f>$E$12</f>
        <v>t CO2-e</v>
      </c>
    </row>
    <row r="44" spans="1:17" ht="20.100000000000001" customHeight="1" x14ac:dyDescent="0.25">
      <c r="A44" s="5" t="str">
        <f>HYPERLINK("#'Calcs - Manure sent off-site'!A1", "Calcs - Manure sent off-site")</f>
        <v>Calcs - Manure sent off-site</v>
      </c>
      <c r="D44" s="35" t="s">
        <v>739</v>
      </c>
      <c r="E44" s="216">
        <f>SUM(O25:O32)</f>
        <v>3.8600000000000001E-3</v>
      </c>
      <c r="F44" s="26" t="str">
        <f t="shared" ref="F44:F46" si="1">$E$12</f>
        <v>t CO2-e</v>
      </c>
    </row>
    <row r="45" spans="1:17" ht="20.100000000000001" customHeight="1" x14ac:dyDescent="0.25">
      <c r="A45" s="5" t="str">
        <f>HYPERLINK("#'10.1.1-2 Solid waste treatment'!A1", "10.1.1-2 Solid waste treatment")</f>
        <v>10.1.1-2 Solid waste treatment</v>
      </c>
      <c r="D45" s="35" t="s">
        <v>740</v>
      </c>
      <c r="E45" s="216">
        <f>SUM(P25:P32)</f>
        <v>0.193</v>
      </c>
      <c r="F45" s="26" t="str">
        <f t="shared" si="1"/>
        <v>t CO2-e</v>
      </c>
    </row>
    <row r="46" spans="1:17" ht="20.100000000000001" customHeight="1" x14ac:dyDescent="0.25">
      <c r="D46" s="35" t="s">
        <v>741</v>
      </c>
      <c r="E46" s="216">
        <f>SUM(Q25:Q32)</f>
        <v>6.6778000000000004</v>
      </c>
      <c r="F46" s="26" t="str">
        <f t="shared" si="1"/>
        <v>t CO2-e</v>
      </c>
    </row>
    <row r="47" spans="1:17" ht="20.100000000000001" customHeight="1" x14ac:dyDescent="0.25">
      <c r="D47" s="173"/>
      <c r="E47" s="173"/>
      <c r="F47" s="173"/>
    </row>
    <row r="48" spans="1:17" ht="20.100000000000001" customHeight="1" x14ac:dyDescent="0.25">
      <c r="A48" s="97" t="s">
        <v>1</v>
      </c>
      <c r="D48" s="213" t="str">
        <f>"Total scope 1 - " &amp; D33</f>
        <v>Total scope 1 - Off-road Agriculture and forestry equipment</v>
      </c>
      <c r="E48" s="217"/>
      <c r="F48" s="215"/>
      <c r="H48" s="173"/>
      <c r="I48" s="173"/>
      <c r="J48" s="173"/>
      <c r="L48" s="173"/>
      <c r="M48" s="173"/>
      <c r="N48" s="173"/>
      <c r="O48" s="173"/>
      <c r="P48" s="173"/>
      <c r="Q48" s="173"/>
    </row>
    <row r="49" spans="1:17" ht="20.100000000000001" customHeight="1" x14ac:dyDescent="0.25">
      <c r="A49" s="5" t="str">
        <f>HYPERLINK("#'Constants - Pasture Beef'!A1", "Constants - Pasture Beef")</f>
        <v>Constants - Pasture Beef</v>
      </c>
      <c r="D49" s="35" t="s">
        <v>738</v>
      </c>
      <c r="E49" s="216">
        <f>SUM(N33:N33)</f>
        <v>26.981400000000001</v>
      </c>
      <c r="F49" s="26" t="str">
        <f t="shared" ref="F49:F52" si="2">$E$12</f>
        <v>t CO2-e</v>
      </c>
      <c r="H49" s="173"/>
      <c r="I49" s="173"/>
      <c r="J49" s="173"/>
      <c r="L49" s="173"/>
      <c r="M49" s="173"/>
      <c r="N49" s="173"/>
      <c r="O49" s="173"/>
      <c r="P49" s="173"/>
      <c r="Q49" s="173"/>
    </row>
    <row r="50" spans="1:17" ht="20.100000000000001" customHeight="1" x14ac:dyDescent="0.25">
      <c r="A50" s="5" t="str">
        <f>HYPERLINK("#'Constants - Ag Residue'!A1", "Constants - Ag residue")</f>
        <v>Constants - Ag residue</v>
      </c>
      <c r="D50" s="35" t="s">
        <v>739</v>
      </c>
      <c r="E50" s="216">
        <f>SUM(O33:O33)</f>
        <v>0.1158</v>
      </c>
      <c r="F50" s="26" t="str">
        <f t="shared" si="2"/>
        <v>t CO2-e</v>
      </c>
      <c r="H50" s="173"/>
      <c r="I50" s="173"/>
      <c r="J50" s="173"/>
      <c r="L50" s="173"/>
      <c r="M50" s="173"/>
      <c r="N50" s="173"/>
      <c r="O50" s="173"/>
      <c r="P50" s="173"/>
      <c r="Q50" s="173"/>
    </row>
    <row r="51" spans="1:17" ht="20.100000000000001" customHeight="1" x14ac:dyDescent="0.25">
      <c r="A51" s="5" t="str">
        <f>HYPERLINK("#'Constants - Common Livestock'!A1", "Constants - Common Livestock")</f>
        <v>Constants - Common Livestock</v>
      </c>
      <c r="D51" s="35" t="s">
        <v>740</v>
      </c>
      <c r="E51" s="216">
        <f>SUM(P33:P33)</f>
        <v>0.193</v>
      </c>
      <c r="F51" s="26" t="str">
        <f t="shared" si="2"/>
        <v>t CO2-e</v>
      </c>
      <c r="H51" s="173"/>
      <c r="I51" s="173"/>
      <c r="J51" s="173"/>
      <c r="L51" s="173"/>
      <c r="M51" s="173"/>
      <c r="N51" s="173"/>
      <c r="O51" s="173"/>
      <c r="P51" s="173"/>
      <c r="Q51" s="173"/>
    </row>
    <row r="52" spans="1:17" ht="20.100000000000001" customHeight="1" x14ac:dyDescent="0.25">
      <c r="A52" s="5" t="str">
        <f>HYPERLINK("#'Constants - Electricity'!A1", "Constants - Electricity")</f>
        <v>Constants - Electricity</v>
      </c>
      <c r="D52" s="35" t="s">
        <v>741</v>
      </c>
      <c r="E52" s="216">
        <f>SUM(Q33)</f>
        <v>6.6778000000000004</v>
      </c>
      <c r="F52" s="26" t="str">
        <f t="shared" si="2"/>
        <v>t CO2-e</v>
      </c>
      <c r="H52" s="173"/>
      <c r="I52" s="173"/>
      <c r="J52" s="173"/>
      <c r="L52" s="173"/>
      <c r="M52" s="173"/>
      <c r="N52" s="173"/>
      <c r="O52" s="173"/>
      <c r="P52" s="173"/>
      <c r="Q52" s="173"/>
    </row>
    <row r="53" spans="1:17" ht="20.100000000000001" customHeight="1" x14ac:dyDescent="0.25">
      <c r="A53" s="5" t="str">
        <f>HYPERLINK("#'Constants - Fertiliser'!A1", "Constants - Fertiliser")</f>
        <v>Constants - Fertiliser</v>
      </c>
      <c r="D53" s="173"/>
      <c r="E53" s="218"/>
      <c r="F53" s="173"/>
      <c r="G53" s="173"/>
      <c r="H53" s="173"/>
      <c r="I53" s="173"/>
      <c r="J53" s="173"/>
      <c r="L53" s="173"/>
      <c r="M53" s="173"/>
      <c r="N53" s="173"/>
      <c r="O53" s="173"/>
      <c r="P53" s="173"/>
      <c r="Q53" s="173"/>
    </row>
    <row r="54" spans="1:17" ht="20.100000000000001" customHeight="1" x14ac:dyDescent="0.25">
      <c r="A54" s="5" t="str">
        <f>HYPERLINK("#'Constants - Fuel'!A1", "Constants - Fuel")</f>
        <v>Constants - Fuel</v>
      </c>
      <c r="D54" s="213" t="str">
        <f>"Total scope 1 - " &amp; D34</f>
        <v>Total scope 1 - Aviation</v>
      </c>
      <c r="E54" s="217"/>
      <c r="F54" s="215"/>
      <c r="G54" s="173"/>
      <c r="H54" s="173"/>
      <c r="I54" s="173"/>
      <c r="J54" s="173"/>
      <c r="L54" s="173"/>
      <c r="M54" s="173"/>
      <c r="N54" s="173"/>
      <c r="O54" s="173"/>
      <c r="P54" s="173"/>
      <c r="Q54" s="173"/>
    </row>
    <row r="55" spans="1:17" ht="20.100000000000001" customHeight="1" x14ac:dyDescent="0.25">
      <c r="A55" s="5" t="str">
        <f>HYPERLINK("#'Constants - Scope 3'!A1", "Constants - Scope 3")</f>
        <v>Constants - Scope 3</v>
      </c>
      <c r="D55" s="35" t="s">
        <v>738</v>
      </c>
      <c r="E55" s="216">
        <f>SUM(N34:N36)</f>
        <v>0</v>
      </c>
      <c r="F55" s="26" t="str">
        <f t="shared" ref="F55:F58" si="3">$E$12</f>
        <v>t CO2-e</v>
      </c>
      <c r="G55" s="173"/>
      <c r="H55" s="173"/>
      <c r="I55" s="173"/>
      <c r="J55" s="173"/>
      <c r="L55" s="173"/>
      <c r="M55" s="173"/>
      <c r="N55" s="173"/>
      <c r="O55" s="173"/>
      <c r="P55" s="173"/>
      <c r="Q55" s="173"/>
    </row>
    <row r="56" spans="1:17" ht="20.100000000000001" customHeight="1" x14ac:dyDescent="0.25">
      <c r="A56" s="5" t="str">
        <f>HYPERLINK("#'Constants - Common'!A1", "Constants - Common")</f>
        <v>Constants - Common</v>
      </c>
      <c r="D56" s="35" t="s">
        <v>739</v>
      </c>
      <c r="E56" s="216">
        <f>SUM(O34:O36)</f>
        <v>0</v>
      </c>
      <c r="F56" s="26" t="str">
        <f t="shared" si="3"/>
        <v>t CO2-e</v>
      </c>
      <c r="G56" s="173"/>
      <c r="H56" s="173"/>
      <c r="I56" s="173"/>
      <c r="J56" s="173"/>
      <c r="L56" s="173"/>
      <c r="M56" s="173"/>
      <c r="N56" s="173"/>
      <c r="O56" s="173"/>
      <c r="P56" s="173"/>
      <c r="Q56" s="173"/>
    </row>
    <row r="57" spans="1:17" ht="20.100000000000001" customHeight="1" x14ac:dyDescent="0.25">
      <c r="A57" s="5" t="str">
        <f>HYPERLINK("#'Acknowledgements'!A1", "Acknowledgements")</f>
        <v>Acknowledgements</v>
      </c>
      <c r="D57" s="35" t="s">
        <v>740</v>
      </c>
      <c r="E57" s="216">
        <f>SUM(P34:P36)</f>
        <v>0</v>
      </c>
      <c r="F57" s="26" t="str">
        <f t="shared" si="3"/>
        <v>t CO2-e</v>
      </c>
      <c r="G57" s="173"/>
      <c r="H57" s="173"/>
      <c r="I57" s="173"/>
      <c r="J57" s="173"/>
      <c r="L57" s="173"/>
      <c r="M57" s="173"/>
      <c r="N57" s="173"/>
      <c r="O57" s="173"/>
      <c r="P57" s="173"/>
      <c r="Q57" s="173"/>
    </row>
    <row r="58" spans="1:17" ht="20.100000000000001" customHeight="1" x14ac:dyDescent="0.25">
      <c r="A58" s="5" t="str">
        <f>HYPERLINK("#'Constants - Solid Waste'!A1", "Constants - Solid Waste")</f>
        <v>Constants - Solid Waste</v>
      </c>
      <c r="D58" s="35" t="s">
        <v>741</v>
      </c>
      <c r="E58" s="216">
        <f>SUM(Q34:Q36)</f>
        <v>0</v>
      </c>
      <c r="F58" s="26" t="str">
        <f t="shared" si="3"/>
        <v>t CO2-e</v>
      </c>
      <c r="G58" s="173"/>
      <c r="H58" s="173"/>
      <c r="I58" s="173"/>
      <c r="J58" s="173"/>
      <c r="L58" s="173"/>
      <c r="M58" s="173"/>
      <c r="N58" s="173"/>
      <c r="O58" s="173"/>
      <c r="P58" s="173"/>
      <c r="Q58" s="173"/>
    </row>
    <row r="59" spans="1:17" ht="20.100000000000001" customHeight="1" x14ac:dyDescent="0.25">
      <c r="D59" s="173"/>
      <c r="E59" s="218"/>
      <c r="F59" s="173"/>
      <c r="G59" s="173"/>
      <c r="H59" s="173"/>
      <c r="I59" s="173"/>
      <c r="J59" s="173"/>
      <c r="L59" s="173"/>
      <c r="M59" s="173"/>
      <c r="N59" s="173"/>
      <c r="O59" s="173"/>
      <c r="P59" s="173"/>
      <c r="Q59" s="173"/>
    </row>
    <row r="60" spans="1:17" ht="20.100000000000001" customHeight="1" x14ac:dyDescent="0.25">
      <c r="D60" s="213" t="str">
        <f>"Total scope 1 - " &amp; D37</f>
        <v>Total scope 1 - Vessels</v>
      </c>
      <c r="E60" s="217"/>
      <c r="F60" s="215"/>
      <c r="G60" s="173"/>
      <c r="H60" s="173"/>
      <c r="I60" s="173"/>
      <c r="J60" s="173"/>
      <c r="L60" s="173"/>
      <c r="M60" s="173"/>
      <c r="N60" s="173"/>
      <c r="O60" s="173"/>
      <c r="P60" s="173"/>
      <c r="Q60" s="173"/>
    </row>
    <row r="61" spans="1:17" ht="20.100000000000001" customHeight="1" x14ac:dyDescent="0.25">
      <c r="D61" s="35" t="s">
        <v>738</v>
      </c>
      <c r="E61" s="216">
        <f>SUM(N37:N39)</f>
        <v>29.219199999999997</v>
      </c>
      <c r="F61" s="26" t="str">
        <f t="shared" ref="F61:F64" si="4">$E$12</f>
        <v>t CO2-e</v>
      </c>
      <c r="G61" s="173"/>
      <c r="H61" s="173"/>
      <c r="I61" s="173"/>
      <c r="J61" s="173"/>
      <c r="L61" s="173"/>
      <c r="M61" s="173"/>
      <c r="N61" s="173"/>
      <c r="O61" s="173"/>
      <c r="P61" s="173"/>
      <c r="Q61" s="173"/>
    </row>
    <row r="62" spans="1:17" ht="20.100000000000001" customHeight="1" x14ac:dyDescent="0.25">
      <c r="D62" s="35" t="s">
        <v>739</v>
      </c>
      <c r="E62" s="216">
        <f>SUM(O37:O39)</f>
        <v>7.9400000000000012E-2</v>
      </c>
      <c r="F62" s="26" t="str">
        <f t="shared" si="4"/>
        <v>t CO2-e</v>
      </c>
      <c r="G62" s="173"/>
      <c r="H62" s="173"/>
      <c r="I62" s="173"/>
      <c r="J62" s="173"/>
      <c r="L62" s="173"/>
      <c r="M62" s="173"/>
      <c r="N62" s="173"/>
      <c r="O62" s="173"/>
      <c r="P62" s="173"/>
      <c r="Q62" s="173"/>
    </row>
    <row r="63" spans="1:17" ht="20.100000000000001" customHeight="1" x14ac:dyDescent="0.25">
      <c r="D63" s="35" t="s">
        <v>740</v>
      </c>
      <c r="E63" s="216">
        <f>SUM(P37:P39)</f>
        <v>0.19850000000000001</v>
      </c>
      <c r="F63" s="26" t="str">
        <f t="shared" si="4"/>
        <v>t CO2-e</v>
      </c>
      <c r="G63" s="173"/>
      <c r="H63" s="173"/>
      <c r="I63" s="173"/>
      <c r="J63" s="173"/>
      <c r="L63" s="173"/>
      <c r="M63" s="173"/>
      <c r="N63" s="173"/>
      <c r="O63" s="173"/>
      <c r="P63" s="173"/>
      <c r="Q63" s="173"/>
    </row>
    <row r="64" spans="1:17" ht="20.100000000000001" customHeight="1" x14ac:dyDescent="0.25">
      <c r="D64" s="35" t="s">
        <v>741</v>
      </c>
      <c r="E64" s="216">
        <f>SUM(Q37:Q39)</f>
        <v>7.1459999999999999</v>
      </c>
      <c r="F64" s="26" t="str">
        <f t="shared" si="4"/>
        <v>t CO2-e</v>
      </c>
      <c r="G64" s="173"/>
      <c r="H64" s="173"/>
      <c r="I64" s="173"/>
      <c r="J64" s="173"/>
      <c r="L64" s="173"/>
      <c r="M64" s="173"/>
      <c r="N64" s="173"/>
      <c r="O64" s="173"/>
      <c r="P64" s="173"/>
      <c r="Q64" s="173"/>
    </row>
    <row r="65" spans="4:17" ht="20.100000000000001" customHeight="1" x14ac:dyDescent="0.25">
      <c r="G65" s="173"/>
      <c r="H65" s="173"/>
      <c r="I65" s="173"/>
      <c r="J65" s="173"/>
      <c r="L65" s="173"/>
      <c r="M65" s="173"/>
      <c r="N65" s="173"/>
      <c r="O65" s="173"/>
      <c r="P65" s="173"/>
      <c r="Q65" s="173"/>
    </row>
    <row r="66" spans="4:17" ht="20.100000000000001" customHeight="1" x14ac:dyDescent="0.25">
      <c r="D66" s="213" t="s">
        <v>742</v>
      </c>
      <c r="E66" s="219"/>
      <c r="F66" s="215"/>
      <c r="G66" s="173"/>
      <c r="H66" s="173"/>
      <c r="I66" s="173"/>
      <c r="J66" s="173"/>
      <c r="L66" s="173"/>
      <c r="M66" s="173"/>
      <c r="N66" s="173"/>
      <c r="O66" s="173"/>
      <c r="P66" s="173"/>
      <c r="Q66" s="173"/>
    </row>
    <row r="67" spans="4:17" ht="20.100000000000001" customHeight="1" x14ac:dyDescent="0.25">
      <c r="D67" s="35" t="s">
        <v>738</v>
      </c>
      <c r="E67" s="216">
        <f>E43+E49+E55+E61</f>
        <v>83.182000000000002</v>
      </c>
      <c r="F67" s="26" t="str">
        <f t="shared" ref="F67:F70" si="5">$E$12</f>
        <v>t CO2-e</v>
      </c>
      <c r="G67" s="173"/>
    </row>
    <row r="68" spans="4:17" ht="20.100000000000001" customHeight="1" x14ac:dyDescent="0.25">
      <c r="D68" s="35" t="s">
        <v>739</v>
      </c>
      <c r="E68" s="216">
        <f t="shared" ref="E68:E70" si="6">E44+E50+E56+E62</f>
        <v>0.19906000000000001</v>
      </c>
      <c r="F68" s="26" t="str">
        <f t="shared" si="5"/>
        <v>t CO2-e</v>
      </c>
      <c r="G68" s="173"/>
    </row>
    <row r="69" spans="4:17" ht="20.100000000000001" customHeight="1" x14ac:dyDescent="0.25">
      <c r="D69" s="35" t="s">
        <v>740</v>
      </c>
      <c r="E69" s="216">
        <f t="shared" si="6"/>
        <v>0.58450000000000002</v>
      </c>
      <c r="F69" s="26" t="str">
        <f t="shared" si="5"/>
        <v>t CO2-e</v>
      </c>
      <c r="G69" s="173"/>
    </row>
    <row r="70" spans="4:17" ht="20.100000000000001" customHeight="1" x14ac:dyDescent="0.25">
      <c r="D70" s="35" t="s">
        <v>741</v>
      </c>
      <c r="E70" s="216">
        <f t="shared" si="6"/>
        <v>20.5016</v>
      </c>
      <c r="F70" s="26" t="str">
        <f t="shared" si="5"/>
        <v>t CO2-e</v>
      </c>
      <c r="G70" s="173"/>
    </row>
    <row r="71" spans="4:17" ht="20.100000000000001" customHeight="1" x14ac:dyDescent="0.25">
      <c r="G71" s="173"/>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65DD903F-06EF-4095-896A-2D378ACAA485}"/>
  </dataValidation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6094D-B028-4548-B953-DF3D9E45226D}">
  <dimension ref="A1:R165"/>
  <sheetViews>
    <sheetView showGridLines="0" topLeftCell="A33"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743</v>
      </c>
    </row>
    <row r="2" spans="1:18" s="3" customFormat="1" ht="20.100000000000001" customHeight="1" x14ac:dyDescent="0.25">
      <c r="A2"/>
    </row>
    <row r="3" spans="1:18" ht="20.100000000000001" customHeight="1" x14ac:dyDescent="0.25">
      <c r="A3" s="5" t="str">
        <f>HYPERLINK("#'Home'!A1", "Home")</f>
        <v>Home</v>
      </c>
      <c r="C3" s="33"/>
      <c r="D3" s="33" t="s">
        <v>148</v>
      </c>
      <c r="E3" s="33"/>
      <c r="F3" s="33"/>
      <c r="G3" s="33"/>
      <c r="H3" s="33"/>
      <c r="I3" s="33"/>
      <c r="J3" s="33"/>
      <c r="K3" s="33"/>
      <c r="L3" s="33"/>
      <c r="M3" s="33"/>
      <c r="N3" s="33"/>
      <c r="O3" s="33"/>
      <c r="P3" s="33"/>
      <c r="Q3" s="33"/>
      <c r="R3" s="33"/>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3"/>
      <c r="P5" s="173"/>
      <c r="Q5" s="173"/>
      <c r="R5" s="173"/>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3"/>
      <c r="P6" s="173"/>
      <c r="Q6" s="173"/>
      <c r="R6" s="173"/>
    </row>
    <row r="7" spans="1:18" ht="20.100000000000001" customHeight="1" x14ac:dyDescent="0.25">
      <c r="D7" s="100" t="s">
        <v>259</v>
      </c>
      <c r="E7" s="100"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3"/>
      <c r="P7" s="173"/>
      <c r="Q7" s="173"/>
      <c r="R7" s="173"/>
    </row>
    <row r="8" spans="1:18" ht="20.100000000000001" customHeight="1" x14ac:dyDescent="0.25">
      <c r="A8" s="7" t="s">
        <v>0</v>
      </c>
      <c r="K8" s="100" t="s">
        <v>259</v>
      </c>
      <c r="L8" s="100" t="str" cm="1">
        <f t="array" aca="1" ref="L8" ca="1">Common_InputFunctions.Utility_DisplayFunctionName(Q25)</f>
        <v>=Fuel_Equations.VEERG_8_2_1_1__1_FuelCombustionStationary</v>
      </c>
      <c r="O8" s="173"/>
      <c r="P8" s="173"/>
      <c r="Q8" s="173"/>
      <c r="R8" s="173"/>
    </row>
    <row r="9" spans="1:18" ht="20.100000000000001" customHeight="1" x14ac:dyDescent="0.25">
      <c r="A9" s="5" t="str">
        <f>HYPERLINK("#'Input - Enterprise'!A1", "Enterprise")</f>
        <v>Enterprise</v>
      </c>
      <c r="G9" s="27"/>
      <c r="O9" s="173"/>
      <c r="P9" s="173"/>
      <c r="Q9" s="173"/>
      <c r="R9" s="173"/>
    </row>
    <row r="10" spans="1:18" ht="20.100000000000001" customHeight="1" x14ac:dyDescent="0.25">
      <c r="A10" s="5" t="str">
        <f>HYPERLINK("#'Input - Site'!A1", "Site")</f>
        <v>Site</v>
      </c>
      <c r="O10" s="173"/>
      <c r="P10" s="173"/>
      <c r="Q10" s="173"/>
      <c r="R10" s="173"/>
    </row>
    <row r="11" spans="1:18" ht="20.100000000000001" customHeight="1" x14ac:dyDescent="0.25">
      <c r="A11" s="5" t="str">
        <f>HYPERLINK("#'Input - Pasture Beef'!A1", "Pasture Beef")</f>
        <v>Pasture Beef</v>
      </c>
      <c r="D11" s="88" t="s">
        <v>261</v>
      </c>
      <c r="E11" s="1" t="str" cm="1">
        <f t="array" ref="E11">Fuel_Equations.VEERG_8_2_1_1__1_FuelCombustionStationary_Variable()</f>
        <v>E_g</v>
      </c>
      <c r="K11" s="88" t="s">
        <v>261</v>
      </c>
      <c r="L11" s="1" t="str" cm="1">
        <f t="array" ref="L11">Scope3_Equations.VEERG_15_11_1_1__3_UpstreamStationaryFuelEmissions_Variable()</f>
        <v>E_WTTSCq</v>
      </c>
      <c r="O11" s="173"/>
      <c r="P11" s="173"/>
      <c r="Q11" s="173"/>
      <c r="R11" s="173"/>
    </row>
    <row r="12" spans="1:18" ht="20.100000000000001" customHeight="1" x14ac:dyDescent="0.25">
      <c r="A12" s="5" t="str">
        <f>HYPERLINK("#'Input - Pasture Beef (Enteric)'!A1", "Pasture Beef (Enteric)")</f>
        <v>Pasture Beef (Enteric)</v>
      </c>
      <c r="D12" s="88" t="s">
        <v>131</v>
      </c>
      <c r="E12" s="15" t="str" cm="1">
        <f t="array" ref="E12">Fuel_Equations.VEERG_8_2_1_1__1_FuelCombustionStationary_Unit()</f>
        <v>t CO2-e</v>
      </c>
      <c r="K12" s="88" t="s">
        <v>131</v>
      </c>
      <c r="L12" s="15" t="str" cm="1">
        <f t="array" ref="L12">Scope3_Equations.VEERG_15_11_1_1__3_UpstreamStationaryFuelEmissions_Unit()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Beef cattle purchases'!A1", "Beef cattle purchases")</f>
        <v>Beef cattle purchases</v>
      </c>
      <c r="D14" s="102" t="str" cm="1">
        <f t="array" ref="D14:E20">_xlfn.CHOOSECOLS(Fuel_Equations.VEERG_8_2_1_1__1_FuelCombustionStationary_Arguments(), 1,2)</f>
        <v>Q_SCq</v>
      </c>
      <c r="E14" s="103" t="str">
        <v>Amount of fuel type q used for stationary combustion operations</v>
      </c>
      <c r="F14" s="105"/>
      <c r="G14" s="102" t="str" cm="1">
        <f t="array" ref="G14:H20">_xlfn.CHOOSECOLS(Fuel_Equations.VEERG_8_2_1_1__1_FuelCombustionStationary_Arguments(), 3,4)</f>
        <v>Varies based on fuel type: kL, m3, GJ</v>
      </c>
      <c r="H14" s="106" t="str">
        <v>Input</v>
      </c>
      <c r="I14" s="108" t="str" cm="1">
        <f t="array" aca="1" ref="I14" ca="1">HYPERLINK(Common_InputFunctions.Utility_SourceHyperlink($D$22), $D$22)</f>
        <v>Table_E_g</v>
      </c>
      <c r="K14" s="102" t="str" cm="1">
        <f t="array" ref="K14:L18">_xlfn.CHOOSECOLS(Scope3_Equations.VEERG_15_11_1_1__3_UpstreamStationaryFuelEmissions_Arguments(),1,2)</f>
        <v>Q_SCq</v>
      </c>
      <c r="L14" s="102" t="str">
        <v>amount of fuel q used for stationary combustion operations</v>
      </c>
      <c r="M14" s="102"/>
      <c r="N14" s="102" t="str" cm="1">
        <f t="array" ref="N14:O18">_xlfn.CHOOSECOLS(Scope3_Equations.VEERG_15_11_1_1__3_UpstreamStationaryFuelEmissions_Arguments(),3,4)</f>
        <v>kL</v>
      </c>
      <c r="O14" s="106" t="str">
        <v>Input</v>
      </c>
      <c r="P14" s="108" t="str" cm="1">
        <f t="array" aca="1" ref="P14" ca="1">HYPERLINK(Common_InputFunctions.Utility_SourceHyperlink($D$22), $D$22)</f>
        <v>Table_E_g</v>
      </c>
      <c r="Q14" s="173"/>
    </row>
    <row r="15" spans="1:18" ht="20.100000000000001" customHeight="1" x14ac:dyDescent="0.25">
      <c r="A15" s="5" t="str">
        <f>HYPERLINK("#'Input - Pasture'!A1", "Pasture")</f>
        <v>Pasture</v>
      </c>
      <c r="D15" s="102" t="str">
        <v>EC_SCq</v>
      </c>
      <c r="E15" s="103" t="str">
        <v>Energy content factor for stationary combustion operations</v>
      </c>
      <c r="F15" s="105"/>
      <c r="G15" s="102" t="str">
        <v>GJ / unit of fuel</v>
      </c>
      <c r="H15" s="107" t="str">
        <v>Constant</v>
      </c>
      <c r="I15" s="108" t="str" cm="1">
        <f t="array" aca="1" ref="I15" ca="1">HYPERLINK(Common_InputFunctions.Utility_SourceHyperlink($D$22), $D$22)</f>
        <v>Table_E_g</v>
      </c>
      <c r="K15" s="102" t="str">
        <v>EC_SCq</v>
      </c>
      <c r="L15" s="102" t="str">
        <v>energy content factor for stationary combustion operations</v>
      </c>
      <c r="M15" s="102"/>
      <c r="N15" s="102" t="str">
        <v>GJ/kL</v>
      </c>
      <c r="O15" s="107" t="str">
        <v>Constant</v>
      </c>
      <c r="P15" s="108" t="str" cm="1">
        <f t="array" aca="1" ref="P15" ca="1">HYPERLINK(Common_InputFunctions.Utility_SourceHyperlink($D$22), $D$22)</f>
        <v>Table_E_g</v>
      </c>
      <c r="Q15" s="173"/>
    </row>
    <row r="16" spans="1:18" ht="20.100000000000001" customHeight="1" x14ac:dyDescent="0.25">
      <c r="A16" s="5" t="str">
        <f>HYPERLINK("#'Input - Fert Prod System'!A1", "Fert Prod System")</f>
        <v>Fert Prod System</v>
      </c>
      <c r="D16" s="102" t="str">
        <v>EF_SC1qg</v>
      </c>
      <c r="E16" s="103" t="str">
        <v>Scope 1 emission factor for stationary combustion for each greenhouse gas</v>
      </c>
      <c r="F16" s="105"/>
      <c r="G16" s="102" t="str">
        <v>kg CO2e / GJ</v>
      </c>
      <c r="H16" s="107" t="str">
        <v>Constant</v>
      </c>
      <c r="I16" s="108" t="str" cm="1">
        <f t="array" aca="1" ref="I16" ca="1">HYPERLINK(Common_InputFunctions.Utility_SourceHyperlink($D$22), $D$22)</f>
        <v>Table_E_g</v>
      </c>
      <c r="K16" s="102" t="str">
        <v>EF_SC3q</v>
      </c>
      <c r="L16" s="102" t="str">
        <v>scope 3 emission factor for stationary combustion operations</v>
      </c>
      <c r="M16" s="102"/>
      <c r="N16" s="102" t="str">
        <v>kg CO2e/GJ</v>
      </c>
      <c r="O16" s="107" t="str">
        <v>Constant</v>
      </c>
      <c r="P16" s="108" t="str" cm="1">
        <f t="array" aca="1" ref="P16" ca="1">HYPERLINK(Common_InputFunctions.Utility_SourceHyperlink($D$22), $D$22)</f>
        <v>Table_E_g</v>
      </c>
      <c r="Q16" s="173"/>
    </row>
    <row r="17" spans="1:17" ht="20.100000000000001" customHeight="1" x14ac:dyDescent="0.25">
      <c r="A17" s="5" t="str">
        <f>HYPERLINK("#'Input - Fertiliser'!A1", "Fertiliser")</f>
        <v>Fertiliser</v>
      </c>
      <c r="D17" s="102" t="str">
        <v>q</v>
      </c>
      <c r="E17" s="103" t="str">
        <v>Fuel type</v>
      </c>
      <c r="F17" s="105"/>
      <c r="G17" s="102" t="str">
        <v/>
      </c>
      <c r="H17" s="107" t="str">
        <v>Constant</v>
      </c>
      <c r="I17" s="108"/>
      <c r="J17" s="173"/>
      <c r="K17" s="102" t="str">
        <v>i</v>
      </c>
      <c r="L17" s="103" t="str">
        <v>state</v>
      </c>
      <c r="M17" s="105"/>
      <c r="N17" s="102" t="str">
        <v/>
      </c>
      <c r="O17" s="106" t="str">
        <v>Input</v>
      </c>
      <c r="P17" s="102" t="str">
        <f>X_Cell_Site_State</f>
        <v>Western Australia</v>
      </c>
      <c r="Q17" s="173"/>
    </row>
    <row r="18" spans="1:17" ht="20.100000000000001" customHeight="1" x14ac:dyDescent="0.25">
      <c r="A18" s="5" t="str">
        <f>HYPERLINK("#'Input - Fuel'!A1", "Fuel")</f>
        <v>Fuel</v>
      </c>
      <c r="D18" s="102" t="str">
        <v>SC</v>
      </c>
      <c r="E18" s="103" t="str">
        <v>Stationary combustion</v>
      </c>
      <c r="F18" s="105"/>
      <c r="G18" s="102" t="str">
        <v/>
      </c>
      <c r="H18" s="107" t="str">
        <v>Constant</v>
      </c>
      <c r="I18" s="108"/>
      <c r="J18" s="173"/>
      <c r="K18" s="102" t="str">
        <v>m</v>
      </c>
      <c r="L18" s="103" t="str">
        <v>metropolitan/non-metropolitan location</v>
      </c>
      <c r="M18" s="105"/>
      <c r="N18" s="102" t="str">
        <v/>
      </c>
      <c r="O18" s="106" t="str">
        <v>Input</v>
      </c>
      <c r="P18" s="102" t="str">
        <f>X_Cell_Fuel_IsMetroLocation</f>
        <v>Metro</v>
      </c>
      <c r="Q18" s="173"/>
    </row>
    <row r="19" spans="1:17" ht="20.100000000000001" customHeight="1" x14ac:dyDescent="0.25">
      <c r="A19" s="5" t="str">
        <f>HYPERLINK("#'Input - Electricity'!A1", "Electricity")</f>
        <v>Electricity</v>
      </c>
      <c r="D19" s="102" t="str">
        <v>g</v>
      </c>
      <c r="E19" s="103" t="str">
        <v>Greenhouse gas</v>
      </c>
      <c r="F19" s="105"/>
      <c r="G19" s="102" t="str">
        <v/>
      </c>
      <c r="H19" s="107" t="str">
        <v>Constant</v>
      </c>
      <c r="I19" s="108"/>
      <c r="J19" s="173"/>
      <c r="L19" s="173"/>
      <c r="N19" s="173"/>
      <c r="O19" s="173"/>
      <c r="P19" s="173"/>
      <c r="Q19" s="173"/>
    </row>
    <row r="20" spans="1:17" ht="20.100000000000001" customHeight="1" x14ac:dyDescent="0.25">
      <c r="A20" s="5" t="str">
        <f>HYPERLINK("#'Input - Farm Inputs'!A1", "Farm Inputs")</f>
        <v>Farm Inputs</v>
      </c>
      <c r="D20" s="102" t="str">
        <v>1</v>
      </c>
      <c r="E20" s="103" t="str">
        <v>Scope 1</v>
      </c>
      <c r="F20" s="105"/>
      <c r="G20" s="102" t="str">
        <v/>
      </c>
      <c r="H20" s="107" t="str">
        <v>Constant</v>
      </c>
      <c r="I20" s="108"/>
      <c r="J20" s="173"/>
      <c r="L20" s="173"/>
      <c r="N20" s="173"/>
      <c r="O20" s="173"/>
      <c r="P20" s="173"/>
      <c r="Q20" s="173"/>
    </row>
    <row r="21" spans="1:17" ht="20.100000000000001" customHeight="1" x14ac:dyDescent="0.25">
      <c r="A21" s="5" t="str">
        <f>HYPERLINK("#'Input - Freight'!A1", "Freight")</f>
        <v>Freight</v>
      </c>
      <c r="O21" s="173"/>
      <c r="P21" s="173"/>
      <c r="Q21" s="173"/>
    </row>
    <row r="22" spans="1:17" ht="20.100000000000001" customHeight="1" x14ac:dyDescent="0.25">
      <c r="A22" s="5" t="str">
        <f>HYPERLINK("#'Input - Manure sent off-site'!A1", "Manure sent off-site")</f>
        <v>Manure sent off-site</v>
      </c>
      <c r="D22" s="109" t="s">
        <v>722</v>
      </c>
    </row>
    <row r="23" spans="1:17" ht="20.100000000000001" customHeight="1" x14ac:dyDescent="0.25">
      <c r="A23" s="5" t="str">
        <f>HYPERLINK("#'Input - Solid waste'!A1", "Solid waste")</f>
        <v>Solid waste</v>
      </c>
      <c r="D23" s="110" t="s">
        <v>744</v>
      </c>
    </row>
    <row r="24" spans="1:17" ht="20.100000000000001" customHeight="1" x14ac:dyDescent="0.25">
      <c r="D24" s="111" t="s">
        <v>724</v>
      </c>
      <c r="E24" s="111" t="s">
        <v>725</v>
      </c>
      <c r="F24" s="111" t="s">
        <v>726</v>
      </c>
      <c r="G24" s="111" t="s">
        <v>745</v>
      </c>
      <c r="H24" s="111" t="s">
        <v>746</v>
      </c>
      <c r="I24" s="111" t="s">
        <v>747</v>
      </c>
      <c r="J24" s="111" t="s">
        <v>748</v>
      </c>
      <c r="K24" s="111" t="s">
        <v>749</v>
      </c>
      <c r="L24" s="112" t="s">
        <v>750</v>
      </c>
      <c r="M24" s="111" t="s">
        <v>733</v>
      </c>
      <c r="N24" s="111" t="s">
        <v>734</v>
      </c>
      <c r="O24" s="111" t="s">
        <v>735</v>
      </c>
      <c r="P24" s="111" t="s">
        <v>736</v>
      </c>
      <c r="Q24" s="111" t="s">
        <v>751</v>
      </c>
    </row>
    <row r="25" spans="1:17" ht="20.100000000000001" customHeight="1" x14ac:dyDescent="0.25">
      <c r="D25" s="35" t="str">
        <f>Table_FuelTypesPerUse[[#Headers],[Generators]]</f>
        <v>Generators</v>
      </c>
      <c r="E25" s="198" t="str">
        <f>'Constants - Fuel'!$D$58</f>
        <v>Automotive gasoline / petrol (other than for use as fuel in an aircraft)</v>
      </c>
      <c r="F25" s="198"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77" cm="1">
        <f t="array" ref="L25">Fuel_InputFunctions.Fuel_TotalConsumption(Table_Input_Fuel[Amount consumed], Table_Input_Fuel[Fuel use (select)], D25, Table_Input_Fuel[Fuel type (select)],F25)</f>
        <v>0</v>
      </c>
      <c r="M25" s="177" t="str" cm="1">
        <f t="array" ref="M25">Common_InputFunctions.Utility_LookupValueInTable(F25,Table_FuelTypes_Units[Fuel type],Table_FuelTypes_Units[Unit])</f>
        <v>kL</v>
      </c>
      <c r="N25" s="220" cm="1">
        <f t="array" ref="N25">Fuel_Equations.VEERG_8_2_1_1__1_FuelCombustionStationary($L25,$G25,H25)</f>
        <v>0</v>
      </c>
      <c r="O25" s="220" cm="1">
        <f t="array" ref="O25">Fuel_Equations.VEERG_8_2_1_1__1_FuelCombustionStationary($L25,$G25,I25)</f>
        <v>0</v>
      </c>
      <c r="P25" s="220" cm="1">
        <f t="array" ref="P25">Fuel_Equations.VEERG_8_2_1_1__1_FuelCombustionStationary($L25,$G25,J25)</f>
        <v>0</v>
      </c>
      <c r="Q25" s="220" cm="1">
        <f t="array" ref="Q25">Fuel_Equations.VEERG_8_2_1_1__1_FuelCombustionStationary($L25,$G25,IF(ISNUMBER(K25), K25, 0))</f>
        <v>0</v>
      </c>
    </row>
    <row r="26" spans="1:17" ht="20.100000000000001" customHeight="1" x14ac:dyDescent="0.25">
      <c r="A26" s="6" t="s">
        <v>2</v>
      </c>
      <c r="D26" s="200" t="str">
        <f t="shared" ref="D26:D31" si="0">$D$25</f>
        <v>Generators</v>
      </c>
      <c r="E26" s="198" t="str">
        <f>'Constants - Fuel'!$D$63</f>
        <v>Diesel oil</v>
      </c>
      <c r="F26" s="198"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77" cm="1">
        <f t="array" ref="L26">Fuel_InputFunctions.Fuel_TotalConsumption(Table_Input_Fuel[Amount consumed], Table_Input_Fuel[Fuel use (select)], D26, Table_Input_Fuel[Fuel type (select)],F26)</f>
        <v>0</v>
      </c>
      <c r="M26" s="177" t="str" cm="1">
        <f t="array" ref="M26">Common_InputFunctions.Utility_LookupValueInTable(F26,Table_FuelTypes_Units[Fuel type],Table_FuelTypes_Units[Unit])</f>
        <v>kL</v>
      </c>
      <c r="N26" s="220" cm="1">
        <f t="array" ref="N26">Fuel_Equations.VEERG_8_2_1_1__1_FuelCombustionStationary($L26,$G26,H26)</f>
        <v>0</v>
      </c>
      <c r="O26" s="220" cm="1">
        <f t="array" ref="O26">Fuel_Equations.VEERG_8_2_1_1__1_FuelCombustionStationary($L26,$G26,I26)</f>
        <v>0</v>
      </c>
      <c r="P26" s="220" cm="1">
        <f t="array" ref="P26">Fuel_Equations.VEERG_8_2_1_1__1_FuelCombustionStationary($L26,$G26,J26)</f>
        <v>0</v>
      </c>
      <c r="Q26" s="220" cm="1">
        <f t="array" ref="Q26">Fuel_Equations.VEERG_8_2_1_1__1_FuelCombustionStationary($L26,$G26,IF(ISNUMBER(K26), K26, 0))</f>
        <v>0</v>
      </c>
    </row>
    <row r="27" spans="1:17" ht="20.100000000000001" customHeight="1" x14ac:dyDescent="0.25">
      <c r="A27" s="5" t="str">
        <f>HYPERLINK("#'3.2.1.1-2 Enteric Methane'!A1", "3.2.1.1-2 Enteric methane")</f>
        <v>3.2.1.1-2 Enteric methane</v>
      </c>
      <c r="D27" s="200" t="str">
        <f t="shared" si="0"/>
        <v>Generators</v>
      </c>
      <c r="E27" s="198" t="str">
        <f>'Constants - Fuel'!$D$67</f>
        <v>Liquefied petroleum gas (LPG)</v>
      </c>
      <c r="F27" s="198"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77" cm="1">
        <f t="array" ref="L27">Fuel_InputFunctions.Fuel_TotalConsumption(Table_Input_Fuel[Amount consumed], Table_Input_Fuel[Fuel use (select)], D27, Table_Input_Fuel[Fuel type (select)],F27)</f>
        <v>0</v>
      </c>
      <c r="M27" s="177" t="str" cm="1">
        <f t="array" ref="M27">Common_InputFunctions.Utility_LookupValueInTable(F27,Table_FuelTypes_Units[Fuel type],Table_FuelTypes_Units[Unit])</f>
        <v>kL</v>
      </c>
      <c r="N27" s="220" cm="1">
        <f t="array" ref="N27">Fuel_Equations.VEERG_8_2_1_1__1_FuelCombustionStationary($L27,$G27,H27)</f>
        <v>0</v>
      </c>
      <c r="O27" s="220" cm="1">
        <f t="array" ref="O27">Fuel_Equations.VEERG_8_2_1_1__1_FuelCombustionStationary($L27,$G27,I27)</f>
        <v>0</v>
      </c>
      <c r="P27" s="220" cm="1">
        <f t="array" ref="P27">Fuel_Equations.VEERG_8_2_1_1__1_FuelCombustionStationary($L27,$G27,J27)</f>
        <v>0</v>
      </c>
      <c r="Q27" s="220" cm="1">
        <f t="array" ref="Q27">Fuel_Equations.VEERG_8_2_1_1__1_FuelCombustionStationary($L27,$G27,IF(ISNUMBER(K27), K27, 0))</f>
        <v>0</v>
      </c>
    </row>
    <row r="28" spans="1:17" ht="20.100000000000001" customHeight="1" x14ac:dyDescent="0.25">
      <c r="A28" s="5" t="str">
        <f>HYPERLINK("#'4.2.1.1-2 Methane'!A1", "4.2.1.1-2 Manure methane")</f>
        <v>4.2.1.1-2 Manure methane</v>
      </c>
      <c r="D28" s="200" t="str">
        <f t="shared" si="0"/>
        <v>Generators</v>
      </c>
      <c r="E28" s="198" t="str">
        <f>'Constants - Fuel'!$D$73</f>
        <v>Biodiesel</v>
      </c>
      <c r="F28" s="198"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77" cm="1">
        <f t="array" ref="L28">Fuel_InputFunctions.Fuel_TotalConsumption(Table_Input_Fuel[Amount consumed], Table_Input_Fuel[Fuel use (select)], D28, Table_Input_Fuel[Fuel type (select)],F28)</f>
        <v>0</v>
      </c>
      <c r="M28" s="177" t="str" cm="1">
        <f t="array" ref="M28">Common_InputFunctions.Utility_LookupValueInTable(F28,Table_FuelTypes_Units[Fuel type],Table_FuelTypes_Units[Unit])</f>
        <v>kL</v>
      </c>
      <c r="N28" s="220" cm="1">
        <f t="array" ref="N28">Fuel_Equations.VEERG_8_2_1_1__1_FuelCombustionStationary($L28,$G28,H28)</f>
        <v>0</v>
      </c>
      <c r="O28" s="220" cm="1">
        <f t="array" ref="O28">Fuel_Equations.VEERG_8_2_1_1__1_FuelCombustionStationary($L28,$G28,I28)</f>
        <v>0</v>
      </c>
      <c r="P28" s="220" cm="1">
        <f t="array" ref="P28">Fuel_Equations.VEERG_8_2_1_1__1_FuelCombustionStationary($L28,$G28,J28)</f>
        <v>0</v>
      </c>
      <c r="Q28" s="220" cm="1">
        <f t="array" ref="Q28">Fuel_Equations.VEERG_8_2_1_1__1_FuelCombustionStationary($L28,$G28,IF(ISNUMBER(K28), K28, 0))</f>
        <v>0</v>
      </c>
    </row>
    <row r="29" spans="1:17" ht="20.100000000000001" customHeight="1" x14ac:dyDescent="0.25">
      <c r="A29" s="5" t="str">
        <f>HYPERLINK("#'4.2.1.3-4 Soil direct N20'!A1", "4.2.1.3-4 Soil direct N2O")</f>
        <v>4.2.1.3-4 Soil direct N2O</v>
      </c>
      <c r="D29" s="200" t="str">
        <f t="shared" si="0"/>
        <v>Generators</v>
      </c>
      <c r="E29" s="198" t="str">
        <f>'Constants - Fuel'!$D$74</f>
        <v>Ethanol for use as a fuel in an internal combustion engine</v>
      </c>
      <c r="F29" s="198"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77" cm="1">
        <f t="array" ref="L29">Fuel_InputFunctions.Fuel_TotalConsumption(Table_Input_Fuel[Amount consumed], Table_Input_Fuel[Fuel use (select)], D29, Table_Input_Fuel[Fuel type (select)],F29)</f>
        <v>0</v>
      </c>
      <c r="M29" s="177" t="str" cm="1">
        <f t="array" ref="M29">Common_InputFunctions.Utility_LookupValueInTable(F29,Table_FuelTypes_Units[Fuel type],Table_FuelTypes_Units[Unit])</f>
        <v>kL</v>
      </c>
      <c r="N29" s="220" cm="1">
        <f t="array" ref="N29">Fuel_Equations.VEERG_8_2_1_1__1_FuelCombustionStationary($L29,$G29,H29)</f>
        <v>0</v>
      </c>
      <c r="O29" s="220" cm="1">
        <f t="array" ref="O29">Fuel_Equations.VEERG_8_2_1_1__1_FuelCombustionStationary($L29,$G29,I29)</f>
        <v>0</v>
      </c>
      <c r="P29" s="220" cm="1">
        <f t="array" ref="P29">Fuel_Equations.VEERG_8_2_1_1__1_FuelCombustionStationary($L29,$G29,J29)</f>
        <v>0</v>
      </c>
      <c r="Q29" s="220" cm="1">
        <f t="array" ref="Q29">Fuel_Equations.VEERG_8_2_1_1__1_FuelCombustionStationary($L29,$G29,IF(ISNUMBER(K29), K29, 0))</f>
        <v>0</v>
      </c>
    </row>
    <row r="30" spans="1:17" ht="20.100000000000001" customHeight="1" x14ac:dyDescent="0.25">
      <c r="A30" s="5" t="str">
        <f>HYPERLINK("#'4.2.1.5-6 Soil Atmos Dep'!A1", "4.2.1.5-6 Soil atm. deposition")</f>
        <v>4.2.1.5-6 Soil atm. deposition</v>
      </c>
      <c r="D30" s="200" t="str">
        <f t="shared" si="0"/>
        <v>Generators</v>
      </c>
      <c r="E30" s="198" t="str">
        <f>'Constants - Fuel'!$D$75</f>
        <v>Biofuels other than those mentioned in the items above and below</v>
      </c>
      <c r="F30" s="198"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77" cm="1">
        <f t="array" ref="L30">Fuel_InputFunctions.Fuel_TotalConsumption(Table_Input_Fuel[Amount consumed], Table_Input_Fuel[Fuel use (select)], D30, Table_Input_Fuel[Fuel type (select)],F30)</f>
        <v>0</v>
      </c>
      <c r="M30" s="177" t="str" cm="1">
        <f t="array" ref="M30">Common_InputFunctions.Utility_LookupValueInTable(F30,Table_FuelTypes_Units[Fuel type],Table_FuelTypes_Units[Unit])</f>
        <v>kL</v>
      </c>
      <c r="N30" s="220" cm="1">
        <f t="array" ref="N30">Fuel_Equations.VEERG_8_2_1_1__1_FuelCombustionStationary($L30,$G30,H30)</f>
        <v>0</v>
      </c>
      <c r="O30" s="220" cm="1">
        <f t="array" ref="O30">Fuel_Equations.VEERG_8_2_1_1__1_FuelCombustionStationary($L30,$G30,I30)</f>
        <v>0</v>
      </c>
      <c r="P30" s="220" cm="1">
        <f t="array" ref="P30">Fuel_Equations.VEERG_8_2_1_1__1_FuelCombustionStationary($L30,$G30,J30)</f>
        <v>0</v>
      </c>
      <c r="Q30" s="220" cm="1">
        <f t="array" ref="Q30">Fuel_Equations.VEERG_8_2_1_1__1_FuelCombustionStationary($L30,$G30,IF(ISNUMBER(K30), K30, 0))</f>
        <v>0</v>
      </c>
    </row>
    <row r="31" spans="1:17" ht="20.100000000000001" customHeight="1" x14ac:dyDescent="0.25">
      <c r="A31" s="5" t="str">
        <f>HYPERLINK("#'4.2.1.7-8 Soil leach runoff'!A1", "4.2.1.7-8 Soil leach &amp; runoff")</f>
        <v>4.2.1.7-8 Soil leach &amp; runoff</v>
      </c>
      <c r="D31" s="200" t="str">
        <f t="shared" si="0"/>
        <v>Generators</v>
      </c>
      <c r="E31" s="198" t="str">
        <f>'Constants - Fuel'!$D$77</f>
        <v>Renewable diesel</v>
      </c>
      <c r="F31" s="198" t="str">
        <f>'Constants - Fuel'!D137</f>
        <v>Renewable diesel</v>
      </c>
      <c r="G31" s="196">
        <f>IFERROR(_xlfn.XLOOKUP($E31, Table_Fuel_EFs_StationaryLiquid[Fuel combusted], Table_Fuel_EFs_StationaryLiquid[Energy Content Factor (GJ per unit of fuel)]),0)</f>
        <v>38.6</v>
      </c>
      <c r="H31" s="196">
        <f>IFERROR(_xlfn.XLOOKUP($E31, Table_Fuel_EFs_StationaryLiquid[Fuel combusted], Table_Fuel_EFs_StationaryLiquid[Scope 1 Emission Factor (kg CO2 - e / GJ) CO2]),0)</f>
        <v>0</v>
      </c>
      <c r="I31" s="196">
        <f>IFERROR(_xlfn.XLOOKUP($E31, Table_Fuel_EFs_StationaryLiquid[Fuel combusted], Table_Fuel_EFs_StationaryLiquid[Scope 1 Emission Factor (kg CO2 - e / GJ) CH4]),0)</f>
        <v>0.1</v>
      </c>
      <c r="J31" s="196">
        <f>IFERROR(_xlfn.XLOOKUP($E31, Table_Fuel_EFs_StationaryLiquid[Fuel combusted], Table_Fuel_EFs_StationaryLiquid[Scope 1 Emission Factor (kg CO2 - e / GJ) N2O]),0)</f>
        <v>0.2</v>
      </c>
      <c r="K31" s="196" t="str">
        <f>IFERROR(_xlfn.XLOOKUP($E31, Table_Fuel_EFs_StationaryLiquid[Fuel combusted], Table_Fuel_EFs_StationaryLiquid[Scope 3 Emission Factor (kg CO2 - e / GJ)]),0)</f>
        <v>NE</v>
      </c>
      <c r="L31" s="201" cm="1">
        <f t="array" ref="L31">Fuel_InputFunctions.Fuel_TotalConsumption(Table_Input_Fuel[Amount consumed], Table_Input_Fuel[Fuel use (select)], D31, Table_Input_Fuel[Fuel type (select)],F31)</f>
        <v>0</v>
      </c>
      <c r="M31" s="201" t="str" cm="1">
        <f t="array" ref="M31">Common_InputFunctions.Utility_LookupValueInTable(F31,Table_FuelTypes_Units[Fuel type],Table_FuelTypes_Units[Unit])</f>
        <v>kL</v>
      </c>
      <c r="N31" s="221" cm="1">
        <f t="array" ref="N31">Fuel_Equations.VEERG_8_2_1_1__1_FuelCombustionStationary($L31,$G31,H31)</f>
        <v>0</v>
      </c>
      <c r="O31" s="221" cm="1">
        <f t="array" ref="O31">Fuel_Equations.VEERG_8_2_1_1__1_FuelCombustionStationary($L31,$G31,I31)</f>
        <v>0</v>
      </c>
      <c r="P31" s="221" cm="1">
        <f t="array" ref="P31">Fuel_Equations.VEERG_8_2_1_1__1_FuelCombustionStationary($L31,$G31,J31)</f>
        <v>0</v>
      </c>
      <c r="Q31" s="221" cm="1">
        <f t="array" ref="Q31">Fuel_Equations.VEERG_8_2_1_1__1_FuelCombustionStationary($L31,$G31,IF(ISNUMBER(K31), K31, 0))</f>
        <v>0</v>
      </c>
    </row>
    <row r="32" spans="1:17" ht="20.100000000000001" customHeight="1" x14ac:dyDescent="0.25">
      <c r="A32" s="5" t="str">
        <f>HYPERLINK("#'5.1.1.1-2 Inorganic fert N2O'!A1", "5.1.1.1-2 Inorganic fert N2O")</f>
        <v>5.1.1.1-2 Inorganic fert N2O</v>
      </c>
      <c r="D32" s="203" t="str">
        <f>Table_FuelTypesPerUse[[#Headers],[Power standalone machinery or heating]]</f>
        <v>Power standalone machinery or heating</v>
      </c>
      <c r="E32" s="204" t="str">
        <f>'Constants - Fuel'!$D$58</f>
        <v>Automotive gasoline / petrol (other than for use as fuel in an aircraft)</v>
      </c>
      <c r="F32" s="204" t="str">
        <f>'Constants - Fuel'!E131</f>
        <v>Petrol</v>
      </c>
      <c r="G32" s="211">
        <f>IFERROR(_xlfn.XLOOKUP($E32, Table_Fuel_EFs_StationaryLiquid[Fuel combusted], Table_Fuel_EFs_StationaryLiquid[Energy Content Factor (GJ per unit of fuel)]),0)</f>
        <v>34.200000000000003</v>
      </c>
      <c r="H32" s="211">
        <f>IFERROR(_xlfn.XLOOKUP($E32, Table_Fuel_EFs_StationaryLiquid[Fuel combusted], Table_Fuel_EFs_StationaryLiquid[Scope 1 Emission Factor (kg CO2 - e / GJ) CO2]),0)</f>
        <v>67.400000000000006</v>
      </c>
      <c r="I32" s="211">
        <f>IFERROR(_xlfn.XLOOKUP($E32, Table_Fuel_EFs_StationaryLiquid[Fuel combusted], Table_Fuel_EFs_StationaryLiquid[Scope 1 Emission Factor (kg CO2 - e / GJ) CH4]),0)</f>
        <v>0.2</v>
      </c>
      <c r="J32" s="211">
        <f>IFERROR(_xlfn.XLOOKUP($E32, Table_Fuel_EFs_StationaryLiquid[Fuel combusted], Table_Fuel_EFs_StationaryLiquid[Scope 1 Emission Factor (kg CO2 - e / GJ) N2O]),0)</f>
        <v>0.2</v>
      </c>
      <c r="K32" s="211">
        <f>IFERROR(_xlfn.XLOOKUP($E32, Table_Fuel_EFs_StationaryLiquid[Fuel combusted], Table_Fuel_EFs_StationaryLiquid[Scope 3 Emission Factor (kg CO2 - e / GJ)]),0)</f>
        <v>17.2</v>
      </c>
      <c r="L32" s="207" cm="1">
        <f t="array" ref="L32">Fuel_InputFunctions.Fuel_TotalConsumption(Table_Input_Fuel[Amount consumed], Table_Input_Fuel[Fuel use (select)], D32, Table_Input_Fuel[Fuel type (select)],F32)</f>
        <v>10</v>
      </c>
      <c r="M32" s="208" t="str" cm="1">
        <f t="array" ref="M32">Common_InputFunctions.Utility_LookupValueInTable(F32,Table_FuelTypes_Units[Fuel type],Table_FuelTypes_Units[Unit])</f>
        <v>kL</v>
      </c>
      <c r="N32" s="222" cm="1">
        <f t="array" ref="N32">Fuel_Equations.VEERG_8_2_1_1__1_FuelCombustionStationary($L32,$G32,H32)</f>
        <v>23.050800000000002</v>
      </c>
      <c r="O32" s="222" cm="1">
        <f t="array" ref="O32">Fuel_Equations.VEERG_8_2_1_1__1_FuelCombustionStationary($L32,$G32,I32)</f>
        <v>6.8400000000000002E-2</v>
      </c>
      <c r="P32" s="222" cm="1">
        <f t="array" ref="P32">Fuel_Equations.VEERG_8_2_1_1__1_FuelCombustionStationary($L32,$G32,J32)</f>
        <v>6.8400000000000002E-2</v>
      </c>
      <c r="Q32" s="222" cm="1">
        <f t="array" ref="Q32">Fuel_Equations.VEERG_8_2_1_1__1_FuelCombustionStationary($L32,$G32,IF(ISNUMBER(K32), K32, 0))</f>
        <v>5.8823999999999996</v>
      </c>
    </row>
    <row r="33" spans="1:17" ht="20.100000000000001" customHeight="1" x14ac:dyDescent="0.25">
      <c r="A33" s="5" t="str">
        <f>HYPERLINK("#'5.1.1.3-4 Inorganic fert CO2'!A1", "5.1.1.3-4 Inorganic fert CO2")</f>
        <v>5.1.1.3-4 Inorganic fert CO2</v>
      </c>
      <c r="D33" s="200" t="str">
        <f t="shared" ref="D33:D40" si="1">$D$32</f>
        <v>Power standalone machinery or heating</v>
      </c>
      <c r="E33" s="198" t="str">
        <f>'Constants - Fuel'!$D$63</f>
        <v>Diesel oil</v>
      </c>
      <c r="F33" s="198"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0" cm="1">
        <f t="array" ref="N33">Fuel_Equations.VEERG_8_2_1_1__1_FuelCombustionStationary($L33,$G33,H33)</f>
        <v>0</v>
      </c>
      <c r="O33" s="220" cm="1">
        <f t="array" ref="O33">Fuel_Equations.VEERG_8_2_1_1__1_FuelCombustionStationary($L33,$G33,I33)</f>
        <v>0</v>
      </c>
      <c r="P33" s="220" cm="1">
        <f t="array" ref="P33">Fuel_Equations.VEERG_8_2_1_1__1_FuelCombustionStationary($L33,$G33,J33)</f>
        <v>0</v>
      </c>
      <c r="Q33" s="220" cm="1">
        <f t="array" ref="Q33">Fuel_Equations.VEERG_8_2_1_1__1_FuelCombustionStationary($L33,$G33,IF(ISNUMBER(K33), K33, 0))</f>
        <v>0</v>
      </c>
    </row>
    <row r="34" spans="1:17" ht="20.100000000000001" customHeight="1" x14ac:dyDescent="0.25">
      <c r="A34" s="5" t="str">
        <f>HYPERLINK("#'5.2.1.1-2 Organic Fert N2O'!A1", "5.2.1.1-2 Organic fert N2O")</f>
        <v>5.2.1.1-2 Organic fert N2O</v>
      </c>
      <c r="D34" s="200" t="str">
        <f t="shared" si="1"/>
        <v>Power standalone machinery or heating</v>
      </c>
      <c r="E34" s="198" t="str">
        <f>'Constants - Fuel'!$D$67</f>
        <v>Liquefied petroleum gas (LPG)</v>
      </c>
      <c r="F34" s="198"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0" cm="1">
        <f t="array" ref="N34">Fuel_Equations.VEERG_8_2_1_1__1_FuelCombustionStationary($L34,$G34,H34)</f>
        <v>0</v>
      </c>
      <c r="O34" s="220" cm="1">
        <f t="array" ref="O34">Fuel_Equations.VEERG_8_2_1_1__1_FuelCombustionStationary($L34,$G34,I34)</f>
        <v>0</v>
      </c>
      <c r="P34" s="220" cm="1">
        <f t="array" ref="P34">Fuel_Equations.VEERG_8_2_1_1__1_FuelCombustionStationary($L34,$G34,J34)</f>
        <v>0</v>
      </c>
      <c r="Q34" s="220" cm="1">
        <f t="array" ref="Q34">Fuel_Equations.VEERG_8_2_1_1__1_FuelCombustionStationary($L34,$G34,IF(ISNUMBER(K34), K34, 0))</f>
        <v>0</v>
      </c>
    </row>
    <row r="35" spans="1:17" ht="20.100000000000001" customHeight="1" x14ac:dyDescent="0.25">
      <c r="A35" s="5" t="str">
        <f>HYPERLINK("#'5.3.1.1-2 Lime CO2'!A1", "5.3.1.1-2 Lime CO2")</f>
        <v>5.3.1.1-2 Lime CO2</v>
      </c>
      <c r="D35" s="200" t="str">
        <f t="shared" si="1"/>
        <v>Power standalone machinery or heating</v>
      </c>
      <c r="E35" s="198" t="str">
        <f>'Constants - Fuel'!$D$73</f>
        <v>Biodiesel</v>
      </c>
      <c r="F35" s="198"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0" cm="1">
        <f t="array" ref="N35">Fuel_Equations.VEERG_8_2_1_1__1_FuelCombustionStationary($L35,$G35,H35)</f>
        <v>0</v>
      </c>
      <c r="O35" s="220" cm="1">
        <f t="array" ref="O35">Fuel_Equations.VEERG_8_2_1_1__1_FuelCombustionStationary($L35,$G35,I35)</f>
        <v>0</v>
      </c>
      <c r="P35" s="220" cm="1">
        <f t="array" ref="P35">Fuel_Equations.VEERG_8_2_1_1__1_FuelCombustionStationary($L35,$G35,J35)</f>
        <v>0</v>
      </c>
      <c r="Q35" s="220" cm="1">
        <f t="array" ref="Q35">Fuel_Equations.VEERG_8_2_1_1__1_FuelCombustionStationary($L35,$G35,IF(ISNUMBER(K35), K35, 0))</f>
        <v>0</v>
      </c>
    </row>
    <row r="36" spans="1:17" ht="20.100000000000001" customHeight="1" x14ac:dyDescent="0.25">
      <c r="A36" s="5" t="str">
        <f>HYPERLINK("#'5.4.1.1-4 Atmos deposition'!A1", "5.4.1.1-4 Atmos. deposition")</f>
        <v>5.4.1.1-4 Atmos. deposition</v>
      </c>
      <c r="D36" s="200" t="str">
        <f t="shared" si="1"/>
        <v>Power standalone machinery or heating</v>
      </c>
      <c r="E36" s="198" t="str">
        <f>'Constants - Fuel'!$D$74</f>
        <v>Ethanol for use as a fuel in an internal combustion engine</v>
      </c>
      <c r="F36" s="198"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0" cm="1">
        <f t="array" ref="N36">Fuel_Equations.VEERG_8_2_1_1__1_FuelCombustionStationary($L36,$G36,H36)</f>
        <v>0</v>
      </c>
      <c r="O36" s="220" cm="1">
        <f t="array" ref="O36">Fuel_Equations.VEERG_8_2_1_1__1_FuelCombustionStationary($L36,$G36,I36)</f>
        <v>0</v>
      </c>
      <c r="P36" s="220" cm="1">
        <f t="array" ref="P36">Fuel_Equations.VEERG_8_2_1_1__1_FuelCombustionStationary($L36,$G36,J36)</f>
        <v>0</v>
      </c>
      <c r="Q36" s="220" cm="1">
        <f t="array" ref="Q36">Fuel_Equations.VEERG_8_2_1_1__1_FuelCombustionStationary($L36,$G36,IF(ISNUMBER(K36), K36, 0))</f>
        <v>0</v>
      </c>
    </row>
    <row r="37" spans="1:17" ht="20.100000000000001" customHeight="1" x14ac:dyDescent="0.25">
      <c r="A37" s="5" t="str">
        <f>HYPERLINK("#'5.5.1.1-2 Leaching and runoff'!A1", "5.5.1.1-2 Leaching &amp; runoff")</f>
        <v>5.5.1.1-2 Leaching &amp; runoff</v>
      </c>
      <c r="D37" s="200" t="str">
        <f t="shared" si="1"/>
        <v>Power standalone machinery or heating</v>
      </c>
      <c r="E37" s="198" t="str">
        <f>'Constants - Fuel'!$D$75</f>
        <v>Biofuels other than those mentioned in the items above and below</v>
      </c>
      <c r="F37" s="198"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0" cm="1">
        <f t="array" ref="N37">Fuel_Equations.VEERG_8_2_1_1__1_FuelCombustionStationary($L37,$G37,H37)</f>
        <v>0</v>
      </c>
      <c r="O37" s="220" cm="1">
        <f t="array" ref="O37">Fuel_Equations.VEERG_8_2_1_1__1_FuelCombustionStationary($L37,$G37,I37)</f>
        <v>0</v>
      </c>
      <c r="P37" s="220" cm="1">
        <f t="array" ref="P37">Fuel_Equations.VEERG_8_2_1_1__1_FuelCombustionStationary($L37,$G37,J37)</f>
        <v>0</v>
      </c>
      <c r="Q37" s="220" cm="1">
        <f t="array" ref="Q37">Fuel_Equations.VEERG_8_2_1_1__1_FuelCombustionStationary($L37,$G37,IF(ISNUMBER(K37), K37, 0))</f>
        <v>0</v>
      </c>
    </row>
    <row r="38" spans="1:17" ht="20.100000000000001" customHeight="1" x14ac:dyDescent="0.25">
      <c r="A38" s="5" t="str">
        <f>HYPERLINK("#'6.2.1.1-2 Pasture residue N2O'!A1", "6.2.1.1-2 Pasture residue N2O")</f>
        <v>6.2.1.1-2 Pasture residue N2O</v>
      </c>
      <c r="D38" s="200" t="str">
        <f t="shared" si="1"/>
        <v>Power standalone machinery or heating</v>
      </c>
      <c r="E38" s="198" t="str">
        <f>'Constants - Fuel'!$D$77</f>
        <v>Renewable diesel</v>
      </c>
      <c r="F38" s="198"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0" cm="1">
        <f t="array" ref="N38">Fuel_Equations.VEERG_8_2_1_1__1_FuelCombustionStationary($L38,$G38,H38)</f>
        <v>0</v>
      </c>
      <c r="O38" s="220" cm="1">
        <f t="array" ref="O38">Fuel_Equations.VEERG_8_2_1_1__1_FuelCombustionStationary($L38,$G38,I38)</f>
        <v>0</v>
      </c>
      <c r="P38" s="220" cm="1">
        <f t="array" ref="P38">Fuel_Equations.VEERG_8_2_1_1__1_FuelCombustionStationary($L38,$G38,J38)</f>
        <v>0</v>
      </c>
      <c r="Q38" s="220" cm="1">
        <f t="array" ref="Q38">Fuel_Equations.VEERG_8_2_1_1__1_FuelCombustionStationary($L38,$G38,IF(ISNUMBER(K38), K38, 0))</f>
        <v>0</v>
      </c>
    </row>
    <row r="39" spans="1:17" ht="20.100000000000001" customHeight="1" x14ac:dyDescent="0.25">
      <c r="A39" s="5" t="str">
        <f>HYPERLINK("#'6.3.1.1-2 Leach runoff pasture'!A1", "6.3.1.1-2 Leach &amp; runoff (pasture)")</f>
        <v>6.3.1.1-2 Leach &amp; runoff (pasture)</v>
      </c>
      <c r="D39" s="200" t="str">
        <f t="shared" si="1"/>
        <v>Power standalone machinery or heating</v>
      </c>
      <c r="E39" s="198" t="str">
        <f>'Constants - Fuel'!$D$103</f>
        <v>Natural gas distributed in a pipeline - Gigajoules</v>
      </c>
      <c r="F39" s="198"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77" cm="1">
        <f t="array" ref="L39">Fuel_InputFunctions.Fuel_TotalConsumption(Table_Input_Fuel[Amount consumed], Table_Input_Fuel[Fuel use (select)], D39, Table_Input_Fuel[Fuel type (select)],F39)</f>
        <v>0</v>
      </c>
      <c r="M39" s="177" t="str" cm="1">
        <f t="array" ref="M39">Common_InputFunctions.Utility_LookupValueInTable(F39,Table_FuelTypes_Units[Fuel type],Table_FuelTypes_Units[Unit])</f>
        <v>GJ</v>
      </c>
      <c r="N39" s="220" cm="1">
        <f t="array" ref="N39">Fuel_Equations.VEERG_8_2_1_1__1_FuelCombustionStationary($L39,$G39,H39)</f>
        <v>0</v>
      </c>
      <c r="O39" s="220" cm="1">
        <f t="array" ref="O39">Fuel_Equations.VEERG_8_2_1_1__1_FuelCombustionStationary($L39,$G39,I39)</f>
        <v>0</v>
      </c>
      <c r="P39" s="220" cm="1">
        <f t="array" ref="P39">Fuel_Equations.VEERG_8_2_1_1__1_FuelCombustionStationary($L39,$G39,J39)</f>
        <v>0</v>
      </c>
      <c r="Q39" s="220" cm="1">
        <f t="array" ref="Q39">Fuel_Equations.VEERG_8_2_1_1__1_FuelCombustionStationary($L39,$G39,IF(ISNUMBER(K39), K39, 0))</f>
        <v>0</v>
      </c>
    </row>
    <row r="40" spans="1:17" ht="20.100000000000001" customHeight="1" x14ac:dyDescent="0.25">
      <c r="A40" s="5" t="str">
        <f>HYPERLINK("#'8.1.1.1-2 Transport fuel'!A1", "8.1.1.1-2 Transport fuel")</f>
        <v>8.1.1.1-2 Transport fuel</v>
      </c>
      <c r="D40" s="200" t="str">
        <f t="shared" si="1"/>
        <v>Power standalone machinery or heating</v>
      </c>
      <c r="E40" s="198" t="str">
        <f>'Constants - Fuel'!$D$104</f>
        <v>Town gas - Gigajoules</v>
      </c>
      <c r="F40" s="198"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77" cm="1">
        <f t="array" ref="L40">Fuel_InputFunctions.Fuel_TotalConsumption(Table_Input_Fuel[Amount consumed], Table_Input_Fuel[Fuel use (select)], D40, Table_Input_Fuel[Fuel type (select)],F40)</f>
        <v>100</v>
      </c>
      <c r="M40" s="177" t="str" cm="1">
        <f t="array" ref="M40">Common_InputFunctions.Utility_LookupValueInTable(F40,Table_FuelTypes_Units[Fuel type],Table_FuelTypes_Units[Unit])</f>
        <v>GJ</v>
      </c>
      <c r="N40" s="220" cm="1">
        <f t="array" ref="N40">Fuel_Equations.VEERG_8_2_1_1__1_FuelCombustionStationary($L40,$G40,H40)</f>
        <v>6.0200000000000005</v>
      </c>
      <c r="O40" s="220" cm="1">
        <f t="array" ref="O40">Fuel_Equations.VEERG_8_2_1_1__1_FuelCombustionStationary($L40,$G40,I40)</f>
        <v>4.0000000000000001E-3</v>
      </c>
      <c r="P40" s="220" cm="1">
        <f t="array" ref="P40">Fuel_Equations.VEERG_8_2_1_1__1_FuelCombustionStationary($L40,$G40,J40)</f>
        <v>3.0000000000000001E-3</v>
      </c>
      <c r="Q40" s="220" cm="1">
        <f t="array" ref="Q40">Fuel_Equations.VEERG_8_2_1_1__1_FuelCombustionStationary($L40,$G40,IF(ISNUMBER(K40), K40, 0))</f>
        <v>0.41</v>
      </c>
    </row>
    <row r="41" spans="1:17" ht="20.100000000000001" customHeight="1" x14ac:dyDescent="0.25">
      <c r="A41" s="101" t="str">
        <f>HYPERLINK("#'8.2.1.1-2 Stationary fuel'!A1", "8.2.1.1-2 Stationary fuel")</f>
        <v>8.2.1.1-2 Stationary fuel</v>
      </c>
    </row>
    <row r="42" spans="1:17" ht="20.100000000000001" customHeight="1" x14ac:dyDescent="0.25">
      <c r="A42" s="5" t="str">
        <f>HYPERLINK("#'14.1.1-2 Purchased electricity'!A1", "14.1.1-2 Purchased electricity")</f>
        <v>14.1.1-2 Purchased electricity</v>
      </c>
      <c r="D42" s="213" t="str">
        <f>"Total scope 1 - " &amp; D25</f>
        <v>Total scope 1 - Generators</v>
      </c>
      <c r="E42" s="214"/>
      <c r="F42" s="215"/>
    </row>
    <row r="43" spans="1:17" ht="20.100000000000001" customHeight="1" x14ac:dyDescent="0.25">
      <c r="A43" s="5" t="str">
        <f>HYPERLINK("#'15 Scope 3'!A1", "15 Scope 3")</f>
        <v>15 Scope 3</v>
      </c>
      <c r="D43" s="35" t="s">
        <v>738</v>
      </c>
      <c r="E43" s="216">
        <f>SUM(N25:N31)</f>
        <v>0</v>
      </c>
      <c r="F43" s="26" t="str">
        <f>$E$12</f>
        <v>t CO2-e</v>
      </c>
    </row>
    <row r="44" spans="1:17" ht="20.100000000000001" customHeight="1" x14ac:dyDescent="0.25">
      <c r="A44" s="5" t="str">
        <f>HYPERLINK("#'Calcs - Manure sent off-site'!A1", "Calcs - Manure sent off-site")</f>
        <v>Calcs - Manure sent off-site</v>
      </c>
      <c r="D44" s="35" t="s">
        <v>739</v>
      </c>
      <c r="E44" s="216">
        <f>SUM(O25:O31)</f>
        <v>0</v>
      </c>
      <c r="F44" s="26" t="str">
        <f t="shared" ref="F44:F46" si="2">$E$12</f>
        <v>t CO2-e</v>
      </c>
    </row>
    <row r="45" spans="1:17" ht="20.100000000000001" customHeight="1" x14ac:dyDescent="0.25">
      <c r="A45" s="5" t="str">
        <f>HYPERLINK("#'10.1.1-2 Solid waste treatment'!A1", "10.1.1-2 Solid waste treatment")</f>
        <v>10.1.1-2 Solid waste treatment</v>
      </c>
      <c r="D45" s="35" t="s">
        <v>740</v>
      </c>
      <c r="E45" s="216">
        <f>SUM(P25:P31)</f>
        <v>0</v>
      </c>
      <c r="F45" s="26" t="str">
        <f t="shared" si="2"/>
        <v>t CO2-e</v>
      </c>
    </row>
    <row r="46" spans="1:17" ht="20.100000000000001" customHeight="1" x14ac:dyDescent="0.25">
      <c r="D46" s="35" t="s">
        <v>741</v>
      </c>
      <c r="E46" s="216">
        <f>SUM(Q25:Q31)</f>
        <v>0</v>
      </c>
      <c r="F46" s="26" t="str">
        <f t="shared" si="2"/>
        <v>t CO2-e</v>
      </c>
    </row>
    <row r="47" spans="1:17" ht="20.100000000000001" customHeight="1" x14ac:dyDescent="0.25">
      <c r="H47" s="173"/>
      <c r="I47" s="173"/>
      <c r="J47" s="173"/>
      <c r="L47" s="173"/>
      <c r="N47" s="173"/>
      <c r="O47" s="173"/>
      <c r="P47" s="173"/>
      <c r="Q47" s="173"/>
    </row>
    <row r="48" spans="1:17" ht="20.100000000000001" customHeight="1" x14ac:dyDescent="0.25">
      <c r="A48" s="97" t="s">
        <v>1</v>
      </c>
      <c r="D48" s="213" t="str">
        <f>"Total scope 1 - " &amp; D32</f>
        <v>Total scope 1 - Power standalone machinery or heating</v>
      </c>
      <c r="E48" s="217"/>
      <c r="F48" s="215"/>
      <c r="H48" s="173"/>
      <c r="I48" s="173"/>
      <c r="J48" s="173"/>
      <c r="L48" s="173"/>
      <c r="N48" s="173"/>
      <c r="O48" s="173"/>
      <c r="P48" s="173"/>
      <c r="Q48" s="173"/>
    </row>
    <row r="49" spans="1:17" ht="20.100000000000001" customHeight="1" x14ac:dyDescent="0.25">
      <c r="A49" s="5" t="str">
        <f>HYPERLINK("#'Constants - Pasture Beef'!A1", "Constants - Pasture Beef")</f>
        <v>Constants - Pasture Beef</v>
      </c>
      <c r="D49" s="35" t="s">
        <v>738</v>
      </c>
      <c r="E49" s="216">
        <f>SUM(N32:N40)</f>
        <v>29.070800000000002</v>
      </c>
      <c r="F49" s="26" t="str">
        <f t="shared" ref="F49:F52" si="3">$E$12</f>
        <v>t CO2-e</v>
      </c>
      <c r="H49" s="173"/>
      <c r="I49" s="173"/>
      <c r="J49" s="173"/>
      <c r="L49" s="173"/>
      <c r="N49" s="173"/>
      <c r="O49" s="173"/>
      <c r="P49" s="173"/>
      <c r="Q49" s="173"/>
    </row>
    <row r="50" spans="1:17" ht="20.100000000000001" customHeight="1" x14ac:dyDescent="0.25">
      <c r="A50" s="5" t="str">
        <f>HYPERLINK("#'Constants - Ag Residue'!A1", "Constants - Ag residue")</f>
        <v>Constants - Ag residue</v>
      </c>
      <c r="D50" s="35" t="s">
        <v>739</v>
      </c>
      <c r="E50" s="216">
        <f>SUM(O32:O40)</f>
        <v>7.2400000000000006E-2</v>
      </c>
      <c r="F50" s="26" t="str">
        <f t="shared" si="3"/>
        <v>t CO2-e</v>
      </c>
      <c r="H50" s="173"/>
      <c r="I50" s="173"/>
      <c r="J50" s="173"/>
      <c r="L50" s="173"/>
      <c r="N50" s="173"/>
      <c r="O50" s="173"/>
      <c r="P50" s="173"/>
      <c r="Q50" s="173"/>
    </row>
    <row r="51" spans="1:17" ht="20.100000000000001" customHeight="1" x14ac:dyDescent="0.25">
      <c r="A51" s="5" t="str">
        <f>HYPERLINK("#'Constants - Common Livestock'!A1", "Constants - Common Livestock")</f>
        <v>Constants - Common Livestock</v>
      </c>
      <c r="D51" s="35" t="s">
        <v>740</v>
      </c>
      <c r="E51" s="216">
        <f>SUM(P32:P40)</f>
        <v>7.1400000000000005E-2</v>
      </c>
      <c r="F51" s="26" t="str">
        <f t="shared" si="3"/>
        <v>t CO2-e</v>
      </c>
      <c r="H51" s="173"/>
      <c r="I51" s="173"/>
      <c r="J51" s="173"/>
      <c r="L51" s="173"/>
      <c r="N51" s="173"/>
      <c r="O51" s="173"/>
      <c r="P51" s="173"/>
      <c r="Q51" s="173"/>
    </row>
    <row r="52" spans="1:17" ht="20.100000000000001" customHeight="1" x14ac:dyDescent="0.25">
      <c r="A52" s="5" t="str">
        <f>HYPERLINK("#'Constants - Electricity'!A1", "Constants - Electricity")</f>
        <v>Constants - Electricity</v>
      </c>
      <c r="D52" s="35" t="s">
        <v>741</v>
      </c>
      <c r="E52" s="216">
        <f>SUM(Q32:Q40)</f>
        <v>6.2923999999999998</v>
      </c>
      <c r="F52" s="26" t="str">
        <f t="shared" si="3"/>
        <v>t CO2-e</v>
      </c>
      <c r="G52" s="173"/>
      <c r="H52" s="173"/>
      <c r="I52" s="173"/>
      <c r="J52" s="173"/>
      <c r="L52" s="173"/>
      <c r="N52" s="173"/>
      <c r="O52" s="173"/>
      <c r="P52" s="173"/>
      <c r="Q52" s="173"/>
    </row>
    <row r="53" spans="1:17" ht="20.100000000000001" customHeight="1" x14ac:dyDescent="0.25">
      <c r="A53" s="5" t="str">
        <f>HYPERLINK("#'Constants - Fertiliser'!A1", "Constants - Fertiliser")</f>
        <v>Constants - Fertiliser</v>
      </c>
      <c r="G53" s="173"/>
      <c r="H53" s="173"/>
      <c r="I53" s="173"/>
      <c r="J53" s="173"/>
      <c r="L53" s="173"/>
      <c r="N53" s="173"/>
      <c r="O53" s="173"/>
      <c r="P53" s="173"/>
      <c r="Q53" s="173"/>
    </row>
    <row r="54" spans="1:17" ht="20.100000000000001" customHeight="1" x14ac:dyDescent="0.25">
      <c r="A54" s="5" t="str">
        <f>HYPERLINK("#'Constants - Fuel'!A1", "Constants - Fuel")</f>
        <v>Constants - Fuel</v>
      </c>
      <c r="D54" s="213" t="s">
        <v>752</v>
      </c>
      <c r="E54" s="217"/>
      <c r="F54" s="215"/>
      <c r="G54" s="173"/>
      <c r="H54" s="173"/>
      <c r="I54" s="173"/>
      <c r="J54" s="173"/>
      <c r="L54" s="173"/>
      <c r="N54" s="173"/>
      <c r="O54" s="173"/>
      <c r="P54" s="173"/>
      <c r="Q54" s="173"/>
    </row>
    <row r="55" spans="1:17" ht="20.100000000000001" customHeight="1" x14ac:dyDescent="0.25">
      <c r="A55" s="5" t="str">
        <f>HYPERLINK("#'Constants - Scope 3'!A1", "Constants - Scope 3")</f>
        <v>Constants - Scope 3</v>
      </c>
      <c r="D55" s="35" t="s">
        <v>738</v>
      </c>
      <c r="E55" s="216">
        <f>E43+E49</f>
        <v>29.070800000000002</v>
      </c>
      <c r="F55" s="26" t="str">
        <f t="shared" ref="F55:F58" si="4">$E$12</f>
        <v>t CO2-e</v>
      </c>
      <c r="G55" s="173"/>
      <c r="H55" s="173"/>
      <c r="I55" s="173"/>
      <c r="J55" s="173"/>
      <c r="L55" s="173"/>
      <c r="N55" s="173"/>
      <c r="O55" s="173"/>
      <c r="P55" s="173"/>
      <c r="Q55" s="173"/>
    </row>
    <row r="56" spans="1:17" ht="20.100000000000001" customHeight="1" x14ac:dyDescent="0.25">
      <c r="A56" s="5" t="str">
        <f>HYPERLINK("#'Constants - Common'!A1", "Constants - Common")</f>
        <v>Constants - Common</v>
      </c>
      <c r="D56" s="35" t="s">
        <v>739</v>
      </c>
      <c r="E56" s="216">
        <f>E44+E50</f>
        <v>7.2400000000000006E-2</v>
      </c>
      <c r="F56" s="26" t="str">
        <f t="shared" si="4"/>
        <v>t CO2-e</v>
      </c>
      <c r="H56" s="173"/>
    </row>
    <row r="57" spans="1:17" ht="20.100000000000001" customHeight="1" x14ac:dyDescent="0.25">
      <c r="A57" s="5" t="str">
        <f>HYPERLINK("#'Acknowledgements'!A1", "Acknowledgements")</f>
        <v>Acknowledgements</v>
      </c>
      <c r="D57" s="35" t="s">
        <v>740</v>
      </c>
      <c r="E57" s="216">
        <f>E45+E51</f>
        <v>7.1400000000000005E-2</v>
      </c>
      <c r="F57" s="26" t="str">
        <f t="shared" si="4"/>
        <v>t CO2-e</v>
      </c>
      <c r="G57" s="173"/>
      <c r="H57" s="173"/>
      <c r="I57" s="173"/>
      <c r="J57" s="173"/>
      <c r="L57" s="173"/>
      <c r="N57" s="173"/>
      <c r="O57" s="173"/>
      <c r="P57" s="173"/>
      <c r="Q57" s="173"/>
    </row>
    <row r="58" spans="1:17" ht="20.100000000000001" customHeight="1" x14ac:dyDescent="0.25">
      <c r="A58" s="5" t="str">
        <f>HYPERLINK("#'Constants - Solid Waste'!A1", "Constants - Solid Waste")</f>
        <v>Constants - Solid Waste</v>
      </c>
      <c r="D58" s="35" t="s">
        <v>741</v>
      </c>
      <c r="E58" s="216">
        <f>E46+E52</f>
        <v>6.2923999999999998</v>
      </c>
      <c r="F58" s="26" t="str">
        <f t="shared" si="4"/>
        <v>t CO2-e</v>
      </c>
      <c r="G58" s="173"/>
      <c r="H58" s="173"/>
      <c r="I58" s="173"/>
      <c r="J58" s="173"/>
      <c r="L58" s="173"/>
      <c r="N58" s="173"/>
      <c r="O58" s="173"/>
      <c r="P58" s="173"/>
      <c r="Q58" s="173"/>
    </row>
    <row r="59" spans="1:17" ht="20.100000000000001" customHeight="1" x14ac:dyDescent="0.25">
      <c r="G59" s="173"/>
      <c r="H59" s="173"/>
      <c r="I59" s="173"/>
      <c r="J59" s="173"/>
      <c r="L59" s="173"/>
      <c r="N59" s="173"/>
      <c r="O59" s="173"/>
      <c r="P59" s="173"/>
      <c r="Q59" s="173"/>
    </row>
    <row r="60" spans="1:17" ht="20.100000000000001" customHeight="1" x14ac:dyDescent="0.25">
      <c r="G60" s="173"/>
      <c r="H60" s="173"/>
      <c r="I60" s="173"/>
      <c r="J60" s="173"/>
      <c r="L60" s="173"/>
      <c r="N60" s="173"/>
      <c r="O60" s="173"/>
      <c r="P60" s="173"/>
      <c r="Q60" s="173"/>
    </row>
    <row r="61" spans="1:17" ht="20.100000000000001" customHeight="1" x14ac:dyDescent="0.25">
      <c r="G61" s="173"/>
      <c r="H61" s="173"/>
      <c r="I61" s="173"/>
      <c r="J61" s="173"/>
      <c r="L61" s="173"/>
      <c r="N61" s="173"/>
      <c r="O61" s="173"/>
      <c r="P61" s="173"/>
      <c r="Q61" s="173"/>
    </row>
    <row r="62" spans="1:17" ht="20.100000000000001" customHeight="1" x14ac:dyDescent="0.25">
      <c r="G62" s="173"/>
      <c r="H62" s="173"/>
      <c r="I62" s="173"/>
      <c r="J62" s="173"/>
      <c r="L62" s="173"/>
      <c r="N62" s="173"/>
      <c r="O62" s="173"/>
      <c r="P62" s="173"/>
      <c r="Q62" s="173"/>
    </row>
    <row r="63" spans="1:17" ht="20.100000000000001" customHeight="1" x14ac:dyDescent="0.25">
      <c r="G63" s="173"/>
      <c r="H63" s="173"/>
      <c r="I63" s="173"/>
      <c r="J63" s="173"/>
      <c r="L63" s="173"/>
      <c r="N63" s="173"/>
      <c r="O63" s="173"/>
      <c r="P63" s="173"/>
      <c r="Q63" s="173"/>
    </row>
    <row r="64" spans="1:17" ht="20.100000000000001" customHeight="1" x14ac:dyDescent="0.25">
      <c r="G64" s="173"/>
      <c r="H64" s="173"/>
      <c r="I64" s="173"/>
      <c r="J64" s="173"/>
      <c r="L64" s="173"/>
      <c r="N64" s="173"/>
      <c r="O64" s="173"/>
      <c r="P64" s="173"/>
      <c r="Q64" s="173"/>
    </row>
    <row r="65" spans="7:17" ht="20.100000000000001" customHeight="1" x14ac:dyDescent="0.25">
      <c r="G65" s="173"/>
      <c r="H65" s="173"/>
      <c r="I65" s="173"/>
      <c r="J65" s="173"/>
      <c r="L65" s="173"/>
      <c r="N65" s="173"/>
      <c r="O65" s="173"/>
      <c r="P65" s="173"/>
      <c r="Q65" s="173"/>
    </row>
    <row r="66" spans="7:17" ht="20.100000000000001" customHeight="1" x14ac:dyDescent="0.25">
      <c r="G66" s="173"/>
      <c r="H66" s="173"/>
      <c r="I66" s="173"/>
      <c r="J66" s="173"/>
      <c r="L66" s="173"/>
      <c r="N66" s="173"/>
      <c r="O66" s="173"/>
      <c r="P66" s="173"/>
      <c r="Q66" s="173"/>
    </row>
    <row r="67" spans="7:17" ht="20.100000000000001" customHeight="1" x14ac:dyDescent="0.25">
      <c r="G67" s="173"/>
    </row>
    <row r="68" spans="7:17" ht="20.100000000000001" customHeight="1" x14ac:dyDescent="0.25">
      <c r="G68" s="173"/>
    </row>
    <row r="69" spans="7:17" ht="20.100000000000001" customHeight="1" x14ac:dyDescent="0.25">
      <c r="G69" s="173"/>
    </row>
    <row r="70" spans="7:17" ht="20.100000000000001" customHeight="1" x14ac:dyDescent="0.25">
      <c r="G70" s="173"/>
    </row>
    <row r="71" spans="7:17" ht="20.100000000000001" customHeight="1" x14ac:dyDescent="0.25">
      <c r="G71" s="173"/>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77B8-2E71-4C19-9F29-3208E0DF233B}">
  <dimension ref="A1:K342"/>
  <sheetViews>
    <sheetView showGridLines="0" topLeftCell="C16"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688</v>
      </c>
    </row>
    <row r="2" spans="1:11" s="3" customFormat="1" ht="20.100000000000001" customHeight="1" x14ac:dyDescent="0.25">
      <c r="A2"/>
    </row>
    <row r="3" spans="1:11" ht="20.100000000000001" customHeight="1" x14ac:dyDescent="0.25">
      <c r="A3" s="5" t="str">
        <f>HYPERLINK("#'Home'!A1", "Home")</f>
        <v>Home</v>
      </c>
      <c r="C3" s="33"/>
      <c r="D3" s="33" t="s">
        <v>148</v>
      </c>
      <c r="E3" s="33"/>
      <c r="F3" s="33"/>
      <c r="G3" s="33"/>
      <c r="H3" s="33"/>
      <c r="I3" s="33"/>
      <c r="J3" s="33"/>
      <c r="K3" s="33"/>
    </row>
    <row r="4" spans="1:11" ht="20.100000000000001" customHeight="1" x14ac:dyDescent="0.25">
      <c r="A4" s="5" t="str">
        <f>HYPERLINK("#'Overview'!A1", "Overview")</f>
        <v>Overview</v>
      </c>
    </row>
    <row r="5" spans="1:11" ht="20.100000000000001" customHeight="1" x14ac:dyDescent="0.25">
      <c r="A5" s="5" t="str">
        <f>HYPERLINK("#'Results'!A1", "Results")</f>
        <v>Results</v>
      </c>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D7" s="3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00" t="s">
        <v>259</v>
      </c>
      <c r="E8" s="100"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Pasture Beef'!A1", "Pasture Beef")</f>
        <v>Pasture Beef</v>
      </c>
      <c r="D11" s="88" t="s">
        <v>261</v>
      </c>
      <c r="E11" s="1" t="str" cm="1">
        <f t="array" ref="E11">Electricity_Equations.VEERG_14_1_1__1_LocationBasedScopeElectricityEmissions_Variable()</f>
        <v>E_2elec</v>
      </c>
    </row>
    <row r="12" spans="1:11" ht="20.100000000000001" customHeight="1" x14ac:dyDescent="0.25">
      <c r="A12" s="5" t="str">
        <f>HYPERLINK("#'Input - Pasture Beef (Enteric)'!A1", "Pasture Beef (Enteric)")</f>
        <v>Pasture Beef (Enteric)</v>
      </c>
      <c r="D12" s="88" t="s">
        <v>131</v>
      </c>
      <c r="E12" s="15" t="str" cm="1">
        <f t="array" ref="E12">Electricity_Equations.VEERG_14_1_1__1_LocationBasedScopeElectricityEmissions_Unit()</f>
        <v>t CO2e</v>
      </c>
    </row>
    <row r="13" spans="1:11" ht="20.100000000000001" customHeight="1" x14ac:dyDescent="0.25">
      <c r="A13" s="5" t="str">
        <f>HYPERLINK("#'Input - Livestock sales'!A1", "Livestock sales")</f>
        <v>Livestock sales</v>
      </c>
    </row>
    <row r="14" spans="1:11" ht="20.100000000000001" customHeight="1" x14ac:dyDescent="0.25">
      <c r="A14" s="5" t="str">
        <f>HYPERLINK("#'Input - Beef cattle purchases'!A1", "Beef cattle purchases")</f>
        <v>Beef cattle purchases</v>
      </c>
      <c r="D14" s="102" t="str" cm="1">
        <f t="array" ref="D14:E16">_xlfn.CHOOSECOLS(Electricity_Equations.VEERG_14_1_1__1_LocationBasedScopeElectricityEmissions_Arguments(),1,2)</f>
        <v>Q_elec</v>
      </c>
      <c r="E14" s="103" t="str">
        <v>amount of electricity purchased from the grid</v>
      </c>
      <c r="F14" s="105"/>
      <c r="G14" s="102" t="str" cm="1">
        <f t="array" ref="G14:H16">_xlfn.CHOOSECOLS(Electricity_Equations.VEERG_14_1_1__1_LocationBasedScopeElectricityEmissions_Arguments(),3,4)</f>
        <v>kWh</v>
      </c>
      <c r="H14" s="106" t="str">
        <v>Input</v>
      </c>
      <c r="I14" s="103">
        <f>X_Cell_Electricity_Location_AmountPurchasedInkWh</f>
        <v>30000</v>
      </c>
      <c r="J14" s="105"/>
    </row>
    <row r="15" spans="1:11" ht="20.100000000000001" customHeight="1" x14ac:dyDescent="0.25">
      <c r="A15" s="5" t="str">
        <f>HYPERLINK("#'Input - Pasture'!A1", "Pasture")</f>
        <v>Pasture</v>
      </c>
      <c r="D15" s="102" t="str">
        <v>EF_2elec</v>
      </c>
      <c r="E15" s="103" t="str">
        <v>location-based Scope 2 emission factor for electricity</v>
      </c>
      <c r="F15" s="105"/>
      <c r="G15" s="102" t="str">
        <v>kg CO2e/kWh</v>
      </c>
      <c r="H15" s="107" t="str">
        <v>Constant</v>
      </c>
      <c r="I15" s="103" cm="1">
        <f t="array" ref="I15">Common_InputFunctions.Utility_LookupValueInTableNumber(I16,Table_SourceData_ElectricityEFs[State, Territory or grid description],Table_SourceData_ElectricityEFs[Scope 2 Emission Factors (kg CO2-e/kWh)])</f>
        <v>0.56000000000000005</v>
      </c>
      <c r="J15" s="105"/>
    </row>
    <row r="16" spans="1:11" ht="20.100000000000001" customHeight="1" x14ac:dyDescent="0.25">
      <c r="A16" s="5" t="str">
        <f>HYPERLINK("#'Input - Fert Prod System'!A1", "Fert Prod System")</f>
        <v>Fert Prod System</v>
      </c>
      <c r="D16" s="102" t="str">
        <v>g</v>
      </c>
      <c r="E16" s="103" t="str">
        <v>Grid electricity was purchased from</v>
      </c>
      <c r="F16" s="105"/>
      <c r="G16" s="102" t="str">
        <v/>
      </c>
      <c r="H16" s="106" t="str">
        <v>Input</v>
      </c>
      <c r="I16" s="103" t="str">
        <f>X_Cell_Electricity_Location_GridElectricityPurchasedFrom</f>
        <v>Western Australia - North Western Interconnected System (NWIS)</v>
      </c>
      <c r="J16" s="105"/>
    </row>
    <row r="17" spans="1:11" ht="20.100000000000001" customHeight="1" x14ac:dyDescent="0.25">
      <c r="A17" s="5" t="str">
        <f>HYPERLINK("#'Input - Fertiliser'!A1", "Fertiliser")</f>
        <v>Fertiliser</v>
      </c>
    </row>
    <row r="18" spans="1:11" ht="20.100000000000001" customHeight="1" x14ac:dyDescent="0.25">
      <c r="A18" s="5" t="str">
        <f>HYPERLINK("#'Input - Fuel'!A1", "Fuel")</f>
        <v>Fuel</v>
      </c>
      <c r="D18" s="115" t="s">
        <v>689</v>
      </c>
      <c r="E18" s="116" cm="1">
        <f t="array" ref="E18">Electricity_Equations.VEERG_14_1_1__1_LocationBasedScopeElectricityEmissions(I14,I15)</f>
        <v>16.8</v>
      </c>
      <c r="F18" s="117" t="str">
        <f>$E$12</f>
        <v>t CO2e</v>
      </c>
    </row>
    <row r="19" spans="1:11" ht="20.100000000000001" customHeight="1" x14ac:dyDescent="0.25">
      <c r="A19" s="5" t="str">
        <f>HYPERLINK("#'Input - Electricity'!A1", "Electricity")</f>
        <v>Electricity</v>
      </c>
    </row>
    <row r="20" spans="1:11" ht="20.100000000000001" customHeight="1" x14ac:dyDescent="0.25">
      <c r="A20" s="5" t="str">
        <f>HYPERLINK("#'Input - Farm Inputs'!A1", "Farm Inputs")</f>
        <v>Farm Inputs</v>
      </c>
    </row>
    <row r="21" spans="1:11" ht="20.100000000000001" customHeight="1" x14ac:dyDescent="0.25">
      <c r="A21" s="5" t="str">
        <f>HYPERLINK("#'Input - Freight'!A1", "Freight")</f>
        <v>Freight</v>
      </c>
      <c r="C21" s="114"/>
      <c r="D21" s="114"/>
      <c r="E21" s="114"/>
      <c r="F21" s="114"/>
      <c r="G21" s="114"/>
      <c r="H21" s="114"/>
      <c r="I21" s="114"/>
      <c r="J21" s="114"/>
      <c r="K21" s="114"/>
    </row>
    <row r="22" spans="1:11" ht="20.100000000000001" customHeight="1" x14ac:dyDescent="0.25">
      <c r="A22" s="5" t="str">
        <f>HYPERLINK("#'Input - Manure sent off-site'!A1", "Manure sent off-site")</f>
        <v>Manure sent off-site</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Solid waste'!A1", "Solid waste")</f>
        <v>Solid waste</v>
      </c>
      <c r="D23" s="27" t="str" cm="1">
        <f t="array" ref="D23">Electricity_Equations.VEERG_14_1_2__1_MarketBasedScopeElectricityEmissions_Source()</f>
        <v>VEERG 2026: 14.1.2, Equation (1)</v>
      </c>
    </row>
    <row r="24" spans="1:11" ht="20.100000000000001" customHeight="1" x14ac:dyDescent="0.25">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00" t="s">
        <v>259</v>
      </c>
      <c r="E25" s="100"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6" t="s">
        <v>2</v>
      </c>
    </row>
    <row r="27" spans="1:11" ht="20.100000000000001" customHeight="1" x14ac:dyDescent="0.25">
      <c r="A27" s="5" t="str">
        <f>HYPERLINK("#'3.2.1.1-2 Enteric Methane'!A1", "3.2.1.1-2 Enteric methane")</f>
        <v>3.2.1.1-2 Enteric methane</v>
      </c>
    </row>
    <row r="28" spans="1:11" ht="20.100000000000001" customHeight="1" x14ac:dyDescent="0.25">
      <c r="A28" s="5" t="str">
        <f>HYPERLINK("#'4.2.1.1-2 Methane'!A1", "4.2.1.1-2 Manure methane")</f>
        <v>4.2.1.1-2 Manure methane</v>
      </c>
      <c r="D28" s="88" t="s">
        <v>261</v>
      </c>
      <c r="E28" s="1" t="str" cm="1">
        <f t="array" ref="E28">Electricity_Equations.VEERG_14_1_2__1_MarketBasedScopeElectricityEmissions_Variable()</f>
        <v>E_2elec</v>
      </c>
    </row>
    <row r="29" spans="1:11" ht="20.100000000000001" customHeight="1" x14ac:dyDescent="0.25">
      <c r="A29" s="5" t="str">
        <f>HYPERLINK("#'4.2.1.3-4 Soil direct N20'!A1", "4.2.1.3-4 Soil direct N2O")</f>
        <v>4.2.1.3-4 Soil direct N2O</v>
      </c>
      <c r="D29" s="88" t="s">
        <v>131</v>
      </c>
      <c r="E29" s="15" t="str" cm="1">
        <f t="array" ref="E29">Electricity_Equations.VEERG_14_1_2__1_MarketBasedScopeElectricityEmissions_Unit()</f>
        <v>t CO2e</v>
      </c>
    </row>
    <row r="30" spans="1:11" ht="20.100000000000001" customHeight="1" x14ac:dyDescent="0.25">
      <c r="A30" s="5" t="str">
        <f>HYPERLINK("#'4.2.1.5-6 Soil Atmos Dep'!A1", "4.2.1.5-6 Soil atm. deposition")</f>
        <v>4.2.1.5-6 Soil atm. deposition</v>
      </c>
    </row>
    <row r="31" spans="1:11" ht="20.100000000000001" customHeight="1" x14ac:dyDescent="0.25">
      <c r="A31" s="5" t="str">
        <f>HYPERLINK("#'4.2.1.7-8 Soil leach runoff'!A1", "4.2.1.7-8 Soil leach &amp; runoff")</f>
        <v>4.2.1.7-8 Soil leach &amp; runoff</v>
      </c>
      <c r="D31" s="102" t="str" cm="1">
        <f t="array" ref="D31:E37">_xlfn.CHOOSECOLS(Electricity_Equations.VEERG_14_1_2__1_MarketBasedScopeElectricityEmissions_Arguments(),1,2)</f>
        <v>Q_elec</v>
      </c>
      <c r="E31" s="103" t="str">
        <v>amount of electricity purchased from the grid</v>
      </c>
      <c r="F31" s="104"/>
      <c r="G31" s="104"/>
      <c r="H31" s="102" t="str" cm="1">
        <f t="array" ref="H31:I37">_xlfn.CHOOSECOLS(Electricity_Equations.VEERG_14_1_2__1_MarketBasedScopeElectricityEmissions_Arguments(),3,4)</f>
        <v>kWh</v>
      </c>
      <c r="I31" s="106" t="str">
        <v>Input</v>
      </c>
      <c r="J31" s="102">
        <f>X_Cell_Electricity_Market_AmountPurchasedExcludingGreenPower</f>
        <v>30000</v>
      </c>
    </row>
    <row r="32" spans="1:11" ht="20.100000000000001" customHeight="1" x14ac:dyDescent="0.25">
      <c r="A32" s="5" t="str">
        <f>HYPERLINK("#'5.1.1.1-2 Inorganic fert N2O'!A1", "5.1.1.1-2 Inorganic fert N2O")</f>
        <v>5.1.1.1-2 Inorganic fert N2O</v>
      </c>
      <c r="D32" s="102" t="str">
        <v>RPP</v>
      </c>
      <c r="E32" s="103" t="str">
        <v>Renewable Power Percentage under the Large-scale Renewable Energy Target (LRET)</v>
      </c>
      <c r="F32" s="104"/>
      <c r="G32" s="104"/>
      <c r="H32" s="102" t="str">
        <v>per cent</v>
      </c>
      <c r="I32" s="106" t="str">
        <v>Input</v>
      </c>
      <c r="J32" s="190">
        <f>X_Cell_Electricity_Market_RenewablePowerPercentage</f>
        <v>0.1</v>
      </c>
    </row>
    <row r="33" spans="1:10" ht="20.100000000000001" customHeight="1" x14ac:dyDescent="0.25">
      <c r="A33" s="5" t="str">
        <f>HYPERLINK("#'5.1.1.3-4 Inorganic fert CO2'!A1", "5.1.1.3-4 Inorganic fert CO2")</f>
        <v>5.1.1.3-4 Inorganic fert CO2</v>
      </c>
      <c r="D33" s="102" t="str">
        <v>JRPP</v>
      </c>
      <c r="E33" s="103" t="str">
        <v>jurisdictional renewable power percentage for the applicable period (ACT only)</v>
      </c>
      <c r="F33" s="104"/>
      <c r="G33" s="104"/>
      <c r="H33" s="102" t="str">
        <v>per cent</v>
      </c>
      <c r="I33" s="106" t="str">
        <v>Input</v>
      </c>
      <c r="J33" s="190" t="str">
        <f>IF(J37="ACT", X_Cell_Electricity_Market_JurisdictionalRenewablePowerPercentage, "N/A")</f>
        <v>N/A</v>
      </c>
    </row>
    <row r="34" spans="1:10" ht="20.100000000000001" customHeight="1" x14ac:dyDescent="0.25">
      <c r="A34" s="5" t="str">
        <f>HYPERLINK("#'5.2.1.1-2 Organic Fert N2O'!A1", "5.2.1.1-2 Organic fert N2O")</f>
        <v>5.2.1.1-2 Organic fert N2O</v>
      </c>
      <c r="D34" s="102" t="str">
        <v>REC_surrendered</v>
      </c>
      <c r="E34" s="103" t="str">
        <v>Renewable Energy Certificates voluntarily surrendered in the reporting year</v>
      </c>
      <c r="F34" s="104"/>
      <c r="G34" s="104"/>
      <c r="H34" s="102" t="str">
        <v>MWh</v>
      </c>
      <c r="I34" s="106" t="str">
        <v>Input</v>
      </c>
      <c r="J34" s="102">
        <f>(X_Cell_Electricity_Market_AmountPurchasedGreenPower*10^-3)+X_Cell_TotalElegibleVoluntarilySurrenderedRECs</f>
        <v>10</v>
      </c>
    </row>
    <row r="35" spans="1:10" ht="20.100000000000001" customHeight="1" x14ac:dyDescent="0.25">
      <c r="A35" s="5" t="str">
        <f>HYPERLINK("#'5.3.1.1-2 Lime CO2'!A1", "5.3.1.1-2 Lime CO2")</f>
        <v>5.3.1.1-2 Lime CO2</v>
      </c>
      <c r="D35" s="102" t="str">
        <v>REC_onsite</v>
      </c>
      <c r="E35" s="103" t="str">
        <v>Renewable Energy Certificates issued for electricity produced on-site during the year and consumed by the entity</v>
      </c>
      <c r="F35" s="104"/>
      <c r="G35" s="104"/>
      <c r="H35" s="102" t="str">
        <v>MWh</v>
      </c>
      <c r="I35" s="106" t="str">
        <v>Input</v>
      </c>
      <c r="J35" s="102">
        <f>X_Cell_TotalElegibleRECsForElectricityProducedOnSite</f>
        <v>0</v>
      </c>
    </row>
    <row r="36" spans="1:10" ht="20.100000000000001" customHeight="1" x14ac:dyDescent="0.25">
      <c r="A36" s="5" t="str">
        <f>HYPERLINK("#'5.4.1.1-4 Atmos deposition'!A1", "5.4.1.1-4 Atmos. deposition")</f>
        <v>5.4.1.1-4 Atmos. deposition</v>
      </c>
      <c r="D36" s="102" t="str">
        <v>EF_RMF2elec</v>
      </c>
      <c r="E36" s="103" t="str">
        <v>Scope 2 residual mix emission factor for electricity</v>
      </c>
      <c r="F36" s="104"/>
      <c r="G36" s="104"/>
      <c r="H36" s="102" t="str">
        <v>kg CO2e/kWh</v>
      </c>
      <c r="I36" s="107" t="str">
        <v>Constant</v>
      </c>
      <c r="J36" s="102" cm="1">
        <f t="array" ref="J36">Table_SourceData_ElectricityEFsMarketBased[Scope 2 EF (kg CO2-e/kWh)]</f>
        <v>0.81</v>
      </c>
    </row>
    <row r="37" spans="1:10" ht="20.100000000000001" customHeight="1" x14ac:dyDescent="0.25">
      <c r="A37" s="5" t="str">
        <f>HYPERLINK("#'5.5.1.1-2 Leaching and runoff'!A1", "5.5.1.1-2 Leaching &amp; runoff")</f>
        <v>5.5.1.1-2 Leaching &amp; runoff</v>
      </c>
      <c r="D37" s="102" t="str">
        <v>i</v>
      </c>
      <c r="E37" s="103" t="str">
        <v>state</v>
      </c>
      <c r="F37" s="104"/>
      <c r="G37" s="105"/>
      <c r="H37" s="102" t="str">
        <v/>
      </c>
      <c r="I37" s="106" t="str">
        <v>Input</v>
      </c>
      <c r="J37" s="102" t="str">
        <f>X_Cell_Site_State</f>
        <v>Western Australia</v>
      </c>
    </row>
    <row r="38" spans="1:10" ht="20.100000000000001" customHeight="1" x14ac:dyDescent="0.25">
      <c r="A38" s="5" t="str">
        <f>HYPERLINK("#'6.2.1.1-2 Pasture residue N2O'!A1", "6.2.1.1-2 Pasture residue N2O")</f>
        <v>6.2.1.1-2 Pasture residue N2O</v>
      </c>
    </row>
    <row r="39" spans="1:10" ht="20.100000000000001" customHeight="1" x14ac:dyDescent="0.25">
      <c r="A39" s="5" t="str">
        <f>HYPERLINK("#'6.3.1.1-2 Leach runoff pasture'!A1", "6.3.1.1-2 Leach &amp; runoff (pasture)")</f>
        <v>6.3.1.1-2 Leach &amp; runoff (pasture)</v>
      </c>
      <c r="D39" s="115" t="s">
        <v>689</v>
      </c>
      <c r="E39" s="116" cm="1">
        <f t="array" ref="E39">Electricity_Equations.VEERG_14_1_2__1_MarketBasedScopeElectricityEmissionsVariation(J31,J32,IF(ISNUMBER(J33), J33, 0),J34,J35,J36)</f>
        <v>13.77</v>
      </c>
      <c r="F39" s="117" t="str">
        <f>E29</f>
        <v>t CO2e</v>
      </c>
    </row>
    <row r="40" spans="1:10" ht="20.100000000000001" customHeight="1" x14ac:dyDescent="0.25">
      <c r="A40" s="5" t="str">
        <f>HYPERLINK("#'8.1.1.1-2 Transport fuel'!A1", "8.1.1.1-2 Transport fuel")</f>
        <v>8.1.1.1-2 Transport fuel</v>
      </c>
      <c r="H40" s="1" t="s">
        <v>683</v>
      </c>
    </row>
    <row r="41" spans="1:10" ht="20.100000000000001" customHeight="1" x14ac:dyDescent="0.25">
      <c r="A41" s="5" t="str">
        <f>HYPERLINK("#'8.2.1.1-2 Stationary fuel'!A1", "8.2.1.1-2 Stationary fuel")</f>
        <v>8.2.1.1-2 Stationary fuel</v>
      </c>
    </row>
    <row r="42" spans="1:10" ht="20.100000000000001" customHeight="1" x14ac:dyDescent="0.25">
      <c r="A42" s="101" t="str">
        <f>HYPERLINK("#'14.1.1-2 Purchased electricity'!A1", "14.1.1-2 Purchased electricity")</f>
        <v>14.1.1-2 Purchased electricity</v>
      </c>
    </row>
    <row r="43" spans="1:10" ht="20.100000000000001" customHeight="1" x14ac:dyDescent="0.25">
      <c r="A43" s="5" t="str">
        <f>HYPERLINK("#'15 Scope 3'!A1", "15 Scope 3")</f>
        <v>15 Scope 3</v>
      </c>
    </row>
    <row r="44" spans="1:10" ht="20.100000000000001" customHeight="1" x14ac:dyDescent="0.25">
      <c r="A44" s="5" t="str">
        <f>HYPERLINK("#'Calcs - Manure sent off-site'!A1", "Calcs - Manure sent off-site")</f>
        <v>Calcs - Manure sent off-site</v>
      </c>
      <c r="E44" s="149"/>
    </row>
    <row r="45" spans="1:10" ht="20.100000000000001" customHeight="1" x14ac:dyDescent="0.25">
      <c r="A45" s="5" t="str">
        <f>HYPERLINK("#'10.1.1-2 Solid waste treatment'!A1", "10.1.1-2 Solid waste treatment")</f>
        <v>10.1.1-2 Solid waste treatment</v>
      </c>
    </row>
    <row r="46" spans="1:10" ht="20.100000000000001" customHeight="1" x14ac:dyDescent="0.25"/>
    <row r="47" spans="1:10" ht="20.100000000000001" customHeight="1" x14ac:dyDescent="0.25"/>
    <row r="48" spans="1:10"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A4F46777-94E7-4119-B5D4-F62892BA4124}"/>
  </dataValidation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78C2-35E0-46AF-9683-6CA1D79B8FE4}">
  <sheetPr>
    <tabColor theme="9" tint="-0.249977111117893"/>
  </sheetPr>
  <dimension ref="A1:AO642"/>
  <sheetViews>
    <sheetView showGridLines="0"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40" width="35" style="1" customWidth="1"/>
    <col min="41" max="41" width="5.28515625" style="1" customWidth="1"/>
    <col min="42" max="16384" width="9.140625" style="244"/>
  </cols>
  <sheetData>
    <row r="1" spans="1:41" s="31" customFormat="1" ht="30" customHeight="1" x14ac:dyDescent="0.35">
      <c r="A1" s="16" t="e" vm="1">
        <v>#VALUE!</v>
      </c>
      <c r="C1" s="31" t="s">
        <v>1061</v>
      </c>
    </row>
    <row r="2" spans="1:41" s="3" customFormat="1" ht="20.100000000000001" customHeight="1" x14ac:dyDescent="0.25">
      <c r="A2"/>
    </row>
    <row r="3" spans="1:4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row>
    <row r="4" spans="1:41" ht="20.100000000000001" customHeight="1" x14ac:dyDescent="0.25">
      <c r="A4" s="5" t="str">
        <f>HYPERLINK("#'Overview'!A1", "Overview")</f>
        <v>Overview</v>
      </c>
    </row>
    <row r="5" spans="1:41" ht="20.100000000000001" customHeight="1" x14ac:dyDescent="0.25">
      <c r="A5" s="5" t="str">
        <f>HYPERLINK("#'Results'!A1", "Results")</f>
        <v>Results</v>
      </c>
      <c r="D5" s="2" t="str" cm="1">
        <f t="array" ref="D5">Scope3_Equations.VEERG_15_1_1_1__1_EmissionsFromPurchasedLivestock_Title()</f>
        <v>Total emissions from purchased livestock</v>
      </c>
    </row>
    <row r="6" spans="1:41" ht="20.100000000000001" customHeight="1" x14ac:dyDescent="0.25">
      <c r="A6"/>
      <c r="D6" s="27" t="str" cm="1">
        <f t="array" ref="D6">Scope3_Equations.VEERG_15_1_1_1__1_EmissionsFromPurchasedLivestock_Source()</f>
        <v>VEERG 2026: 15.1.1.1, Equation (1)</v>
      </c>
    </row>
    <row r="7" spans="1:41" ht="20.100000000000001" customHeight="1" x14ac:dyDescent="0.25">
      <c r="A7"/>
      <c r="D7" s="100" t="s">
        <v>259</v>
      </c>
      <c r="E7" s="100"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00"/>
    </row>
    <row r="10" spans="1:41" ht="20.100000000000001" customHeight="1" x14ac:dyDescent="0.25">
      <c r="A10" s="5" t="str">
        <f>HYPERLINK("#'Input - Site'!A1", "Site")</f>
        <v>Site</v>
      </c>
      <c r="D10" s="88" t="s">
        <v>261</v>
      </c>
      <c r="E10" s="1" t="str" cm="1">
        <f t="array" ref="E10">Scope3_Equations.VEERG_15_1_1_1__1_EmissionsFromPurchasedLivestock_Variable()</f>
        <v>E</v>
      </c>
    </row>
    <row r="11" spans="1:41" ht="20.100000000000001" customHeight="1" x14ac:dyDescent="0.25">
      <c r="A11" s="5" t="str">
        <f>HYPERLINK("#'Input - Pasture Beef'!A1", "Pasture Beef")</f>
        <v>Pasture Beef</v>
      </c>
      <c r="D11" s="88" t="s">
        <v>131</v>
      </c>
      <c r="E11" s="15" t="str" cm="1">
        <f t="array" ref="E11">Scope3_Equations.VEERG_15_1_1_1__1_EmissionsFromPurchasedLivestock_Unit()</f>
        <v>t CO2e</v>
      </c>
    </row>
    <row r="12" spans="1:41" ht="20.100000000000001" customHeight="1" x14ac:dyDescent="0.25">
      <c r="A12" s="5" t="str">
        <f>HYPERLINK("#'Input - Pasture Beef (Enteric)'!A1", "Pasture Beef (Enteric)")</f>
        <v>Pasture Beef (Enteric)</v>
      </c>
    </row>
    <row r="13" spans="1:41" ht="20.100000000000001" customHeight="1" x14ac:dyDescent="0.25">
      <c r="A13" s="5" t="str">
        <f>HYPERLINK("#'Input - Livestock sales'!A1", "Livestock sales")</f>
        <v>Livestock sales</v>
      </c>
      <c r="D13" s="102" t="str" cm="1">
        <f t="array" ref="D13:E17">_xlfn.CHOOSECOLS(Scope3_Equations.VEERG_15_1_1_1__1_EmissionsFromPurchasedLivestock_Arguments(),1,2)</f>
        <v>N_co</v>
      </c>
      <c r="E13" s="103" t="str">
        <v>number of animals purchased in livestock type c from origin o</v>
      </c>
      <c r="F13" s="105"/>
      <c r="G13" s="102" t="str" cm="1">
        <f t="array" ref="G13:H17">_xlfn.CHOOSECOLS(Scope3_Equations.VEERG_15_1_1_1__1_EmissionsFromPurchasedLivestock_Arguments(),3,4)</f>
        <v>head</v>
      </c>
      <c r="H13" s="261" t="str">
        <v>Input</v>
      </c>
    </row>
    <row r="14" spans="1:41" ht="20.100000000000001" customHeight="1" x14ac:dyDescent="0.25">
      <c r="A14" s="5" t="str">
        <f>HYPERLINK("#'Input - Beef cattle purchases'!A1", "Beef cattle purchases")</f>
        <v>Beef cattle purchases</v>
      </c>
      <c r="D14" s="102" t="str">
        <v>W_co</v>
      </c>
      <c r="E14" s="103" t="str">
        <v>average liveweight of purchased livestock at point of purchase</v>
      </c>
      <c r="F14" s="105"/>
      <c r="G14" s="102" t="str">
        <v>kg/head</v>
      </c>
      <c r="H14" s="261" t="str">
        <v>Input</v>
      </c>
    </row>
    <row r="15" spans="1:41" ht="20.100000000000001" customHeight="1" x14ac:dyDescent="0.25">
      <c r="A15" s="5" t="str">
        <f>HYPERLINK("#'Input - Pasture'!A1", "Pasture")</f>
        <v>Pasture</v>
      </c>
      <c r="D15" s="102" t="str">
        <v>EF_co</v>
      </c>
      <c r="E15" s="103" t="str">
        <v>emission factor per livestock type and origin</v>
      </c>
      <c r="F15" s="105"/>
      <c r="G15" s="102" t="str">
        <v>kg CO2e/kg</v>
      </c>
      <c r="H15" s="107" t="str">
        <v>Constant</v>
      </c>
    </row>
    <row r="16" spans="1:41" ht="20.100000000000001" customHeight="1" x14ac:dyDescent="0.25">
      <c r="A16" s="5" t="str">
        <f>HYPERLINK("#'Input - Fert Prod System'!A1", "Fert Prod System")</f>
        <v>Fert Prod System</v>
      </c>
      <c r="D16" s="102" t="str">
        <v>c</v>
      </c>
      <c r="E16" s="103" t="str">
        <v>livestock type</v>
      </c>
      <c r="F16" s="105"/>
      <c r="G16" s="102" t="str">
        <v/>
      </c>
      <c r="H16" s="261" t="str">
        <v>Input</v>
      </c>
    </row>
    <row r="17" spans="1:16" ht="20.100000000000001" customHeight="1" x14ac:dyDescent="0.25">
      <c r="A17" s="5" t="str">
        <f>HYPERLINK("#'Input - Fertiliser'!A1", "Fertiliser")</f>
        <v>Fertiliser</v>
      </c>
      <c r="D17" s="102" t="str">
        <v>o</v>
      </c>
      <c r="E17" s="103" t="str">
        <v>origin</v>
      </c>
      <c r="F17" s="105"/>
      <c r="G17" s="102" t="str">
        <v/>
      </c>
      <c r="H17" s="261" t="str">
        <v>Input</v>
      </c>
    </row>
    <row r="18" spans="1:16" ht="20.100000000000001" customHeight="1" x14ac:dyDescent="0.25">
      <c r="A18" s="5" t="str">
        <f>HYPERLINK("#'Input - Fuel'!A1", "Fuel")</f>
        <v>Fuel</v>
      </c>
    </row>
    <row r="19" spans="1:16" ht="20.100000000000001" customHeight="1" x14ac:dyDescent="0.25">
      <c r="A19" s="5" t="str">
        <f>HYPERLINK("#'Input - Electricity'!A1", "Electricity")</f>
        <v>Electricity</v>
      </c>
      <c r="D19" s="46" t="s">
        <v>1062</v>
      </c>
      <c r="E19" s="48"/>
      <c r="F19" s="49"/>
    </row>
    <row r="20" spans="1:16" ht="20.100000000000001" customHeight="1" x14ac:dyDescent="0.25">
      <c r="A20" s="5" t="str">
        <f>HYPERLINK("#'Input - Farm Inputs'!A1", "Farm Inputs")</f>
        <v>Farm Inputs</v>
      </c>
    </row>
    <row r="21" spans="1:16" ht="20.100000000000001" customHeight="1" x14ac:dyDescent="0.25">
      <c r="A21" s="5" t="str">
        <f>HYPERLINK("#'Input - Freight'!A1", "Freight")</f>
        <v>Freight</v>
      </c>
      <c r="D21" s="246" t="s">
        <v>928</v>
      </c>
    </row>
    <row r="22" spans="1:16" ht="20.100000000000001" customHeight="1" x14ac:dyDescent="0.25">
      <c r="A22" s="5" t="str">
        <f>HYPERLINK("#'Input - Manure sent off-site'!A1", "Manure sent off-site")</f>
        <v>Manure sent off-site</v>
      </c>
      <c r="D22" s="112" t="s">
        <v>1063</v>
      </c>
      <c r="E22" s="262" t="s">
        <v>1064</v>
      </c>
      <c r="F22" s="262" t="s">
        <v>1065</v>
      </c>
      <c r="G22" s="262" t="s">
        <v>1066</v>
      </c>
      <c r="H22" s="262" t="s">
        <v>1067</v>
      </c>
      <c r="I22" s="111" t="s">
        <v>1068</v>
      </c>
      <c r="J22" s="111" t="s">
        <v>1069</v>
      </c>
      <c r="K22" s="262" t="s">
        <v>1070</v>
      </c>
      <c r="L22" s="112" t="s">
        <v>1071</v>
      </c>
      <c r="M22" s="111" t="s">
        <v>1072</v>
      </c>
      <c r="N22" s="112" t="s">
        <v>1073</v>
      </c>
      <c r="O22" s="112" t="s">
        <v>1074</v>
      </c>
      <c r="P22" s="112" t="s">
        <v>1075</v>
      </c>
    </row>
    <row r="23" spans="1:16" ht="20.100000000000001" customHeight="1" x14ac:dyDescent="0.25">
      <c r="A23" s="5" t="str">
        <f>HYPERLINK("#'Input - Solid waste'!A1", "Solid waste")</f>
        <v>Solid waste</v>
      </c>
      <c r="D23" s="25" t="str" cm="1">
        <f t="array" ref="D23:D32">IFERROR(INDEX(Table_Input_LivestockPurchases_Beefcattle[Transaction name], _xlfn.SEQUENCE(10)), "")</f>
        <v>Cows from Barry</v>
      </c>
      <c r="E23" s="25" t="str" cm="1">
        <f t="array" ref="E23:E32">IFERROR(INDEX(Table_Input_LivestockPurchases_Beefcattle[Purchase class (select)], _xlfn.SEQUENCE(10)), "")</f>
        <v>Cattle, for prime beef</v>
      </c>
      <c r="F23" s="25" t="str" cm="1">
        <f t="array" ref="F23:F32">IFERROR(_xlfn.XLOOKUP(INDEX(Table_Input_LivestockPurchases_Beefcattle[Source region (Select)], _xlfn.SEQUENCE(10)), Table_ProductRegions_Beefcattle[Region],Table_ProductRegions_Beefcattle[Scope3 region]), "")</f>
        <v>WA</v>
      </c>
      <c r="G23" s="25" cm="1">
        <f t="array" ref="G23:G32">IFERROR(INDEX(Table_Input_LivestockPurchases_Beefcattle[Quantity (head)], _xlfn.SEQUENCE(10)), "")</f>
        <v>100</v>
      </c>
      <c r="H23" s="25" cm="1">
        <f t="array" ref="H23:H32">IFERROR(INDEX(Table_Input_LivestockPurchases_Beefcattle[Liveweight (kg/head) Method 1], _xlfn.SEQUENCE(10)), 0)</f>
        <v>210</v>
      </c>
      <c r="I23" s="25" cm="1">
        <f t="array" ref="I23">Common_InputFunctions.Utility_LookupValueInTableTwoColumns(E23,F23,Table_SourceData_Scope3_Animals[Product],Table_SourceData_Scope3_Animals[Region of origin],Table_SourceData_Scope3_Animals[AusLCI Emissions intensity], 0)</f>
        <v>20.8</v>
      </c>
      <c r="J23" s="263" cm="1">
        <f t="array" ref="J23">Scope3_Equations.VEERG_15_1_1_1__1_EmissionsFromPurchasedLivestock(G23,H23,I23)</f>
        <v>436.8</v>
      </c>
      <c r="K23" s="25" cm="1">
        <f t="array" ref="K23:K32">IFERROR(INDEX(Table_Input_LivestockPurchases_Beefcattle[Liveweight (kg/head) Method 2], _xlfn.SEQUENCE(10)), "")</f>
        <v>205</v>
      </c>
      <c r="L23" s="86">
        <v>20</v>
      </c>
      <c r="M23" s="263" cm="1">
        <f t="array" ref="M23">Scope3_Equations.VEERG_15_1_1_1__1_EmissionsFromPurchasedLivestock(G23,K23,IF(L23, L23, I23))</f>
        <v>410</v>
      </c>
      <c r="N23" s="44" t="s">
        <v>1076</v>
      </c>
      <c r="O23" s="23" t="s">
        <v>1077</v>
      </c>
      <c r="P23" s="244" t="s">
        <v>1078</v>
      </c>
    </row>
    <row r="24" spans="1:16" ht="20.100000000000001" customHeight="1" x14ac:dyDescent="0.25">
      <c r="A24"/>
      <c r="D24" s="25">
        <v>0</v>
      </c>
      <c r="E24" s="25" t="str">
        <v>Cattle, for manufacturing beef</v>
      </c>
      <c r="F24" s="25" t="str">
        <v>WA</v>
      </c>
      <c r="G24" s="25">
        <v>100</v>
      </c>
      <c r="H24" s="25">
        <v>470</v>
      </c>
      <c r="I24" s="25" cm="1">
        <f t="array" ref="I24">Common_InputFunctions.Utility_LookupValueInTableTwoColumns(E24,F24,Table_SourceData_Scope3_Animals[Product],Table_SourceData_Scope3_Animals[Region of origin],Table_SourceData_Scope3_Animals[AusLCI Emissions intensity], 0)</f>
        <v>13.1</v>
      </c>
      <c r="J24" s="263" cm="1">
        <f t="array" ref="J24">Scope3_Equations.VEERG_15_1_1_1__1_EmissionsFromPurchasedLivestock(G24,H24,I24)</f>
        <v>615.70000000000005</v>
      </c>
      <c r="K24" s="25">
        <v>465</v>
      </c>
      <c r="L24" s="86">
        <v>13</v>
      </c>
      <c r="M24" s="263" cm="1">
        <f t="array" ref="M24">Scope3_Equations.VEERG_15_1_1_1__1_EmissionsFromPurchasedLivestock(G24,K24,IF(L24, L24, I24))</f>
        <v>604.5</v>
      </c>
      <c r="N24" s="44"/>
      <c r="O24" s="23"/>
      <c r="P24" s="44"/>
    </row>
    <row r="25" spans="1:16" ht="20.100000000000001" customHeight="1" x14ac:dyDescent="0.25">
      <c r="A25"/>
      <c r="D25" s="25">
        <v>0</v>
      </c>
      <c r="E25" s="25">
        <v>0</v>
      </c>
      <c r="F25" s="25" t="str">
        <v/>
      </c>
      <c r="G25" s="25">
        <v>0</v>
      </c>
      <c r="H25" s="25">
        <v>0</v>
      </c>
      <c r="I25" s="25" cm="1">
        <f t="array" ref="I25">Common_InputFunctions.Utility_LookupValueInTableTwoColumns(E25,F25,Table_SourceData_Scope3_Animals[Product],Table_SourceData_Scope3_Animals[Region of origin],Table_SourceData_Scope3_Animals[AusLCI Emissions intensity], 0)</f>
        <v>0</v>
      </c>
      <c r="J25" s="263" cm="1">
        <f t="array" ref="J25">Scope3_Equations.VEERG_15_1_1_1__1_EmissionsFromPurchasedLivestock(G25,H25,I25)</f>
        <v>0</v>
      </c>
      <c r="K25" s="25">
        <v>0</v>
      </c>
      <c r="L25" s="86"/>
      <c r="M25" s="263" cm="1">
        <f t="array" ref="M25">Scope3_Equations.VEERG_15_1_1_1__1_EmissionsFromPurchasedLivestock(G25,K25,IF(L25, L25, I25))</f>
        <v>0</v>
      </c>
      <c r="N25" s="44"/>
      <c r="O25" s="23"/>
      <c r="P25" s="44"/>
    </row>
    <row r="26" spans="1:16" ht="20.100000000000001" customHeight="1" x14ac:dyDescent="0.25">
      <c r="A26" s="6" t="s">
        <v>2</v>
      </c>
      <c r="D26" s="25">
        <v>0</v>
      </c>
      <c r="E26" s="25">
        <v>0</v>
      </c>
      <c r="F26" s="25" t="str">
        <v/>
      </c>
      <c r="G26" s="25">
        <v>0</v>
      </c>
      <c r="H26" s="25">
        <v>0</v>
      </c>
      <c r="I26" s="25" cm="1">
        <f t="array" ref="I26">Common_InputFunctions.Utility_LookupValueInTableTwoColumns(E26,F26,Table_SourceData_Scope3_Animals[Product],Table_SourceData_Scope3_Animals[Region of origin],Table_SourceData_Scope3_Animals[AusLCI Emissions intensity], 0)</f>
        <v>0</v>
      </c>
      <c r="J26" s="263" cm="1">
        <f t="array" ref="J26">Scope3_Equations.VEERG_15_1_1_1__1_EmissionsFromPurchasedLivestock(G26,H26,I26)</f>
        <v>0</v>
      </c>
      <c r="K26" s="25">
        <v>0</v>
      </c>
      <c r="L26" s="86"/>
      <c r="M26" s="263" cm="1">
        <f t="array" ref="M26">Scope3_Equations.VEERG_15_1_1_1__1_EmissionsFromPurchasedLivestock(G26,K26,IF(L26, L26, I26))</f>
        <v>0</v>
      </c>
      <c r="N26" s="44"/>
      <c r="O26" s="23"/>
      <c r="P26" s="44"/>
    </row>
    <row r="27" spans="1:16" ht="20.100000000000001" customHeight="1" x14ac:dyDescent="0.25">
      <c r="A27" s="5" t="str">
        <f>HYPERLINK("#'3.2.1.1-2 Enteric Methane'!A1", "3.2.1.1-2 Enteric methane")</f>
        <v>3.2.1.1-2 Enteric methane</v>
      </c>
      <c r="D27" s="25">
        <v>0</v>
      </c>
      <c r="E27" s="25">
        <v>0</v>
      </c>
      <c r="F27" s="25" t="str">
        <v/>
      </c>
      <c r="G27" s="25">
        <v>0</v>
      </c>
      <c r="H27" s="25">
        <v>0</v>
      </c>
      <c r="I27" s="25" cm="1">
        <f t="array" ref="I27">Common_InputFunctions.Utility_LookupValueInTableTwoColumns(E27,F27,Table_SourceData_Scope3_Animals[Product],Table_SourceData_Scope3_Animals[Region of origin],Table_SourceData_Scope3_Animals[AusLCI Emissions intensity], 0)</f>
        <v>0</v>
      </c>
      <c r="J27" s="263" cm="1">
        <f t="array" ref="J27">Scope3_Equations.VEERG_15_1_1_1__1_EmissionsFromPurchasedLivestock(G27,H27,I27)</f>
        <v>0</v>
      </c>
      <c r="K27" s="25">
        <v>0</v>
      </c>
      <c r="L27" s="86"/>
      <c r="M27" s="263" cm="1">
        <f t="array" ref="M27">Scope3_Equations.VEERG_15_1_1_1__1_EmissionsFromPurchasedLivestock(G27,K27,IF(L27, L27, I27))</f>
        <v>0</v>
      </c>
      <c r="N27" s="44"/>
      <c r="O27" s="23"/>
      <c r="P27" s="44"/>
    </row>
    <row r="28" spans="1:16" ht="20.100000000000001" customHeight="1" x14ac:dyDescent="0.25">
      <c r="A28" s="5" t="str">
        <f>HYPERLINK("#'4.2.1.1-2 Methane'!A1", "4.2.1.1-2 Manure methane")</f>
        <v>4.2.1.1-2 Manure methane</v>
      </c>
      <c r="D28" s="25">
        <v>0</v>
      </c>
      <c r="E28" s="25">
        <v>0</v>
      </c>
      <c r="F28" s="25" t="str">
        <v/>
      </c>
      <c r="G28" s="25">
        <v>0</v>
      </c>
      <c r="H28" s="25">
        <v>0</v>
      </c>
      <c r="I28" s="25" cm="1">
        <f t="array" ref="I28">Common_InputFunctions.Utility_LookupValueInTableTwoColumns(E28,F28,Table_SourceData_Scope3_Animals[Product],Table_SourceData_Scope3_Animals[Region of origin],Table_SourceData_Scope3_Animals[AusLCI Emissions intensity], 0)</f>
        <v>0</v>
      </c>
      <c r="J28" s="263" cm="1">
        <f t="array" ref="J28">Scope3_Equations.VEERG_15_1_1_1__1_EmissionsFromPurchasedLivestock(G28,H28,I28)</f>
        <v>0</v>
      </c>
      <c r="K28" s="25">
        <v>0</v>
      </c>
      <c r="L28" s="86"/>
      <c r="M28" s="263" cm="1">
        <f t="array" ref="M28">Scope3_Equations.VEERG_15_1_1_1__1_EmissionsFromPurchasedLivestock(G28,K28,IF(L28, L28, I28))</f>
        <v>0</v>
      </c>
      <c r="N28" s="44"/>
      <c r="O28" s="23"/>
      <c r="P28" s="44"/>
    </row>
    <row r="29" spans="1:16" ht="20.100000000000001" customHeight="1" x14ac:dyDescent="0.25">
      <c r="A29" s="5" t="str">
        <f>HYPERLINK("#'4.2.1.3-4 Soil direct N20'!A1", "4.2.1.3-4 Soil direct N2O")</f>
        <v>4.2.1.3-4 Soil direct N2O</v>
      </c>
      <c r="D29" s="25">
        <v>0</v>
      </c>
      <c r="E29" s="25">
        <v>0</v>
      </c>
      <c r="F29" s="25" t="str">
        <v/>
      </c>
      <c r="G29" s="25">
        <v>0</v>
      </c>
      <c r="H29" s="25">
        <v>0</v>
      </c>
      <c r="I29" s="25" cm="1">
        <f t="array" ref="I29">Common_InputFunctions.Utility_LookupValueInTableTwoColumns(E29,F29,Table_SourceData_Scope3_Animals[Product],Table_SourceData_Scope3_Animals[Region of origin],Table_SourceData_Scope3_Animals[AusLCI Emissions intensity], 0)</f>
        <v>0</v>
      </c>
      <c r="J29" s="263" cm="1">
        <f t="array" ref="J29">Scope3_Equations.VEERG_15_1_1_1__1_EmissionsFromPurchasedLivestock(G29,H29,I29)</f>
        <v>0</v>
      </c>
      <c r="K29" s="25">
        <v>0</v>
      </c>
      <c r="L29" s="86"/>
      <c r="M29" s="263" cm="1">
        <f t="array" ref="M29">Scope3_Equations.VEERG_15_1_1_1__1_EmissionsFromPurchasedLivestock(G29,K29,IF(L29, L29, I29))</f>
        <v>0</v>
      </c>
      <c r="N29" s="44"/>
      <c r="O29" s="23"/>
      <c r="P29" s="44"/>
    </row>
    <row r="30" spans="1:16" ht="20.100000000000001" customHeight="1" x14ac:dyDescent="0.25">
      <c r="A30" s="5" t="str">
        <f>HYPERLINK("#'4.2.1.5-6 Soil Atmos Dep'!A1", "4.2.1.5-6 Soil atm. deposition")</f>
        <v>4.2.1.5-6 Soil atm. deposition</v>
      </c>
      <c r="D30" s="25">
        <v>0</v>
      </c>
      <c r="E30" s="25">
        <v>0</v>
      </c>
      <c r="F30" s="25" t="str">
        <v/>
      </c>
      <c r="G30" s="25">
        <v>0</v>
      </c>
      <c r="H30" s="25">
        <v>0</v>
      </c>
      <c r="I30" s="25" cm="1">
        <f t="array" ref="I30">Common_InputFunctions.Utility_LookupValueInTableTwoColumns(E30,F30,Table_SourceData_Scope3_Animals[Product],Table_SourceData_Scope3_Animals[Region of origin],Table_SourceData_Scope3_Animals[AusLCI Emissions intensity], 0)</f>
        <v>0</v>
      </c>
      <c r="J30" s="263" cm="1">
        <f t="array" ref="J30">Scope3_Equations.VEERG_15_1_1_1__1_EmissionsFromPurchasedLivestock(G30,H30,I30)</f>
        <v>0</v>
      </c>
      <c r="K30" s="25">
        <v>0</v>
      </c>
      <c r="L30" s="86"/>
      <c r="M30" s="263" cm="1">
        <f t="array" ref="M30">Scope3_Equations.VEERG_15_1_1_1__1_EmissionsFromPurchasedLivestock(G30,K30,IF(L30, L30, I30))</f>
        <v>0</v>
      </c>
      <c r="N30" s="44"/>
      <c r="O30" s="23"/>
      <c r="P30" s="44"/>
    </row>
    <row r="31" spans="1:16" ht="20.100000000000001" customHeight="1" x14ac:dyDescent="0.25">
      <c r="A31" s="5" t="str">
        <f>HYPERLINK("#'4.2.1.7-8 Soil leach runoff'!A1", "4.2.1.7-8 Soil leach &amp; runoff")</f>
        <v>4.2.1.7-8 Soil leach &amp; runoff</v>
      </c>
      <c r="D31" s="25">
        <v>0</v>
      </c>
      <c r="E31" s="25">
        <v>0</v>
      </c>
      <c r="F31" s="25" t="str">
        <v/>
      </c>
      <c r="G31" s="25">
        <v>0</v>
      </c>
      <c r="H31" s="25">
        <v>0</v>
      </c>
      <c r="I31" s="25" cm="1">
        <f t="array" ref="I31">Common_InputFunctions.Utility_LookupValueInTableTwoColumns(E31,F31,Table_SourceData_Scope3_Animals[Product],Table_SourceData_Scope3_Animals[Region of origin],Table_SourceData_Scope3_Animals[AusLCI Emissions intensity], 0)</f>
        <v>0</v>
      </c>
      <c r="J31" s="263" cm="1">
        <f t="array" ref="J31">Scope3_Equations.VEERG_15_1_1_1__1_EmissionsFromPurchasedLivestock(G31,H31,I31)</f>
        <v>0</v>
      </c>
      <c r="K31" s="25">
        <v>0</v>
      </c>
      <c r="L31" s="86"/>
      <c r="M31" s="263" cm="1">
        <f t="array" ref="M31">Scope3_Equations.VEERG_15_1_1_1__1_EmissionsFromPurchasedLivestock(G31,K31,IF(L31, L31, I31))</f>
        <v>0</v>
      </c>
      <c r="N31" s="44"/>
      <c r="O31" s="23"/>
      <c r="P31" s="44"/>
    </row>
    <row r="32" spans="1:16" ht="20.100000000000001" customHeight="1" x14ac:dyDescent="0.25">
      <c r="A32" s="5" t="str">
        <f>HYPERLINK("#'5.1.1.1-2 Inorganic fert N2O'!A1", "5.1.1.1-2 Inorganic fert N2O")</f>
        <v>5.1.1.1-2 Inorganic fert N2O</v>
      </c>
      <c r="D32" s="25">
        <v>0</v>
      </c>
      <c r="E32" s="25">
        <v>0</v>
      </c>
      <c r="F32" s="25" t="str">
        <v/>
      </c>
      <c r="G32" s="25">
        <v>0</v>
      </c>
      <c r="H32" s="25">
        <v>0</v>
      </c>
      <c r="I32" s="25" cm="1">
        <f t="array" ref="I32">Common_InputFunctions.Utility_LookupValueInTableTwoColumns(E32,F32,Table_SourceData_Scope3_Animals[Product],Table_SourceData_Scope3_Animals[Region of origin],Table_SourceData_Scope3_Animals[AusLCI Emissions intensity], 0)</f>
        <v>0</v>
      </c>
      <c r="J32" s="263" cm="1">
        <f t="array" ref="J32">Scope3_Equations.VEERG_15_1_1_1__1_EmissionsFromPurchasedLivestock(G32,H32,I32)</f>
        <v>0</v>
      </c>
      <c r="K32" s="25">
        <v>0</v>
      </c>
      <c r="L32" s="86"/>
      <c r="M32" s="263" cm="1">
        <f t="array" ref="M32">Scope3_Equations.VEERG_15_1_1_1__1_EmissionsFromPurchasedLivestock(G32,K32,IF(L32, L32, I32))</f>
        <v>0</v>
      </c>
      <c r="N32" s="44"/>
      <c r="O32" s="23"/>
      <c r="P32" s="44"/>
    </row>
    <row r="33" spans="1:13" ht="20.100000000000001" customHeight="1" x14ac:dyDescent="0.25">
      <c r="A33" s="5" t="str">
        <f>HYPERLINK("#'5.1.1.3-4 Inorganic fert CO2'!A1", "5.1.1.3-4 Inorganic fert CO2")</f>
        <v>5.1.1.3-4 Inorganic fert CO2</v>
      </c>
    </row>
    <row r="34" spans="1:13" ht="20.100000000000001" customHeight="1" x14ac:dyDescent="0.25">
      <c r="A34" s="5" t="str">
        <f>HYPERLINK("#'5.2.1.1-2 Organic Fert N2O'!A1", "5.2.1.1-2 Organic fert N2O")</f>
        <v>5.2.1.1-2 Organic fert N2O</v>
      </c>
      <c r="D34" s="122" t="s">
        <v>1079</v>
      </c>
      <c r="E34" s="114">
        <f>SUM(J23:J32)</f>
        <v>1052.5</v>
      </c>
      <c r="F34" s="121" t="str">
        <f>$E$11</f>
        <v>t CO2e</v>
      </c>
    </row>
    <row r="35" spans="1:13" ht="20.100000000000001" customHeight="1" x14ac:dyDescent="0.25">
      <c r="A35" s="5" t="str">
        <f>HYPERLINK("#'5.3.1.1-2 Lime CO2'!A1", "5.3.1.1-2 Lime CO2")</f>
        <v>5.3.1.1-2 Lime CO2</v>
      </c>
      <c r="D35" s="122" t="s">
        <v>1080</v>
      </c>
      <c r="E35" s="114">
        <f>SUM(M23:M32)</f>
        <v>1014.5</v>
      </c>
      <c r="F35" s="121" t="str">
        <f>$E$11</f>
        <v>t CO2e</v>
      </c>
    </row>
    <row r="36" spans="1:13" ht="20.100000000000001" customHeight="1" x14ac:dyDescent="0.25">
      <c r="A36" s="5" t="str">
        <f>HYPERLINK("#'5.4.1.1-4 Atmos deposition'!A1", "5.4.1.1-4 Atmos. deposition")</f>
        <v>5.4.1.1-4 Atmos. deposition</v>
      </c>
    </row>
    <row r="37" spans="1:13" ht="20.100000000000001" customHeight="1" x14ac:dyDescent="0.25">
      <c r="A37" s="5" t="str">
        <f>HYPERLINK("#'5.5.1.1-2 Leaching and runoff'!A1", "5.5.1.1-2 Leaching &amp; runoff")</f>
        <v>5.5.1.1-2 Leaching &amp; runoff</v>
      </c>
    </row>
    <row r="38" spans="1:13" ht="20.100000000000001" customHeight="1" x14ac:dyDescent="0.25">
      <c r="A38" s="5" t="str">
        <f>HYPERLINK("#'6.2.1.1-2 Pasture residue N2O'!A1", "6.2.1.1-2 Pasture residue N2O")</f>
        <v>6.2.1.1-2 Pasture residue N2O</v>
      </c>
      <c r="D38" s="246" t="s">
        <v>1081</v>
      </c>
    </row>
    <row r="39" spans="1:13" ht="20.100000000000001" customHeight="1" x14ac:dyDescent="0.25">
      <c r="A39" s="5" t="str">
        <f>HYPERLINK("#'6.3.1.1-2 Leach runoff pasture'!A1", "6.3.1.1-2 Leach &amp; runoff (pasture)")</f>
        <v>6.3.1.1-2 Leach &amp; runoff (pasture)</v>
      </c>
      <c r="D39" s="102" t="s">
        <v>1082</v>
      </c>
      <c r="E39" s="25" cm="1">
        <f t="array" ref="E39">Common_InputFunctions.Utility_LookupValueInTableNumber("Dairy cows", Table_SourceData_Scope3_Animals[Product],Table_SourceData_Scope3_Animals[AusLCI Emissions intensity])</f>
        <v>4.41</v>
      </c>
    </row>
    <row r="40" spans="1:13" ht="20.100000000000001" customHeight="1" x14ac:dyDescent="0.25">
      <c r="A40" s="5" t="str">
        <f>HYPERLINK("#'8.1.1.1-2 Transport fuel'!A1", "8.1.1.1-2 Transport fuel")</f>
        <v>8.1.1.1-2 Transport fuel</v>
      </c>
    </row>
    <row r="41" spans="1:13" ht="20.100000000000001" customHeight="1" x14ac:dyDescent="0.25">
      <c r="A41" s="5" t="str">
        <f>HYPERLINK("#'8.2.1.1-2 Stationary fuel'!A1", "8.2.1.1-2 Stationary fuel")</f>
        <v>8.2.1.1-2 Stationary fuel</v>
      </c>
      <c r="D41" s="112" t="s">
        <v>1063</v>
      </c>
      <c r="E41" s="262" t="s">
        <v>1066</v>
      </c>
      <c r="F41" s="262" t="s">
        <v>1067</v>
      </c>
      <c r="G41" s="111" t="s">
        <v>1069</v>
      </c>
      <c r="H41" s="262" t="s">
        <v>1070</v>
      </c>
      <c r="I41" s="112" t="s">
        <v>1071</v>
      </c>
      <c r="J41" s="111" t="s">
        <v>1072</v>
      </c>
      <c r="K41" s="112" t="s">
        <v>1073</v>
      </c>
      <c r="L41" s="112" t="s">
        <v>1074</v>
      </c>
      <c r="M41" s="112" t="s">
        <v>1075</v>
      </c>
    </row>
    <row r="42" spans="1:13" ht="20.100000000000001" customHeight="1" x14ac:dyDescent="0.25">
      <c r="A42" s="5" t="str">
        <f>HYPERLINK("#'14.1.1-2 Purchased electricity'!A1", "14.1.1-2 Purchased electricity")</f>
        <v>14.1.1-2 Purchased electricity</v>
      </c>
      <c r="D42" s="25"/>
      <c r="E42" s="25"/>
      <c r="F42" s="25"/>
      <c r="G42" s="263" cm="1">
        <f t="array" ref="G42">Scope3_Equations.VEERG_15_1_1_1__1_EmissionsFromPurchasedLivestock(E42,F42,$E$39)</f>
        <v>0</v>
      </c>
      <c r="H42" s="25"/>
      <c r="I42" s="86">
        <v>4</v>
      </c>
      <c r="J42" s="263" cm="1">
        <f t="array" ref="J42">Scope3_Equations.VEERG_15_1_1_1__1_EmissionsFromPurchasedLivestock(E42,H42,IF(I42,I42,$E$39))</f>
        <v>0</v>
      </c>
      <c r="K42" s="44" t="s">
        <v>1076</v>
      </c>
      <c r="L42" s="23" t="s">
        <v>1077</v>
      </c>
      <c r="M42" s="244" t="s">
        <v>1078</v>
      </c>
    </row>
    <row r="43" spans="1:13" ht="20.100000000000001" customHeight="1" x14ac:dyDescent="0.25">
      <c r="A43" s="101" t="str">
        <f>HYPERLINK("#'15 Scope 3'!A1", "15 Scope 3")</f>
        <v>15 Scope 3</v>
      </c>
      <c r="D43" s="25"/>
      <c r="E43" s="25"/>
      <c r="F43" s="25"/>
      <c r="G43" s="263" cm="1">
        <f t="array" ref="G43">Scope3_Equations.VEERG_15_1_1_1__1_EmissionsFromPurchasedLivestock(E43,F43,$E$39)</f>
        <v>0</v>
      </c>
      <c r="H43" s="25"/>
      <c r="I43" s="86"/>
      <c r="J43" s="263" cm="1">
        <f t="array" ref="J43">Scope3_Equations.VEERG_15_1_1_1__1_EmissionsFromPurchasedLivestock(E43,H43,IF(I43,I43,$E$39))</f>
        <v>0</v>
      </c>
      <c r="K43" s="44"/>
      <c r="L43" s="23"/>
      <c r="M43" s="44"/>
    </row>
    <row r="44" spans="1:13" ht="20.100000000000001" customHeight="1" x14ac:dyDescent="0.25">
      <c r="A44" s="5" t="str">
        <f>HYPERLINK("#'Calcs - Manure sent off-site'!A1", "Calcs - Manure sent off-site")</f>
        <v>Calcs - Manure sent off-site</v>
      </c>
      <c r="D44" s="25"/>
      <c r="E44" s="25"/>
      <c r="F44" s="25"/>
      <c r="G44" s="263" cm="1">
        <f t="array" ref="G44">Scope3_Equations.VEERG_15_1_1_1__1_EmissionsFromPurchasedLivestock(E44,F44,$E$39)</f>
        <v>0</v>
      </c>
      <c r="H44" s="25"/>
      <c r="I44" s="86"/>
      <c r="J44" s="263" cm="1">
        <f t="array" ref="J44">Scope3_Equations.VEERG_15_1_1_1__1_EmissionsFromPurchasedLivestock(E44,H44,IF(I44,I44,$E$39))</f>
        <v>0</v>
      </c>
      <c r="K44" s="44"/>
      <c r="L44" s="23"/>
      <c r="M44" s="44"/>
    </row>
    <row r="45" spans="1:13" ht="20.100000000000001" customHeight="1" x14ac:dyDescent="0.25">
      <c r="A45" s="5" t="str">
        <f>HYPERLINK("#'10.1.1-2 Solid waste treatment'!A1", "10.1.1-2 Solid waste treatment")</f>
        <v>10.1.1-2 Solid waste treatment</v>
      </c>
      <c r="D45" s="25"/>
      <c r="E45" s="25"/>
      <c r="F45" s="25"/>
      <c r="G45" s="263" cm="1">
        <f t="array" ref="G45">Scope3_Equations.VEERG_15_1_1_1__1_EmissionsFromPurchasedLivestock(E45,F45,$E$39)</f>
        <v>0</v>
      </c>
      <c r="H45" s="25"/>
      <c r="I45" s="86"/>
      <c r="J45" s="263" cm="1">
        <f t="array" ref="J45">Scope3_Equations.VEERG_15_1_1_1__1_EmissionsFromPurchasedLivestock(E45,H45,IF(I45,I45,$E$39))</f>
        <v>0</v>
      </c>
      <c r="K45" s="44"/>
      <c r="L45" s="23"/>
      <c r="M45" s="44"/>
    </row>
    <row r="46" spans="1:13" ht="20.100000000000001" customHeight="1" x14ac:dyDescent="0.25">
      <c r="A46"/>
      <c r="D46" s="25"/>
      <c r="E46" s="25"/>
      <c r="F46" s="25"/>
      <c r="G46" s="263" cm="1">
        <f t="array" ref="G46">Scope3_Equations.VEERG_15_1_1_1__1_EmissionsFromPurchasedLivestock(E46,F46,$E$39)</f>
        <v>0</v>
      </c>
      <c r="H46" s="25"/>
      <c r="I46" s="86"/>
      <c r="J46" s="263" cm="1">
        <f t="array" ref="J46">Scope3_Equations.VEERG_15_1_1_1__1_EmissionsFromPurchasedLivestock(E46,H46,IF(I46,I46,$E$39))</f>
        <v>0</v>
      </c>
      <c r="K46" s="44"/>
      <c r="L46" s="23"/>
      <c r="M46" s="44"/>
    </row>
    <row r="47" spans="1:13" ht="20.100000000000001" customHeight="1" x14ac:dyDescent="0.25">
      <c r="A47"/>
      <c r="D47" s="25"/>
      <c r="E47" s="25"/>
      <c r="F47" s="25"/>
      <c r="G47" s="263" cm="1">
        <f t="array" ref="G47">Scope3_Equations.VEERG_15_1_1_1__1_EmissionsFromPurchasedLivestock(E47,F47,$E$39)</f>
        <v>0</v>
      </c>
      <c r="H47" s="25"/>
      <c r="I47" s="86"/>
      <c r="J47" s="263" cm="1">
        <f t="array" ref="J47">Scope3_Equations.VEERG_15_1_1_1__1_EmissionsFromPurchasedLivestock(E47,H47,IF(I47,I47,$E$39))</f>
        <v>0</v>
      </c>
      <c r="K47" s="44"/>
      <c r="L47" s="23"/>
      <c r="M47" s="44"/>
    </row>
    <row r="48" spans="1:13" ht="20.100000000000001" customHeight="1" x14ac:dyDescent="0.25">
      <c r="A48" s="97" t="s">
        <v>1</v>
      </c>
      <c r="D48" s="25"/>
      <c r="E48" s="25"/>
      <c r="F48" s="25"/>
      <c r="G48" s="263" cm="1">
        <f t="array" ref="G48">Scope3_Equations.VEERG_15_1_1_1__1_EmissionsFromPurchasedLivestock(E48,F48,$E$39)</f>
        <v>0</v>
      </c>
      <c r="H48" s="25"/>
      <c r="I48" s="86"/>
      <c r="J48" s="263" cm="1">
        <f t="array" ref="J48">Scope3_Equations.VEERG_15_1_1_1__1_EmissionsFromPurchasedLivestock(E48,H48,IF(I48,I48,$E$39))</f>
        <v>0</v>
      </c>
      <c r="K48" s="44"/>
      <c r="L48" s="23"/>
      <c r="M48" s="44"/>
    </row>
    <row r="49" spans="1:13" ht="20.100000000000001" customHeight="1" x14ac:dyDescent="0.25">
      <c r="A49" s="5" t="str">
        <f>HYPERLINK("#'Constants - Pasture Beef'!A1", "Constants - Pasture Beef")</f>
        <v>Constants - Pasture Beef</v>
      </c>
      <c r="D49" s="25"/>
      <c r="E49" s="25"/>
      <c r="F49" s="25"/>
      <c r="G49" s="263" cm="1">
        <f t="array" ref="G49">Scope3_Equations.VEERG_15_1_1_1__1_EmissionsFromPurchasedLivestock(E49,F49,$E$39)</f>
        <v>0</v>
      </c>
      <c r="H49" s="25"/>
      <c r="I49" s="86"/>
      <c r="J49" s="263" cm="1">
        <f t="array" ref="J49">Scope3_Equations.VEERG_15_1_1_1__1_EmissionsFromPurchasedLivestock(E49,H49,IF(I49,I49,$E$39))</f>
        <v>0</v>
      </c>
      <c r="K49" s="44"/>
      <c r="L49" s="23"/>
      <c r="M49" s="44"/>
    </row>
    <row r="50" spans="1:13" ht="20.100000000000001" customHeight="1" x14ac:dyDescent="0.25">
      <c r="A50" s="5" t="str">
        <f>HYPERLINK("#'Constants - Ag Residue'!A1", "Constants - Ag residue")</f>
        <v>Constants - Ag residue</v>
      </c>
      <c r="D50" s="25"/>
      <c r="E50" s="25"/>
      <c r="F50" s="25"/>
      <c r="G50" s="263" cm="1">
        <f t="array" ref="G50">Scope3_Equations.VEERG_15_1_1_1__1_EmissionsFromPurchasedLivestock(E50,F50,$E$39)</f>
        <v>0</v>
      </c>
      <c r="H50" s="25"/>
      <c r="I50" s="86"/>
      <c r="J50" s="263" cm="1">
        <f t="array" ref="J50">Scope3_Equations.VEERG_15_1_1_1__1_EmissionsFromPurchasedLivestock(E50,H50,IF(I50,I50,$E$39))</f>
        <v>0</v>
      </c>
      <c r="K50" s="44"/>
      <c r="L50" s="23"/>
      <c r="M50" s="44"/>
    </row>
    <row r="51" spans="1:13" ht="20.100000000000001" customHeight="1" x14ac:dyDescent="0.25">
      <c r="A51" s="5" t="str">
        <f>HYPERLINK("#'Constants - Common Livestock'!A1", "Constants - Common Livestock")</f>
        <v>Constants - Common Livestock</v>
      </c>
      <c r="D51" s="25"/>
      <c r="E51" s="25"/>
      <c r="F51" s="25"/>
      <c r="G51" s="263" cm="1">
        <f t="array" ref="G51">Scope3_Equations.VEERG_15_1_1_1__1_EmissionsFromPurchasedLivestock(E51,F51,$E$39)</f>
        <v>0</v>
      </c>
      <c r="H51" s="25"/>
      <c r="I51" s="86"/>
      <c r="J51" s="263" cm="1">
        <f t="array" ref="J51">Scope3_Equations.VEERG_15_1_1_1__1_EmissionsFromPurchasedLivestock(E51,H51,IF(I51,I51,$E$39))</f>
        <v>0</v>
      </c>
      <c r="K51" s="44"/>
      <c r="L51" s="23"/>
      <c r="M51" s="44"/>
    </row>
    <row r="52" spans="1:13" ht="20.100000000000001" customHeight="1" x14ac:dyDescent="0.25">
      <c r="A52" s="5" t="str">
        <f>HYPERLINK("#'Constants - Electricity'!A1", "Constants - Electricity")</f>
        <v>Constants - Electricity</v>
      </c>
    </row>
    <row r="53" spans="1:13" ht="20.100000000000001" customHeight="1" x14ac:dyDescent="0.25">
      <c r="A53" s="5" t="str">
        <f>HYPERLINK("#'Constants - Fertiliser'!A1", "Constants - Fertiliser")</f>
        <v>Constants - Fertiliser</v>
      </c>
      <c r="D53" s="122" t="s">
        <v>1083</v>
      </c>
      <c r="E53" s="114">
        <f>SUM(G42:G51)</f>
        <v>0</v>
      </c>
      <c r="F53" s="121" t="str">
        <f>$E$11</f>
        <v>t CO2e</v>
      </c>
    </row>
    <row r="54" spans="1:13" ht="20.100000000000001" customHeight="1" x14ac:dyDescent="0.25">
      <c r="A54" s="5" t="str">
        <f>HYPERLINK("#'Constants - Fuel'!A1", "Constants - Fuel")</f>
        <v>Constants - Fuel</v>
      </c>
      <c r="D54" s="122" t="s">
        <v>1084</v>
      </c>
      <c r="E54" s="114">
        <f>SUM(J42:J51)</f>
        <v>0</v>
      </c>
      <c r="F54" s="121" t="str">
        <f>$E$11</f>
        <v>t CO2e</v>
      </c>
    </row>
    <row r="55" spans="1:13" ht="20.100000000000001" customHeight="1" x14ac:dyDescent="0.25">
      <c r="A55" s="5" t="str">
        <f>HYPERLINK("#'Constants - Scope 3'!A1", "Constants - Scope 3")</f>
        <v>Constants - Scope 3</v>
      </c>
    </row>
    <row r="56" spans="1:13" ht="20.100000000000001" customHeight="1" x14ac:dyDescent="0.25">
      <c r="A56" s="5" t="str">
        <f>HYPERLINK("#'Constants - Common'!A1", "Constants - Common")</f>
        <v>Constants - Common</v>
      </c>
    </row>
    <row r="57" spans="1:13" ht="20.100000000000001" customHeight="1" x14ac:dyDescent="0.25">
      <c r="A57" s="5" t="str">
        <f>HYPERLINK("#'Acknowledgements'!A1", "Acknowledgements")</f>
        <v>Acknowledgements</v>
      </c>
      <c r="D57" s="246" t="s">
        <v>1085</v>
      </c>
    </row>
    <row r="58" spans="1:13" ht="20.100000000000001" customHeight="1" x14ac:dyDescent="0.25">
      <c r="A58" s="5" t="str">
        <f>HYPERLINK("#'Constants - Solid Waste'!A1", "Constants - Solid Waste")</f>
        <v>Constants - Solid Waste</v>
      </c>
      <c r="D58" s="102" t="s">
        <v>1082</v>
      </c>
      <c r="E58" s="25" cm="1">
        <f t="array" ref="E58">Common_InputFunctions.Utility_LookupValueInTableNumber("Pigs", Table_SourceData_Scope3_Animals[Product],Table_SourceData_Scope3_Animals[AusLCI Emissions intensity])</f>
        <v>3.38</v>
      </c>
    </row>
    <row r="59" spans="1:13" ht="20.100000000000001" customHeight="1" x14ac:dyDescent="0.25">
      <c r="A59"/>
    </row>
    <row r="60" spans="1:13" ht="20.100000000000001" customHeight="1" x14ac:dyDescent="0.25">
      <c r="A60"/>
      <c r="D60" s="112" t="s">
        <v>1063</v>
      </c>
      <c r="E60" s="262" t="s">
        <v>1066</v>
      </c>
      <c r="F60" s="262" t="s">
        <v>1067</v>
      </c>
      <c r="G60" s="111" t="s">
        <v>1069</v>
      </c>
      <c r="H60" s="262" t="s">
        <v>1070</v>
      </c>
      <c r="I60" s="112" t="s">
        <v>1071</v>
      </c>
      <c r="J60" s="111" t="s">
        <v>1072</v>
      </c>
      <c r="K60" s="112" t="s">
        <v>1073</v>
      </c>
      <c r="L60" s="112" t="s">
        <v>1074</v>
      </c>
      <c r="M60" s="112" t="s">
        <v>1075</v>
      </c>
    </row>
    <row r="61" spans="1:13" ht="20.100000000000001" customHeight="1" x14ac:dyDescent="0.25">
      <c r="A61"/>
      <c r="D61" s="25"/>
      <c r="E61" s="25"/>
      <c r="F61" s="25"/>
      <c r="G61" s="263" cm="1">
        <f t="array" ref="G61">Scope3_Equations.VEERG_15_1_1_1__1_EmissionsFromPurchasedLivestock(E61,F61,$E$58)</f>
        <v>0</v>
      </c>
      <c r="H61" s="25"/>
      <c r="I61" s="86">
        <v>3.38</v>
      </c>
      <c r="J61" s="263" cm="1">
        <f t="array" ref="J61">Scope3_Equations.VEERG_15_1_1_1__1_EmissionsFromPurchasedLivestock(E61,H61,IF(I61, I61,$E$58))</f>
        <v>0</v>
      </c>
      <c r="K61" s="44"/>
      <c r="L61" s="23"/>
      <c r="M61" s="244"/>
    </row>
    <row r="62" spans="1:13" ht="20.100000000000001" customHeight="1" x14ac:dyDescent="0.25">
      <c r="A62"/>
      <c r="D62" s="25"/>
      <c r="E62" s="25"/>
      <c r="F62" s="25"/>
      <c r="G62" s="263" cm="1">
        <f t="array" ref="G62">Scope3_Equations.VEERG_15_1_1_1__1_EmissionsFromPurchasedLivestock(E62,F62,$E$58)</f>
        <v>0</v>
      </c>
      <c r="H62" s="25"/>
      <c r="I62" s="86">
        <v>3.3</v>
      </c>
      <c r="J62" s="263" cm="1">
        <f t="array" ref="J62">Scope3_Equations.VEERG_15_1_1_1__1_EmissionsFromPurchasedLivestock(E62,H62,IF(I62, I62,$E$58))</f>
        <v>0</v>
      </c>
      <c r="K62" s="44"/>
      <c r="L62" s="23"/>
      <c r="M62" s="44"/>
    </row>
    <row r="63" spans="1:13" ht="20.100000000000001" customHeight="1" x14ac:dyDescent="0.25">
      <c r="A63"/>
      <c r="D63" s="25"/>
      <c r="E63" s="25"/>
      <c r="F63" s="25"/>
      <c r="G63" s="263" cm="1">
        <f t="array" ref="G63">Scope3_Equations.VEERG_15_1_1_1__1_EmissionsFromPurchasedLivestock(E63,F63,$E$58)</f>
        <v>0</v>
      </c>
      <c r="H63" s="25"/>
      <c r="I63" s="86"/>
      <c r="J63" s="263" cm="1">
        <f t="array" ref="J63">Scope3_Equations.VEERG_15_1_1_1__1_EmissionsFromPurchasedLivestock(E63,H63,IF(I63, I63,$E$58))</f>
        <v>0</v>
      </c>
      <c r="K63" s="44"/>
      <c r="L63" s="23"/>
      <c r="M63" s="44"/>
    </row>
    <row r="64" spans="1:13" ht="20.100000000000001" customHeight="1" x14ac:dyDescent="0.25">
      <c r="A64"/>
      <c r="D64" s="25"/>
      <c r="E64" s="25"/>
      <c r="F64" s="25"/>
      <c r="G64" s="263" cm="1">
        <f t="array" ref="G64">Scope3_Equations.VEERG_15_1_1_1__1_EmissionsFromPurchasedLivestock(E64,F64,$E$58)</f>
        <v>0</v>
      </c>
      <c r="H64" s="25"/>
      <c r="I64" s="86"/>
      <c r="J64" s="263" cm="1">
        <f t="array" ref="J64">Scope3_Equations.VEERG_15_1_1_1__1_EmissionsFromPurchasedLivestock(E64,H64,IF(I64, I64,$E$58))</f>
        <v>0</v>
      </c>
      <c r="K64" s="44"/>
      <c r="L64" s="23"/>
      <c r="M64" s="44"/>
    </row>
    <row r="65" spans="1:13" ht="20.100000000000001" customHeight="1" x14ac:dyDescent="0.25">
      <c r="A65"/>
      <c r="D65" s="25"/>
      <c r="E65" s="25"/>
      <c r="F65" s="25"/>
      <c r="G65" s="263" cm="1">
        <f t="array" ref="G65">Scope3_Equations.VEERG_15_1_1_1__1_EmissionsFromPurchasedLivestock(E65,F65,$E$58)</f>
        <v>0</v>
      </c>
      <c r="H65" s="25"/>
      <c r="I65" s="86"/>
      <c r="J65" s="263" cm="1">
        <f t="array" ref="J65">Scope3_Equations.VEERG_15_1_1_1__1_EmissionsFromPurchasedLivestock(E65,H65,IF(I65, I65,$E$58))</f>
        <v>0</v>
      </c>
      <c r="K65" s="44"/>
      <c r="L65" s="23"/>
      <c r="M65" s="44"/>
    </row>
    <row r="66" spans="1:13" ht="20.100000000000001" customHeight="1" x14ac:dyDescent="0.25">
      <c r="A66"/>
      <c r="D66" s="25"/>
      <c r="E66" s="25"/>
      <c r="F66" s="25"/>
      <c r="G66" s="263" cm="1">
        <f t="array" ref="G66">Scope3_Equations.VEERG_15_1_1_1__1_EmissionsFromPurchasedLivestock(E66,F66,$E$58)</f>
        <v>0</v>
      </c>
      <c r="H66" s="25"/>
      <c r="I66" s="86"/>
      <c r="J66" s="263" cm="1">
        <f t="array" ref="J66">Scope3_Equations.VEERG_15_1_1_1__1_EmissionsFromPurchasedLivestock(E66,H66,IF(I66, I66,$E$58))</f>
        <v>0</v>
      </c>
      <c r="K66" s="44"/>
      <c r="L66" s="23"/>
      <c r="M66" s="44"/>
    </row>
    <row r="67" spans="1:13" ht="20.100000000000001" customHeight="1" x14ac:dyDescent="0.25">
      <c r="A67"/>
      <c r="D67" s="25"/>
      <c r="E67" s="25"/>
      <c r="F67" s="25"/>
      <c r="G67" s="263" cm="1">
        <f t="array" ref="G67">Scope3_Equations.VEERG_15_1_1_1__1_EmissionsFromPurchasedLivestock(E67,F67,$E$58)</f>
        <v>0</v>
      </c>
      <c r="H67" s="25"/>
      <c r="I67" s="86"/>
      <c r="J67" s="263" cm="1">
        <f t="array" ref="J67">Scope3_Equations.VEERG_15_1_1_1__1_EmissionsFromPurchasedLivestock(E67,H67,IF(I67, I67,$E$58))</f>
        <v>0</v>
      </c>
      <c r="K67" s="44"/>
      <c r="L67" s="23"/>
      <c r="M67" s="44"/>
    </row>
    <row r="68" spans="1:13" ht="20.100000000000001" customHeight="1" x14ac:dyDescent="0.25">
      <c r="A68"/>
      <c r="D68" s="25"/>
      <c r="E68" s="25"/>
      <c r="F68" s="25"/>
      <c r="G68" s="263" cm="1">
        <f t="array" ref="G68">Scope3_Equations.VEERG_15_1_1_1__1_EmissionsFromPurchasedLivestock(E68,F68,$E$58)</f>
        <v>0</v>
      </c>
      <c r="H68" s="25"/>
      <c r="I68" s="86"/>
      <c r="J68" s="263" cm="1">
        <f t="array" ref="J68">Scope3_Equations.VEERG_15_1_1_1__1_EmissionsFromPurchasedLivestock(E68,H68,IF(I68, I68,$E$58))</f>
        <v>0</v>
      </c>
      <c r="K68" s="44"/>
      <c r="L68" s="23"/>
      <c r="M68" s="44"/>
    </row>
    <row r="69" spans="1:13" ht="20.100000000000001" customHeight="1" x14ac:dyDescent="0.25">
      <c r="A69"/>
      <c r="D69" s="25"/>
      <c r="E69" s="25"/>
      <c r="F69" s="25"/>
      <c r="G69" s="263" cm="1">
        <f t="array" ref="G69">Scope3_Equations.VEERG_15_1_1_1__1_EmissionsFromPurchasedLivestock(E69,F69,$E$58)</f>
        <v>0</v>
      </c>
      <c r="H69" s="25"/>
      <c r="I69" s="86"/>
      <c r="J69" s="263" cm="1">
        <f t="array" ref="J69">Scope3_Equations.VEERG_15_1_1_1__1_EmissionsFromPurchasedLivestock(E69,H69,IF(I69, I69,$E$58))</f>
        <v>0</v>
      </c>
      <c r="K69" s="44"/>
      <c r="L69" s="23"/>
      <c r="M69" s="44"/>
    </row>
    <row r="70" spans="1:13" ht="20.100000000000001" customHeight="1" x14ac:dyDescent="0.25">
      <c r="A70"/>
      <c r="D70" s="25"/>
      <c r="E70" s="25"/>
      <c r="F70" s="25"/>
      <c r="G70" s="263" cm="1">
        <f t="array" ref="G70">Scope3_Equations.VEERG_15_1_1_1__1_EmissionsFromPurchasedLivestock(E70,F70,$E$58)</f>
        <v>0</v>
      </c>
      <c r="H70" s="25"/>
      <c r="I70" s="86"/>
      <c r="J70" s="263" cm="1">
        <f t="array" ref="J70">Scope3_Equations.VEERG_15_1_1_1__1_EmissionsFromPurchasedLivestock(E70,H70,IF(I70, I70,$E$58))</f>
        <v>0</v>
      </c>
      <c r="K70" s="44"/>
      <c r="L70" s="23"/>
      <c r="M70" s="44"/>
    </row>
    <row r="71" spans="1:13" ht="20.100000000000001" customHeight="1" x14ac:dyDescent="0.25">
      <c r="A71"/>
    </row>
    <row r="72" spans="1:13" ht="20.100000000000001" customHeight="1" x14ac:dyDescent="0.25">
      <c r="A72"/>
      <c r="D72" s="122" t="s">
        <v>1086</v>
      </c>
      <c r="E72" s="114">
        <f>SUM(G61:G70)</f>
        <v>0</v>
      </c>
      <c r="F72" s="121" t="str">
        <f>$E$11</f>
        <v>t CO2e</v>
      </c>
    </row>
    <row r="73" spans="1:13" ht="20.100000000000001" customHeight="1" x14ac:dyDescent="0.25">
      <c r="A73"/>
      <c r="D73" s="122" t="s">
        <v>1087</v>
      </c>
      <c r="E73" s="114">
        <f>SUM(J61:J70)</f>
        <v>0</v>
      </c>
      <c r="F73" s="121" t="str">
        <f>$E$11</f>
        <v>t CO2e</v>
      </c>
    </row>
    <row r="74" spans="1:13" ht="20.100000000000001" customHeight="1" x14ac:dyDescent="0.25">
      <c r="A74"/>
    </row>
    <row r="75" spans="1:13" ht="20.100000000000001" customHeight="1" x14ac:dyDescent="0.25">
      <c r="A75"/>
      <c r="D75" s="246" t="s">
        <v>1088</v>
      </c>
    </row>
    <row r="76" spans="1:13" ht="20.100000000000001" customHeight="1" x14ac:dyDescent="0.25">
      <c r="A76"/>
      <c r="D76" s="102" t="s">
        <v>1082</v>
      </c>
      <c r="E76" s="25" cm="1">
        <f t="array" ref="E76">Common_InputFunctions.Utility_LookupValueInTableNumber("Chickens", Table_SourceData_Scope3_Animals[Product],Table_SourceData_Scope3_Animals[AusLCI Emissions intensity])</f>
        <v>1.36</v>
      </c>
    </row>
    <row r="77" spans="1:13" ht="20.100000000000001" customHeight="1" x14ac:dyDescent="0.25">
      <c r="A77"/>
    </row>
    <row r="78" spans="1:13" ht="20.100000000000001" customHeight="1" x14ac:dyDescent="0.25">
      <c r="A78"/>
      <c r="D78" s="112" t="s">
        <v>1063</v>
      </c>
      <c r="E78" s="262" t="s">
        <v>1066</v>
      </c>
      <c r="F78" s="262" t="s">
        <v>1067</v>
      </c>
      <c r="G78" s="111" t="s">
        <v>1069</v>
      </c>
      <c r="H78" s="262" t="s">
        <v>1070</v>
      </c>
      <c r="I78" s="112" t="s">
        <v>1071</v>
      </c>
      <c r="J78" s="111" t="s">
        <v>1072</v>
      </c>
      <c r="K78" s="112" t="s">
        <v>1073</v>
      </c>
      <c r="L78" s="112" t="s">
        <v>1074</v>
      </c>
      <c r="M78" s="112" t="s">
        <v>1075</v>
      </c>
    </row>
    <row r="79" spans="1:13" ht="20.100000000000001" customHeight="1" x14ac:dyDescent="0.25">
      <c r="A79"/>
      <c r="D79" s="25"/>
      <c r="E79" s="25"/>
      <c r="F79" s="25"/>
      <c r="G79" s="263" cm="1">
        <f t="array" ref="G79">Scope3_Equations.VEERG_15_1_1_1__1_EmissionsFromPurchasedLivestock(E79,F79,$E$76)</f>
        <v>0</v>
      </c>
      <c r="H79" s="25"/>
      <c r="I79" s="86">
        <v>1.3</v>
      </c>
      <c r="J79" s="263" cm="1">
        <f t="array" ref="J79">Scope3_Equations.VEERG_15_1_1_1__1_EmissionsFromPurchasedLivestock(E79,H79,IF(I79, I79,$E$76))</f>
        <v>0</v>
      </c>
      <c r="K79" s="44"/>
      <c r="L79" s="23"/>
      <c r="M79" s="244"/>
    </row>
    <row r="80" spans="1:13" ht="20.100000000000001" customHeight="1" x14ac:dyDescent="0.25">
      <c r="A80"/>
      <c r="D80" s="25"/>
      <c r="E80" s="25"/>
      <c r="F80" s="25"/>
      <c r="G80" s="263" cm="1">
        <f t="array" ref="G80">Scope3_Equations.VEERG_15_1_1_1__1_EmissionsFromPurchasedLivestock(E80,F80,$E$76)</f>
        <v>0</v>
      </c>
      <c r="H80" s="25"/>
      <c r="I80" s="86"/>
      <c r="J80" s="263" cm="1">
        <f t="array" ref="J80">Scope3_Equations.VEERG_15_1_1_1__1_EmissionsFromPurchasedLivestock(E80,H80,IF(I80, I80,$E$76))</f>
        <v>0</v>
      </c>
      <c r="K80" s="44"/>
      <c r="L80" s="23"/>
      <c r="M80" s="44"/>
    </row>
    <row r="81" spans="1:13" ht="20.100000000000001" customHeight="1" x14ac:dyDescent="0.25">
      <c r="A81"/>
      <c r="D81" s="25"/>
      <c r="E81" s="25"/>
      <c r="F81" s="25"/>
      <c r="G81" s="263" cm="1">
        <f t="array" ref="G81">Scope3_Equations.VEERG_15_1_1_1__1_EmissionsFromPurchasedLivestock(E81,F81,$E$76)</f>
        <v>0</v>
      </c>
      <c r="H81" s="25"/>
      <c r="I81" s="86"/>
      <c r="J81" s="263" cm="1">
        <f t="array" ref="J81">Scope3_Equations.VEERG_15_1_1_1__1_EmissionsFromPurchasedLivestock(E81,H81,IF(I81, I81,$E$76))</f>
        <v>0</v>
      </c>
      <c r="K81" s="44"/>
      <c r="L81" s="23"/>
      <c r="M81" s="44"/>
    </row>
    <row r="82" spans="1:13" ht="20.100000000000001" customHeight="1" x14ac:dyDescent="0.25">
      <c r="A82"/>
      <c r="D82" s="25"/>
      <c r="E82" s="25"/>
      <c r="F82" s="25"/>
      <c r="G82" s="263" cm="1">
        <f t="array" ref="G82">Scope3_Equations.VEERG_15_1_1_1__1_EmissionsFromPurchasedLivestock(E82,F82,$E$76)</f>
        <v>0</v>
      </c>
      <c r="H82" s="25"/>
      <c r="I82" s="86"/>
      <c r="J82" s="263" cm="1">
        <f t="array" ref="J82">Scope3_Equations.VEERG_15_1_1_1__1_EmissionsFromPurchasedLivestock(E82,H82,IF(I82, I82,$E$76))</f>
        <v>0</v>
      </c>
      <c r="K82" s="44"/>
      <c r="L82" s="23"/>
      <c r="M82" s="44"/>
    </row>
    <row r="83" spans="1:13" ht="20.100000000000001" customHeight="1" x14ac:dyDescent="0.25">
      <c r="A83"/>
      <c r="D83" s="25"/>
      <c r="E83" s="25"/>
      <c r="F83" s="25"/>
      <c r="G83" s="263" cm="1">
        <f t="array" ref="G83">Scope3_Equations.VEERG_15_1_1_1__1_EmissionsFromPurchasedLivestock(E83,F83,$E$76)</f>
        <v>0</v>
      </c>
      <c r="H83" s="25"/>
      <c r="I83" s="86"/>
      <c r="J83" s="263" cm="1">
        <f t="array" ref="J83">Scope3_Equations.VEERG_15_1_1_1__1_EmissionsFromPurchasedLivestock(E83,H83,IF(I83, I83,$E$76))</f>
        <v>0</v>
      </c>
      <c r="K83" s="44"/>
      <c r="L83" s="23"/>
      <c r="M83" s="44"/>
    </row>
    <row r="84" spans="1:13" ht="20.100000000000001" customHeight="1" x14ac:dyDescent="0.25">
      <c r="A84"/>
      <c r="D84" s="25"/>
      <c r="E84" s="25"/>
      <c r="F84" s="25"/>
      <c r="G84" s="263" cm="1">
        <f t="array" ref="G84">Scope3_Equations.VEERG_15_1_1_1__1_EmissionsFromPurchasedLivestock(E84,F84,$E$76)</f>
        <v>0</v>
      </c>
      <c r="H84" s="25"/>
      <c r="I84" s="86"/>
      <c r="J84" s="263" cm="1">
        <f t="array" ref="J84">Scope3_Equations.VEERG_15_1_1_1__1_EmissionsFromPurchasedLivestock(E84,H84,IF(I84, I84,$E$76))</f>
        <v>0</v>
      </c>
      <c r="K84" s="44"/>
      <c r="L84" s="23"/>
      <c r="M84" s="44"/>
    </row>
    <row r="85" spans="1:13" ht="20.100000000000001" customHeight="1" x14ac:dyDescent="0.25">
      <c r="A85"/>
      <c r="D85" s="25"/>
      <c r="E85" s="25"/>
      <c r="F85" s="25"/>
      <c r="G85" s="263" cm="1">
        <f t="array" ref="G85">Scope3_Equations.VEERG_15_1_1_1__1_EmissionsFromPurchasedLivestock(E85,F85,$E$76)</f>
        <v>0</v>
      </c>
      <c r="H85" s="25"/>
      <c r="I85" s="86"/>
      <c r="J85" s="263" cm="1">
        <f t="array" ref="J85">Scope3_Equations.VEERG_15_1_1_1__1_EmissionsFromPurchasedLivestock(E85,H85,IF(I85, I85,$E$76))</f>
        <v>0</v>
      </c>
      <c r="K85" s="44"/>
      <c r="L85" s="23"/>
      <c r="M85" s="44"/>
    </row>
    <row r="86" spans="1:13" ht="20.100000000000001" customHeight="1" x14ac:dyDescent="0.25">
      <c r="A86"/>
      <c r="D86" s="25"/>
      <c r="E86" s="25"/>
      <c r="F86" s="25"/>
      <c r="G86" s="263" cm="1">
        <f t="array" ref="G86">Scope3_Equations.VEERG_15_1_1_1__1_EmissionsFromPurchasedLivestock(E86,F86,$E$76)</f>
        <v>0</v>
      </c>
      <c r="H86" s="25"/>
      <c r="I86" s="86"/>
      <c r="J86" s="263" cm="1">
        <f t="array" ref="J86">Scope3_Equations.VEERG_15_1_1_1__1_EmissionsFromPurchasedLivestock(E86,H86,IF(I86, I86,$E$76))</f>
        <v>0</v>
      </c>
      <c r="K86" s="44"/>
      <c r="L86" s="23"/>
      <c r="M86" s="44"/>
    </row>
    <row r="87" spans="1:13" ht="20.100000000000001" customHeight="1" x14ac:dyDescent="0.25">
      <c r="A87"/>
      <c r="D87" s="25"/>
      <c r="E87" s="25"/>
      <c r="F87" s="25"/>
      <c r="G87" s="263" cm="1">
        <f t="array" ref="G87">Scope3_Equations.VEERG_15_1_1_1__1_EmissionsFromPurchasedLivestock(E87,F87,$E$76)</f>
        <v>0</v>
      </c>
      <c r="H87" s="25"/>
      <c r="I87" s="86"/>
      <c r="J87" s="263" cm="1">
        <f t="array" ref="J87">Scope3_Equations.VEERG_15_1_1_1__1_EmissionsFromPurchasedLivestock(E87,H87,IF(I87, I87,$E$76))</f>
        <v>0</v>
      </c>
      <c r="K87" s="44"/>
      <c r="L87" s="23"/>
      <c r="M87" s="44"/>
    </row>
    <row r="88" spans="1:13" ht="20.100000000000001" customHeight="1" x14ac:dyDescent="0.25">
      <c r="A88"/>
      <c r="D88" s="25"/>
      <c r="E88" s="25"/>
      <c r="F88" s="25"/>
      <c r="G88" s="263" cm="1">
        <f t="array" ref="G88">Scope3_Equations.VEERG_15_1_1_1__1_EmissionsFromPurchasedLivestock(E88,F88,$E$76)</f>
        <v>0</v>
      </c>
      <c r="H88" s="25"/>
      <c r="I88" s="86"/>
      <c r="J88" s="263" cm="1">
        <f t="array" ref="J88">Scope3_Equations.VEERG_15_1_1_1__1_EmissionsFromPurchasedLivestock(E88,H88,IF(I88, I88,$E$76))</f>
        <v>0</v>
      </c>
      <c r="K88" s="44"/>
      <c r="L88" s="23"/>
      <c r="M88" s="44"/>
    </row>
    <row r="89" spans="1:13" ht="20.100000000000001" customHeight="1" x14ac:dyDescent="0.25">
      <c r="A89"/>
    </row>
    <row r="90" spans="1:13" ht="20.100000000000001" customHeight="1" x14ac:dyDescent="0.25">
      <c r="A90"/>
      <c r="D90" s="122" t="s">
        <v>1089</v>
      </c>
      <c r="E90" s="114">
        <f>SUM(G79:G88)</f>
        <v>0</v>
      </c>
      <c r="F90" s="121" t="str">
        <f>$E$11</f>
        <v>t CO2e</v>
      </c>
    </row>
    <row r="91" spans="1:13" ht="20.100000000000001" customHeight="1" x14ac:dyDescent="0.25">
      <c r="A91"/>
      <c r="D91" s="122" t="s">
        <v>1090</v>
      </c>
      <c r="E91" s="114">
        <f>SUM(J79:J88)</f>
        <v>0</v>
      </c>
      <c r="F91" s="121" t="str">
        <f>$E$11</f>
        <v>t CO2e</v>
      </c>
    </row>
    <row r="92" spans="1:13" ht="20.100000000000001" customHeight="1" x14ac:dyDescent="0.25">
      <c r="A92"/>
    </row>
    <row r="93" spans="1:13" ht="20.100000000000001" customHeight="1" x14ac:dyDescent="0.25">
      <c r="A93"/>
      <c r="D93" s="115" t="s">
        <v>1069</v>
      </c>
      <c r="E93" s="11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1052.5</v>
      </c>
      <c r="F93" s="117" t="str">
        <f>$E$11</f>
        <v>t CO2e</v>
      </c>
    </row>
    <row r="94" spans="1:13" ht="20.100000000000001" customHeight="1" x14ac:dyDescent="0.25">
      <c r="A94"/>
      <c r="D94" s="115" t="s">
        <v>1072</v>
      </c>
      <c r="E94" s="11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117" t="str">
        <f>$E$11</f>
        <v>t CO2e</v>
      </c>
    </row>
    <row r="95" spans="1:13" ht="20.100000000000001" customHeight="1" x14ac:dyDescent="0.25">
      <c r="A95"/>
    </row>
    <row r="96" spans="1:13" ht="20.100000000000001" customHeight="1" x14ac:dyDescent="0.25">
      <c r="A96"/>
    </row>
    <row r="97" spans="1:41" ht="20.100000000000001" customHeight="1" x14ac:dyDescent="0.25">
      <c r="A97"/>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27" t="str" cm="1">
        <f t="array" ref="D99">Scope3_Equations.VEERG_15_2_1_1__1_EmissionsFromPurchasedFeed_Source()</f>
        <v>VEERG 2026: 15.2.1.1, Equation (1)</v>
      </c>
    </row>
    <row r="100" spans="1:41" ht="20.100000000000001" customHeight="1" x14ac:dyDescent="0.25">
      <c r="A100"/>
      <c r="D100" s="100" t="s">
        <v>259</v>
      </c>
      <c r="E100" s="100" t="str" cm="1">
        <f t="array" aca="1" ref="E100" ca="1">Common_InputFunctions.Utility_DisplayFunctionName(G119)</f>
        <v>=Scope3_Equations.VEERG_15_2_1_1__1_EmissionsFromPurchasedFeed</v>
      </c>
    </row>
    <row r="101" spans="1:41" ht="20.100000000000001" customHeight="1" x14ac:dyDescent="0.25">
      <c r="A101"/>
    </row>
    <row r="102" spans="1:41" ht="20.100000000000001" customHeight="1" x14ac:dyDescent="0.25">
      <c r="A102"/>
      <c r="H102" s="100"/>
    </row>
    <row r="103" spans="1:41" ht="20.100000000000001" customHeight="1" x14ac:dyDescent="0.25">
      <c r="A103"/>
      <c r="D103" s="88" t="s">
        <v>261</v>
      </c>
      <c r="E103" s="1" t="str" cm="1">
        <f t="array" ref="E103">Scope3_Equations.VEERG_15_2_1_1__1_EmissionsFromPurchasedFeed_Variable()</f>
        <v>E</v>
      </c>
    </row>
    <row r="104" spans="1:41" ht="20.100000000000001" customHeight="1" x14ac:dyDescent="0.25">
      <c r="A104"/>
      <c r="D104" s="88" t="s">
        <v>131</v>
      </c>
      <c r="E104" s="15" t="str" cm="1">
        <f t="array" ref="E104">Scope3_Equations.VEERG_15_2_1_1__1_EmissionsFromPurchasedFeed_Unit()</f>
        <v>t CO2e</v>
      </c>
    </row>
    <row r="105" spans="1:41" ht="20.100000000000001" customHeight="1" x14ac:dyDescent="0.25">
      <c r="A105"/>
    </row>
    <row r="106" spans="1:41" ht="20.100000000000001" customHeight="1" x14ac:dyDescent="0.25">
      <c r="A106"/>
      <c r="D106" s="102" t="str" cm="1">
        <f t="array" ref="D106:E108">_xlfn.CHOOSECOLS(Scope3_Equations.VEERG_15_2_1_1__1_EmissionsFromPurchasedFeed_Arguments(),1,2)</f>
        <v>Q_j</v>
      </c>
      <c r="E106" s="103" t="str">
        <v>quantity of feed type j purchased</v>
      </c>
      <c r="F106" s="105"/>
      <c r="G106" s="102" t="str" cm="1">
        <f t="array" ref="G106:H108">_xlfn.CHOOSECOLS(Scope3_Equations.VEERG_15_2_1_1__1_EmissionsFromPurchasedFeed_Arguments(),3,4)</f>
        <v>t</v>
      </c>
      <c r="H106" s="261" t="str">
        <v>Input</v>
      </c>
    </row>
    <row r="107" spans="1:41" ht="20.100000000000001" customHeight="1" x14ac:dyDescent="0.25">
      <c r="A107"/>
      <c r="D107" s="102" t="str">
        <v>EF_j</v>
      </c>
      <c r="E107" s="103" t="str">
        <v>emission factor of purchased feed</v>
      </c>
      <c r="F107" s="105"/>
      <c r="G107" s="102" t="str">
        <v>kg CO2e/kg</v>
      </c>
      <c r="H107" s="261" t="str">
        <v>Constant</v>
      </c>
    </row>
    <row r="108" spans="1:41" ht="20.100000000000001" customHeight="1" x14ac:dyDescent="0.25">
      <c r="A108"/>
      <c r="D108" s="102" t="str">
        <v>j</v>
      </c>
      <c r="E108" s="103" t="str">
        <v>feed type</v>
      </c>
      <c r="F108" s="105"/>
      <c r="G108" s="102" t="str">
        <v/>
      </c>
      <c r="H108" s="107" t="str">
        <v>Input</v>
      </c>
    </row>
    <row r="109" spans="1:41" ht="20.100000000000001" customHeight="1" x14ac:dyDescent="0.25">
      <c r="A109"/>
    </row>
    <row r="110" spans="1:41" ht="20.100000000000001" customHeight="1" x14ac:dyDescent="0.25">
      <c r="A110"/>
      <c r="D110" s="246" t="s">
        <v>1091</v>
      </c>
    </row>
    <row r="111" spans="1:41" ht="20.100000000000001" customHeight="1" x14ac:dyDescent="0.25">
      <c r="A111"/>
    </row>
    <row r="112" spans="1:41" ht="20.100000000000001" customHeight="1" x14ac:dyDescent="0.25">
      <c r="A112"/>
      <c r="D112" s="130" t="s">
        <v>1092</v>
      </c>
      <c r="E112" s="55"/>
      <c r="F112" s="130"/>
      <c r="G112" s="54"/>
      <c r="H112" s="55"/>
    </row>
    <row r="113" spans="1:28" ht="20.100000000000001" customHeight="1" x14ac:dyDescent="0.25">
      <c r="A113"/>
      <c r="D113" s="156" t="s">
        <v>1093</v>
      </c>
      <c r="E113" s="158"/>
      <c r="F113" s="156"/>
      <c r="G113" s="157"/>
      <c r="H113" s="158"/>
    </row>
    <row r="114" spans="1:28" ht="20.100000000000001" customHeight="1" x14ac:dyDescent="0.25">
      <c r="A114"/>
      <c r="D114" s="56" t="s">
        <v>1094</v>
      </c>
      <c r="E114" s="58"/>
      <c r="F114" s="56"/>
      <c r="G114" s="57"/>
      <c r="H114" s="58"/>
    </row>
    <row r="115" spans="1:28" ht="20.100000000000001" customHeight="1" x14ac:dyDescent="0.25">
      <c r="A115"/>
    </row>
    <row r="116" spans="1:28" ht="20.100000000000001" customHeight="1" x14ac:dyDescent="0.25">
      <c r="A116"/>
      <c r="D116" s="46" t="s">
        <v>1095</v>
      </c>
      <c r="E116" s="48"/>
      <c r="F116" s="49"/>
    </row>
    <row r="117" spans="1:28" ht="20.100000000000001" customHeight="1" x14ac:dyDescent="0.25">
      <c r="A117"/>
    </row>
    <row r="118" spans="1:28" ht="20.100000000000001" customHeight="1" x14ac:dyDescent="0.25">
      <c r="A118"/>
      <c r="D118" s="112" t="s">
        <v>1096</v>
      </c>
      <c r="E118" s="112" t="s">
        <v>1097</v>
      </c>
      <c r="F118" s="111" t="s">
        <v>1098</v>
      </c>
      <c r="G118" s="111" t="s">
        <v>1069</v>
      </c>
      <c r="H118" s="112" t="s">
        <v>1099</v>
      </c>
      <c r="I118" s="111" t="s">
        <v>1072</v>
      </c>
      <c r="J118" s="112" t="s">
        <v>1073</v>
      </c>
      <c r="K118" s="112" t="s">
        <v>1074</v>
      </c>
      <c r="L118" s="112" t="s">
        <v>1075</v>
      </c>
      <c r="M118" s="111" t="s">
        <v>477</v>
      </c>
      <c r="N118" s="111" t="s">
        <v>1100</v>
      </c>
      <c r="O118" s="111" t="s">
        <v>478</v>
      </c>
      <c r="P118" s="111" t="s">
        <v>1101</v>
      </c>
      <c r="Q118" s="111" t="s">
        <v>479</v>
      </c>
      <c r="R118" s="111" t="s">
        <v>1102</v>
      </c>
      <c r="S118" s="111" t="s">
        <v>480</v>
      </c>
      <c r="T118" s="111" t="s">
        <v>1103</v>
      </c>
      <c r="U118" s="111" t="s">
        <v>481</v>
      </c>
      <c r="V118" s="111" t="s">
        <v>1104</v>
      </c>
      <c r="W118" s="111" t="s">
        <v>482</v>
      </c>
      <c r="X118" s="111" t="s">
        <v>1105</v>
      </c>
      <c r="Y118" s="111" t="s">
        <v>483</v>
      </c>
      <c r="Z118" s="111" t="s">
        <v>1106</v>
      </c>
      <c r="AA118" s="111" t="s">
        <v>484</v>
      </c>
      <c r="AB118" s="111" t="s">
        <v>1107</v>
      </c>
    </row>
    <row r="119" spans="1:28" ht="20.100000000000001" customHeight="1" x14ac:dyDescent="0.25">
      <c r="A119"/>
      <c r="D119" s="25" cm="1">
        <f t="array" ref="D119:D128">IFERROR(INDEX(Table_Input_FeedBlends[Feed blend name], _xlfn.SEQUENCE(10)), "")</f>
        <v>0</v>
      </c>
      <c r="E119" s="25" cm="1">
        <f t="array" ref="E119:E128">IFERROR(INDEX(Table_Input_FeedBlends[Amount fed (kg)], _xlfn.SEQUENCE(10)), "")</f>
        <v>1200</v>
      </c>
      <c r="F119" s="25">
        <f t="shared" ref="F119:F128" si="0">IFERROR((O119*P119)+(S119*T119)+(W119*X119)+(AA119*AB119), 0)</f>
        <v>2.4709999999999996E-2</v>
      </c>
      <c r="G119" s="263" cm="1">
        <f t="array" ref="G119">Scope3_Equations.VEERG_15_2_1_1__1_EmissionsFromPurchasedFeed(E119,F119)</f>
        <v>29.651999999999994</v>
      </c>
      <c r="H119" s="86">
        <v>0.04</v>
      </c>
      <c r="I119" s="263" cm="1">
        <f t="array" ref="I119">Scope3_Equations.VEERG_15_2_1_1__1_EmissionsFromPurchasedFeed(E119,IF(H119,H119, F119))</f>
        <v>48</v>
      </c>
      <c r="J119" s="44"/>
      <c r="K119" s="23"/>
      <c r="L119" s="244"/>
      <c r="M119" s="25" t="str" cm="1">
        <f t="array" ref="M119:M128">IFERROR(INDEX(Table_Input_FeedBlends[Ingredient 1 (select)], _xlfn.SEQUENCE(10)), "")</f>
        <v>Cereal silage</v>
      </c>
      <c r="N119" s="25" t="str" cm="1">
        <f t="array" ref="N119:N128">IFERROR(INDEX(Table_Input_FeedBlends[Ingredient 1 source region], _xlfn.SEQUENCE(10)), "")</f>
        <v>SA</v>
      </c>
      <c r="O119" s="25" cm="1">
        <f t="array" ref="O119:O128">IFERROR(INDEX(Table_Input_FeedBlends[Ingredient 1 percent], _xlfn.SEQUENCE(10)), "")</f>
        <v>0.35</v>
      </c>
      <c r="P119" s="25"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25" t="str" cm="1">
        <f t="array" ref="Q119:Q128">IFERROR(INDEX(Table_Input_FeedBlends[Ingredient 2 (select)], _xlfn.SEQUENCE(10)), "")</f>
        <v>Cereal hay</v>
      </c>
      <c r="R119" s="25" t="str" cm="1">
        <f t="array" ref="R119:R128">IFERROR(INDEX(Table_Input_FeedBlends[Ingredient 2 source region], _xlfn.SEQUENCE(10)), "")</f>
        <v>SA</v>
      </c>
      <c r="S119" s="25" cm="1">
        <f t="array" ref="S119:S128">IFERROR(INDEX(Table_Input_FeedBlends[Ingredient 2 percent], _xlfn.SEQUENCE(10)), "")</f>
        <v>0.22</v>
      </c>
      <c r="T119" s="25"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25" t="str" cm="1">
        <f t="array" ref="U119:U128">IFERROR(INDEX(Table_Input_FeedBlends[Ingredient 3 (select)], _xlfn.SEQUENCE(10)), "")</f>
        <v>Canola oil</v>
      </c>
      <c r="V119" s="25" t="str" cm="1">
        <f t="array" ref="V119:V128">IFERROR(INDEX(Table_Input_FeedBlends[Ingredient 3 source region], _xlfn.SEQUENCE(10)), "")</f>
        <v>Australia</v>
      </c>
      <c r="W119" s="25" cm="1">
        <f t="array" ref="W119:W128">IFERROR(INDEX(Table_Input_FeedBlends[Ingredient 3 percent], _xlfn.SEQUENCE(10)), "")</f>
        <v>0.12</v>
      </c>
      <c r="X119" s="25"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25" t="str" cm="1">
        <f t="array" ref="Y119:Y128">IFERROR(INDEX(Table_Input_FeedBlends[Ingredient 4 (select)], _xlfn.SEQUENCE(10)), "")</f>
        <v>Molasses</v>
      </c>
      <c r="Z119" s="25" t="str" cm="1">
        <f t="array" ref="Z119:Z128">IFERROR(INDEX(Table_Input_FeedBlends[Ingredient 4 source region], _xlfn.SEQUENCE(10)), "")</f>
        <v>QLD</v>
      </c>
      <c r="AA119" s="25" cm="1">
        <f t="array" ref="AA119:AA128">IFERROR(INDEX(Table_Input_FeedBlends[Ingredient 4 percent], _xlfn.SEQUENCE(10)), "")</f>
        <v>0.05</v>
      </c>
      <c r="AB119" s="25"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1:28" ht="20.100000000000001" customHeight="1" x14ac:dyDescent="0.25">
      <c r="A120"/>
      <c r="D120" s="25">
        <v>0</v>
      </c>
      <c r="E120" s="25">
        <v>3456</v>
      </c>
      <c r="F120" s="25">
        <f t="shared" si="0"/>
        <v>0</v>
      </c>
      <c r="G120" s="263" cm="1">
        <f t="array" ref="G120">Scope3_Equations.VEERG_15_2_1_1__1_EmissionsFromPurchasedFeed(E120,F120)</f>
        <v>0</v>
      </c>
      <c r="H120" s="86">
        <v>0.03</v>
      </c>
      <c r="I120" s="263" cm="1">
        <f t="array" ref="I120">Scope3_Equations.VEERG_15_2_1_1__1_EmissionsFromPurchasedFeed(E120,IF(H120,H120, F120))</f>
        <v>103.67999999999999</v>
      </c>
      <c r="J120" s="44"/>
      <c r="K120" s="23"/>
      <c r="L120" s="44"/>
      <c r="M120" s="25" t="str">
        <v>Lucerne hay</v>
      </c>
      <c r="N120" s="25" t="str">
        <v>WA</v>
      </c>
      <c r="O120" s="25">
        <v>0.2</v>
      </c>
      <c r="P120" s="25"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25" t="str">
        <v>Lucerne hay</v>
      </c>
      <c r="R120" s="25" t="str">
        <v>NSW</v>
      </c>
      <c r="S120" s="25">
        <v>0.2</v>
      </c>
      <c r="T120" s="25"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25">
        <v>0</v>
      </c>
      <c r="V120" s="25">
        <v>0</v>
      </c>
      <c r="W120" s="25">
        <v>0</v>
      </c>
      <c r="X120" s="25"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25">
        <v>0</v>
      </c>
      <c r="Z120" s="25">
        <v>0</v>
      </c>
      <c r="AA120" s="25">
        <v>0</v>
      </c>
      <c r="AB120" s="25"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1:28" ht="20.100000000000001" customHeight="1" x14ac:dyDescent="0.25">
      <c r="A121"/>
      <c r="D121" s="25" t="str">
        <v>Hay bales in paddock</v>
      </c>
      <c r="E121" s="25">
        <v>300</v>
      </c>
      <c r="F121" s="25">
        <f t="shared" si="0"/>
        <v>0</v>
      </c>
      <c r="G121" s="263" cm="1">
        <f t="array" ref="G121">Scope3_Equations.VEERG_15_2_1_1__1_EmissionsFromPurchasedFeed(E121,F121)</f>
        <v>0</v>
      </c>
      <c r="H121" s="86">
        <v>0.14000000000000001</v>
      </c>
      <c r="I121" s="263" cm="1">
        <f t="array" ref="I121">Scope3_Equations.VEERG_15_2_1_1__1_EmissionsFromPurchasedFeed(E121,IF(H121,H121, F121))</f>
        <v>42.000000000000007</v>
      </c>
      <c r="J121" s="44"/>
      <c r="K121" s="23"/>
      <c r="L121" s="44"/>
      <c r="M121" s="25" t="str">
        <v>Sardines (whole)</v>
      </c>
      <c r="N121" s="25" t="str">
        <v>VIC</v>
      </c>
      <c r="O121" s="25">
        <v>0.8</v>
      </c>
      <c r="P121" s="25"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25" t="str">
        <v>Soybean meal</v>
      </c>
      <c r="R121" s="25" t="str">
        <v>Brazil</v>
      </c>
      <c r="S121" s="25">
        <v>0.2</v>
      </c>
      <c r="T121" s="25"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25">
        <v>0</v>
      </c>
      <c r="V121" s="25">
        <v>0</v>
      </c>
      <c r="W121" s="25">
        <v>0</v>
      </c>
      <c r="X121" s="25"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25">
        <v>0</v>
      </c>
      <c r="Z121" s="25">
        <v>0</v>
      </c>
      <c r="AA121" s="25">
        <v>0</v>
      </c>
      <c r="AB121" s="25"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1:28" ht="20.100000000000001" customHeight="1" x14ac:dyDescent="0.25">
      <c r="A122"/>
      <c r="D122" s="25">
        <v>0</v>
      </c>
      <c r="E122" s="25">
        <v>500</v>
      </c>
      <c r="F122" s="25">
        <f t="shared" si="0"/>
        <v>0.34499999999999997</v>
      </c>
      <c r="G122" s="263" cm="1">
        <f t="array" ref="G122">Scope3_Equations.VEERG_15_2_1_1__1_EmissionsFromPurchasedFeed(E122,F122)</f>
        <v>172.5</v>
      </c>
      <c r="H122" s="86"/>
      <c r="I122" s="263" cm="1">
        <f t="array" ref="I122">Scope3_Equations.VEERG_15_2_1_1__1_EmissionsFromPurchasedFeed(E122,IF(H122,H122, F122))</f>
        <v>172.5</v>
      </c>
      <c r="J122" s="44"/>
      <c r="K122" s="23"/>
      <c r="L122" s="44"/>
      <c r="M122" s="25" t="str">
        <v>Pasture hay</v>
      </c>
      <c r="N122" s="25" t="str">
        <v>VIC</v>
      </c>
      <c r="O122" s="25">
        <v>1</v>
      </c>
      <c r="P122" s="25"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25">
        <v>0</v>
      </c>
      <c r="R122" s="25">
        <v>0</v>
      </c>
      <c r="S122" s="25">
        <v>0</v>
      </c>
      <c r="T122" s="25"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25">
        <v>0</v>
      </c>
      <c r="V122" s="25">
        <v>0</v>
      </c>
      <c r="W122" s="25">
        <v>0</v>
      </c>
      <c r="X122" s="25"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25">
        <v>0</v>
      </c>
      <c r="Z122" s="25">
        <v>0</v>
      </c>
      <c r="AA122" s="25">
        <v>0</v>
      </c>
      <c r="AB122" s="25"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1:28" ht="20.100000000000001" customHeight="1" x14ac:dyDescent="0.25">
      <c r="A123"/>
      <c r="D123" s="25">
        <v>0</v>
      </c>
      <c r="E123" s="25">
        <v>0</v>
      </c>
      <c r="F123" s="25">
        <f t="shared" si="0"/>
        <v>0</v>
      </c>
      <c r="G123" s="263" cm="1">
        <f t="array" ref="G123">Scope3_Equations.VEERG_15_2_1_1__1_EmissionsFromPurchasedFeed(E123,F123)</f>
        <v>0</v>
      </c>
      <c r="H123" s="86"/>
      <c r="I123" s="263" cm="1">
        <f t="array" ref="I123">Scope3_Equations.VEERG_15_2_1_1__1_EmissionsFromPurchasedFeed(E123,IF(H123,H123, F123))</f>
        <v>0</v>
      </c>
      <c r="J123" s="44"/>
      <c r="K123" s="23"/>
      <c r="L123" s="44"/>
      <c r="M123" s="25">
        <v>0</v>
      </c>
      <c r="N123" s="25">
        <v>0</v>
      </c>
      <c r="O123" s="25">
        <v>0</v>
      </c>
      <c r="P123" s="25"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25">
        <v>0</v>
      </c>
      <c r="R123" s="25">
        <v>0</v>
      </c>
      <c r="S123" s="25">
        <v>0</v>
      </c>
      <c r="T123" s="25"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25">
        <v>0</v>
      </c>
      <c r="V123" s="25">
        <v>0</v>
      </c>
      <c r="W123" s="25">
        <v>0</v>
      </c>
      <c r="X123" s="25"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25">
        <v>0</v>
      </c>
      <c r="Z123" s="25">
        <v>0</v>
      </c>
      <c r="AA123" s="25">
        <v>0</v>
      </c>
      <c r="AB123" s="25"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1:28" ht="20.100000000000001" customHeight="1" x14ac:dyDescent="0.25">
      <c r="A124"/>
      <c r="D124" s="25">
        <v>0</v>
      </c>
      <c r="E124" s="25">
        <v>0</v>
      </c>
      <c r="F124" s="25">
        <f t="shared" si="0"/>
        <v>0</v>
      </c>
      <c r="G124" s="263" cm="1">
        <f t="array" ref="G124">Scope3_Equations.VEERG_15_2_1_1__1_EmissionsFromPurchasedFeed(E124,F124)</f>
        <v>0</v>
      </c>
      <c r="H124" s="86"/>
      <c r="I124" s="263" cm="1">
        <f t="array" ref="I124">Scope3_Equations.VEERG_15_2_1_1__1_EmissionsFromPurchasedFeed(E124,IF(H124,H124, F124))</f>
        <v>0</v>
      </c>
      <c r="J124" s="44"/>
      <c r="K124" s="23"/>
      <c r="L124" s="44"/>
      <c r="M124" s="25">
        <v>0</v>
      </c>
      <c r="N124" s="25">
        <v>0</v>
      </c>
      <c r="O124" s="25">
        <v>0</v>
      </c>
      <c r="P124" s="25"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25">
        <v>0</v>
      </c>
      <c r="R124" s="25">
        <v>0</v>
      </c>
      <c r="S124" s="25">
        <v>0</v>
      </c>
      <c r="T124" s="25"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25">
        <v>0</v>
      </c>
      <c r="V124" s="25">
        <v>0</v>
      </c>
      <c r="W124" s="25">
        <v>0</v>
      </c>
      <c r="X124" s="25"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25">
        <v>0</v>
      </c>
      <c r="Z124" s="25">
        <v>0</v>
      </c>
      <c r="AA124" s="25">
        <v>0</v>
      </c>
      <c r="AB124" s="25"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1:28" ht="20.100000000000001" customHeight="1" x14ac:dyDescent="0.25">
      <c r="A125"/>
      <c r="D125" s="25">
        <v>0</v>
      </c>
      <c r="E125" s="25">
        <v>0</v>
      </c>
      <c r="F125" s="25">
        <f t="shared" si="0"/>
        <v>0</v>
      </c>
      <c r="G125" s="263" cm="1">
        <f t="array" ref="G125">Scope3_Equations.VEERG_15_2_1_1__1_EmissionsFromPurchasedFeed(E125,F125)</f>
        <v>0</v>
      </c>
      <c r="H125" s="86"/>
      <c r="I125" s="263" cm="1">
        <f t="array" ref="I125">Scope3_Equations.VEERG_15_2_1_1__1_EmissionsFromPurchasedFeed(E125,IF(H125,H125, F125))</f>
        <v>0</v>
      </c>
      <c r="J125" s="44"/>
      <c r="K125" s="23"/>
      <c r="L125" s="44"/>
      <c r="M125" s="25">
        <v>0</v>
      </c>
      <c r="N125" s="25">
        <v>0</v>
      </c>
      <c r="O125" s="25">
        <v>0</v>
      </c>
      <c r="P125" s="25"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25">
        <v>0</v>
      </c>
      <c r="R125" s="25">
        <v>0</v>
      </c>
      <c r="S125" s="25">
        <v>0</v>
      </c>
      <c r="T125" s="25"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25">
        <v>0</v>
      </c>
      <c r="V125" s="25">
        <v>0</v>
      </c>
      <c r="W125" s="25">
        <v>0</v>
      </c>
      <c r="X125" s="25"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25">
        <v>0</v>
      </c>
      <c r="Z125" s="25">
        <v>0</v>
      </c>
      <c r="AA125" s="25">
        <v>0</v>
      </c>
      <c r="AB125" s="25"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1:28" ht="20.100000000000001" customHeight="1" x14ac:dyDescent="0.25">
      <c r="A126"/>
      <c r="D126" s="25">
        <v>0</v>
      </c>
      <c r="E126" s="25">
        <v>0</v>
      </c>
      <c r="F126" s="25">
        <f t="shared" si="0"/>
        <v>0</v>
      </c>
      <c r="G126" s="263" cm="1">
        <f t="array" ref="G126">Scope3_Equations.VEERG_15_2_1_1__1_EmissionsFromPurchasedFeed(E126,F126)</f>
        <v>0</v>
      </c>
      <c r="H126" s="86"/>
      <c r="I126" s="263" cm="1">
        <f t="array" ref="I126">Scope3_Equations.VEERG_15_2_1_1__1_EmissionsFromPurchasedFeed(E126,IF(H126,H126, F126))</f>
        <v>0</v>
      </c>
      <c r="J126" s="44"/>
      <c r="K126" s="23"/>
      <c r="L126" s="44"/>
      <c r="M126" s="25">
        <v>0</v>
      </c>
      <c r="N126" s="25">
        <v>0</v>
      </c>
      <c r="O126" s="25">
        <v>0</v>
      </c>
      <c r="P126" s="25"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25">
        <v>0</v>
      </c>
      <c r="R126" s="25">
        <v>0</v>
      </c>
      <c r="S126" s="25">
        <v>0</v>
      </c>
      <c r="T126" s="25"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25">
        <v>0</v>
      </c>
      <c r="V126" s="25">
        <v>0</v>
      </c>
      <c r="W126" s="25">
        <v>0</v>
      </c>
      <c r="X126" s="25"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25">
        <v>0</v>
      </c>
      <c r="Z126" s="25">
        <v>0</v>
      </c>
      <c r="AA126" s="25">
        <v>0</v>
      </c>
      <c r="AB126" s="25"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1:28" ht="20.100000000000001" customHeight="1" x14ac:dyDescent="0.25">
      <c r="A127"/>
      <c r="D127" s="25">
        <v>0</v>
      </c>
      <c r="E127" s="25">
        <v>0</v>
      </c>
      <c r="F127" s="25">
        <f t="shared" si="0"/>
        <v>0</v>
      </c>
      <c r="G127" s="263" cm="1">
        <f t="array" ref="G127">Scope3_Equations.VEERG_15_2_1_1__1_EmissionsFromPurchasedFeed(E127,F127)</f>
        <v>0</v>
      </c>
      <c r="H127" s="86"/>
      <c r="I127" s="263" cm="1">
        <f t="array" ref="I127">Scope3_Equations.VEERG_15_2_1_1__1_EmissionsFromPurchasedFeed(E127,IF(H127,H127, F127))</f>
        <v>0</v>
      </c>
      <c r="J127" s="44"/>
      <c r="K127" s="23"/>
      <c r="L127" s="44"/>
      <c r="M127" s="25">
        <v>0</v>
      </c>
      <c r="N127" s="25">
        <v>0</v>
      </c>
      <c r="O127" s="25">
        <v>0</v>
      </c>
      <c r="P127" s="25"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25">
        <v>0</v>
      </c>
      <c r="R127" s="25">
        <v>0</v>
      </c>
      <c r="S127" s="25">
        <v>0</v>
      </c>
      <c r="T127" s="25"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25">
        <v>0</v>
      </c>
      <c r="V127" s="25">
        <v>0</v>
      </c>
      <c r="W127" s="25">
        <v>0</v>
      </c>
      <c r="X127" s="25"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25">
        <v>0</v>
      </c>
      <c r="Z127" s="25">
        <v>0</v>
      </c>
      <c r="AA127" s="25">
        <v>0</v>
      </c>
      <c r="AB127" s="25"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1:28" ht="20.100000000000001" customHeight="1" x14ac:dyDescent="0.25">
      <c r="A128"/>
      <c r="D128" s="25">
        <v>0</v>
      </c>
      <c r="E128" s="25">
        <v>0</v>
      </c>
      <c r="F128" s="25">
        <f t="shared" si="0"/>
        <v>0</v>
      </c>
      <c r="G128" s="263" cm="1">
        <f t="array" ref="G128">Scope3_Equations.VEERG_15_2_1_1__1_EmissionsFromPurchasedFeed(E128,F128)</f>
        <v>0</v>
      </c>
      <c r="H128" s="86"/>
      <c r="I128" s="263" cm="1">
        <f t="array" ref="I128">Scope3_Equations.VEERG_15_2_1_1__1_EmissionsFromPurchasedFeed(E128,IF(H128,H128, F128))</f>
        <v>0</v>
      </c>
      <c r="J128" s="44"/>
      <c r="K128" s="23"/>
      <c r="L128" s="44"/>
      <c r="M128" s="25">
        <v>0</v>
      </c>
      <c r="N128" s="25">
        <v>0</v>
      </c>
      <c r="O128" s="25">
        <v>0</v>
      </c>
      <c r="P128" s="25"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25">
        <v>0</v>
      </c>
      <c r="R128" s="25">
        <v>0</v>
      </c>
      <c r="S128" s="25">
        <v>0</v>
      </c>
      <c r="T128" s="25"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25">
        <v>0</v>
      </c>
      <c r="V128" s="25">
        <v>0</v>
      </c>
      <c r="W128" s="25">
        <v>0</v>
      </c>
      <c r="X128" s="25"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25">
        <v>0</v>
      </c>
      <c r="Z128" s="25">
        <v>0</v>
      </c>
      <c r="AA128" s="25">
        <v>0</v>
      </c>
      <c r="AB128" s="25"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1:12" ht="20.100000000000001" customHeight="1" x14ac:dyDescent="0.25">
      <c r="A129"/>
    </row>
    <row r="130" spans="1:12" ht="20.100000000000001" customHeight="1" x14ac:dyDescent="0.25">
      <c r="A130"/>
      <c r="D130" s="122" t="s">
        <v>1069</v>
      </c>
      <c r="E130" s="114">
        <f>SUM(G119:G128)</f>
        <v>202.15199999999999</v>
      </c>
      <c r="F130" s="121" t="str">
        <f>$E$104</f>
        <v>t CO2e</v>
      </c>
    </row>
    <row r="131" spans="1:12" ht="20.100000000000001" customHeight="1" x14ac:dyDescent="0.25">
      <c r="A131"/>
      <c r="D131" s="122" t="s">
        <v>1072</v>
      </c>
      <c r="E131" s="114">
        <f>SUM(I119:I128)</f>
        <v>366.18</v>
      </c>
      <c r="F131" s="121" t="str">
        <f>$E$104</f>
        <v>t CO2e</v>
      </c>
    </row>
    <row r="132" spans="1:12" ht="20.100000000000001" customHeight="1" x14ac:dyDescent="0.25">
      <c r="A132"/>
    </row>
    <row r="133" spans="1:12" ht="20.100000000000001" customHeight="1" x14ac:dyDescent="0.25">
      <c r="A133"/>
    </row>
    <row r="134" spans="1:12" ht="20.100000000000001" customHeight="1" x14ac:dyDescent="0.25">
      <c r="A134"/>
      <c r="D134" s="246" t="s">
        <v>988</v>
      </c>
    </row>
    <row r="135" spans="1:12" ht="20.100000000000001" customHeight="1" x14ac:dyDescent="0.25">
      <c r="A135"/>
      <c r="D135" s="112" t="s">
        <v>152</v>
      </c>
      <c r="E135" s="112" t="s">
        <v>1097</v>
      </c>
      <c r="F135" s="111" t="s">
        <v>1098</v>
      </c>
      <c r="G135" s="111" t="s">
        <v>1069</v>
      </c>
      <c r="H135" s="112" t="s">
        <v>1099</v>
      </c>
      <c r="I135" s="111" t="s">
        <v>1072</v>
      </c>
      <c r="J135" s="112" t="s">
        <v>1073</v>
      </c>
      <c r="K135" s="112" t="s">
        <v>1074</v>
      </c>
      <c r="L135" s="112" t="s">
        <v>1075</v>
      </c>
    </row>
    <row r="136" spans="1:12" ht="20.100000000000001" customHeight="1" x14ac:dyDescent="0.25">
      <c r="A136"/>
      <c r="D136" s="25" t="str">
        <f>'Input - Farm Inputs'!D56</f>
        <v>Feed for chickens</v>
      </c>
      <c r="E136" s="25">
        <f>X_Cell_FarmInputs_FeedRations_Chickens</f>
        <v>100</v>
      </c>
      <c r="F136" s="25" cm="1">
        <f t="array" ref="F136">Common_InputFunctions.Utility_LookupValueInTableNumber(D136,Table_SourceData_Scope3_MixedRations[Product],Table_SourceData_Scope3_MixedRations[AusLCI Emissions intensity])</f>
        <v>0.59399999999999997</v>
      </c>
      <c r="G136" s="263" cm="1">
        <f t="array" ref="G136">Scope3_Equations.VEERG_15_2_1_1__1_EmissionsFromPurchasedFeed(E136,F136)</f>
        <v>59.4</v>
      </c>
      <c r="H136" s="86">
        <v>0.5</v>
      </c>
      <c r="I136" s="263" cm="1">
        <f t="array" ref="I136">Scope3_Equations.VEERG_15_2_1_1__1_EmissionsFromPurchasedFeed(E136,IF(H136,H136, F136))</f>
        <v>50</v>
      </c>
      <c r="J136" s="44"/>
      <c r="K136" s="23"/>
      <c r="L136" s="244"/>
    </row>
    <row r="137" spans="1:12" ht="20.100000000000001" customHeight="1" x14ac:dyDescent="0.25">
      <c r="A137"/>
      <c r="D137" s="25" t="str">
        <f>'Input - Farm Inputs'!D57</f>
        <v>Feed for dairy calves</v>
      </c>
      <c r="E137" s="25">
        <f>X_Cell_FarmInputs_FeedRations_DairyCalves</f>
        <v>100</v>
      </c>
      <c r="F137" s="25" cm="1">
        <f t="array" ref="F137">Common_InputFunctions.Utility_LookupValueInTableNumber(D137,Table_SourceData_Scope3_MixedRations[Product],Table_SourceData_Scope3_MixedRations[AusLCI Emissions intensity])</f>
        <v>0.41899999999999998</v>
      </c>
      <c r="G137" s="263" cm="1">
        <f t="array" ref="G137">Scope3_Equations.VEERG_15_2_1_1__1_EmissionsFromPurchasedFeed(E137,F137)</f>
        <v>41.9</v>
      </c>
      <c r="H137" s="86">
        <v>0.4</v>
      </c>
      <c r="I137" s="263" cm="1">
        <f t="array" ref="I137">Scope3_Equations.VEERG_15_2_1_1__1_EmissionsFromPurchasedFeed(E137,IF(H137,H137, F137))</f>
        <v>40</v>
      </c>
      <c r="J137" s="44"/>
      <c r="K137" s="23"/>
      <c r="L137" s="44"/>
    </row>
    <row r="138" spans="1:12" ht="20.100000000000001" customHeight="1" x14ac:dyDescent="0.25">
      <c r="A138"/>
      <c r="D138" s="25" t="str">
        <f>'Input - Farm Inputs'!D58</f>
        <v>Feed for dairy cows</v>
      </c>
      <c r="E138" s="25">
        <f>X_Cell_FarmInputs_FeedRations_DairyCows</f>
        <v>100</v>
      </c>
      <c r="F138" s="25" cm="1">
        <f t="array" ref="F138">Common_InputFunctions.Utility_LookupValueInTableNumber(D138,Table_SourceData_Scope3_MixedRations[Product],Table_SourceData_Scope3_MixedRations[AusLCI Emissions intensity])</f>
        <v>0.33300000000000002</v>
      </c>
      <c r="G138" s="263" cm="1">
        <f t="array" ref="G138">Scope3_Equations.VEERG_15_2_1_1__1_EmissionsFromPurchasedFeed(E138,F138)</f>
        <v>33.300000000000004</v>
      </c>
      <c r="H138" s="86">
        <v>0</v>
      </c>
      <c r="I138" s="263" cm="1">
        <f t="array" ref="I138">Scope3_Equations.VEERG_15_2_1_1__1_EmissionsFromPurchasedFeed(E138,IF(H138,H138, F138))</f>
        <v>33.300000000000004</v>
      </c>
      <c r="J138" s="44"/>
      <c r="K138" s="23"/>
      <c r="L138" s="44"/>
    </row>
    <row r="139" spans="1:12" ht="20.100000000000001" customHeight="1" x14ac:dyDescent="0.25">
      <c r="A139"/>
      <c r="D139" s="25" t="str">
        <f>'Input - Farm Inputs'!D59</f>
        <v>Feed for pigs</v>
      </c>
      <c r="E139" s="25">
        <f>X_Cell_FarmInputs_FeedRations_Pigs</f>
        <v>100</v>
      </c>
      <c r="F139" s="25" cm="1">
        <f t="array" ref="F139">Common_InputFunctions.Utility_LookupValueInTableNumber(D139,Table_SourceData_Scope3_MixedRations[Product],Table_SourceData_Scope3_MixedRations[AusLCI Emissions intensity])</f>
        <v>0.40300000000000002</v>
      </c>
      <c r="G139" s="263" cm="1">
        <f t="array" ref="G139">Scope3_Equations.VEERG_15_2_1_1__1_EmissionsFromPurchasedFeed(E139,F139)</f>
        <v>40.300000000000004</v>
      </c>
      <c r="H139" s="86">
        <v>0</v>
      </c>
      <c r="I139" s="263" cm="1">
        <f t="array" ref="I139">Scope3_Equations.VEERG_15_2_1_1__1_EmissionsFromPurchasedFeed(E139,IF(H139,H139, F139))</f>
        <v>40.300000000000004</v>
      </c>
      <c r="J139" s="44"/>
      <c r="K139" s="23"/>
      <c r="L139" s="44"/>
    </row>
    <row r="140" spans="1:12" ht="20.100000000000001" customHeight="1" x14ac:dyDescent="0.25">
      <c r="A140"/>
    </row>
    <row r="141" spans="1:12" ht="20.100000000000001" customHeight="1" x14ac:dyDescent="0.25">
      <c r="A141"/>
      <c r="D141" s="122" t="s">
        <v>1069</v>
      </c>
      <c r="E141" s="114">
        <f>SUM(G136:G139)</f>
        <v>174.9</v>
      </c>
      <c r="F141" s="121" t="str">
        <f>$E$104</f>
        <v>t CO2e</v>
      </c>
    </row>
    <row r="142" spans="1:12" ht="20.100000000000001" customHeight="1" x14ac:dyDescent="0.25">
      <c r="A142"/>
      <c r="D142" s="122" t="s">
        <v>1072</v>
      </c>
      <c r="E142" s="114">
        <f>SUM(I136:I139)</f>
        <v>163.60000000000002</v>
      </c>
      <c r="F142" s="121" t="str">
        <f>$E$104</f>
        <v>t CO2e</v>
      </c>
    </row>
    <row r="143" spans="1:12" ht="20.100000000000001" customHeight="1" x14ac:dyDescent="0.25">
      <c r="A143"/>
    </row>
    <row r="144" spans="1:12" ht="20.100000000000001" customHeight="1" x14ac:dyDescent="0.25">
      <c r="A144"/>
      <c r="D144" s="115" t="s">
        <v>1069</v>
      </c>
      <c r="E144" s="116">
        <f>E130+E141</f>
        <v>377.05200000000002</v>
      </c>
      <c r="F144" s="117" t="str">
        <f>$E$104</f>
        <v>t CO2e</v>
      </c>
    </row>
    <row r="145" spans="1:41" ht="20.100000000000001" customHeight="1" x14ac:dyDescent="0.25">
      <c r="A145"/>
      <c r="D145" s="115" t="s">
        <v>1072</v>
      </c>
      <c r="E145" s="116">
        <f>E131+E142</f>
        <v>529.78</v>
      </c>
      <c r="F145" s="117" t="str">
        <f>$E$104</f>
        <v>t CO2e</v>
      </c>
    </row>
    <row r="146" spans="1:41" ht="20.100000000000001" customHeight="1" x14ac:dyDescent="0.25">
      <c r="A146"/>
    </row>
    <row r="147" spans="1:41" ht="20.100000000000001" customHeight="1" x14ac:dyDescent="0.25">
      <c r="A147"/>
    </row>
    <row r="148" spans="1:41" ht="20.100000000000001" customHeight="1" x14ac:dyDescent="0.25">
      <c r="A148"/>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c r="AI148" s="114"/>
      <c r="AJ148" s="114"/>
      <c r="AK148" s="114"/>
      <c r="AL148" s="114"/>
      <c r="AM148" s="114"/>
      <c r="AN148" s="114"/>
      <c r="AO148" s="114"/>
    </row>
    <row r="149" spans="1:41" ht="20.100000000000001" customHeight="1" x14ac:dyDescent="0.25">
      <c r="A149"/>
      <c r="D149" s="2" t="str" cm="1">
        <f t="array" ref="D149">Scope3_Equations.VEERG_15_3_1_1__1_EmissionsFromPurchasedMineralSupplements_Title()</f>
        <v>Total emissions from purchased mineral supplements</v>
      </c>
    </row>
    <row r="150" spans="1:41" ht="20.100000000000001" customHeight="1" x14ac:dyDescent="0.25">
      <c r="A150"/>
      <c r="D150" s="27" t="str" cm="1">
        <f t="array" ref="D150">Scope3_Equations.VEERG_15_3_1_1__1_EmissionsFromPurchasedMineralSupplements_Source()</f>
        <v>VEERG 2026: 15.3.1.1, Equation (1)</v>
      </c>
    </row>
    <row r="151" spans="1:41" ht="20.100000000000001" customHeight="1" x14ac:dyDescent="0.25">
      <c r="A151"/>
      <c r="D151" s="100" t="s">
        <v>259</v>
      </c>
      <c r="E151" s="100" t="str" cm="1">
        <f t="array" aca="1" ref="E151" ca="1">Common_InputFunctions.Utility_DisplayFunctionName(G162)</f>
        <v>=Scope3_Equations.VEERG_15_3_1_1__1_EmissionsFromPurchasedMineralSupplements</v>
      </c>
    </row>
    <row r="152" spans="1:41" ht="20.100000000000001" customHeight="1" x14ac:dyDescent="0.25">
      <c r="A152"/>
    </row>
    <row r="153" spans="1:41" ht="20.100000000000001" customHeight="1" x14ac:dyDescent="0.25">
      <c r="A153"/>
      <c r="H153" s="100"/>
    </row>
    <row r="154" spans="1:41" ht="20.100000000000001" customHeight="1" x14ac:dyDescent="0.25">
      <c r="A154"/>
      <c r="D154" s="88" t="s">
        <v>261</v>
      </c>
      <c r="E154" s="1" t="str" cm="1">
        <f t="array" ref="E154">Scope3_Equations.VEERG_15_3_1_1__1_EmissionsFromPurchasedMineralSupplements_Variable()</f>
        <v>E</v>
      </c>
    </row>
    <row r="155" spans="1:41" ht="20.100000000000001" customHeight="1" x14ac:dyDescent="0.25">
      <c r="A155"/>
      <c r="D155" s="88" t="s">
        <v>131</v>
      </c>
      <c r="E155" s="15" t="str" cm="1">
        <f t="array" ref="E155">Scope3_Equations.VEERG_15_3_1_1__1_EmissionsFromPurchasedMineralSupplements_Unit()</f>
        <v>t CO2e</v>
      </c>
    </row>
    <row r="156" spans="1:41" ht="20.100000000000001" customHeight="1" x14ac:dyDescent="0.25">
      <c r="A156"/>
    </row>
    <row r="157" spans="1:41" ht="20.100000000000001" customHeight="1" x14ac:dyDescent="0.25">
      <c r="A157"/>
      <c r="D157" s="102" t="str" cm="1">
        <f t="array" ref="D157:E159">_xlfn.CHOOSECOLS(Scope3_Equations.VEERG_15_3_1_1__1_EmissionsFromPurchasedMineralSupplements_Arguments(),1,2)</f>
        <v>Q_m</v>
      </c>
      <c r="E157" s="103" t="str">
        <v>total quantity of mineral supplement type m used</v>
      </c>
      <c r="F157" s="105"/>
      <c r="G157" s="102" t="str" cm="1">
        <f t="array" ref="G157:H159">_xlfn.CHOOSECOLS(Scope3_Equations.VEERG_15_3_1_1__1_EmissionsFromPurchasedMineralSupplements_Arguments(),3,4)</f>
        <v>t</v>
      </c>
      <c r="H157" s="261" t="str">
        <v>Input</v>
      </c>
    </row>
    <row r="158" spans="1:41" ht="20.100000000000001" customHeight="1" x14ac:dyDescent="0.25">
      <c r="A158"/>
      <c r="D158" s="102" t="str">
        <v>EF_m</v>
      </c>
      <c r="E158" s="103" t="str">
        <v>emission factor of purchased mineral supplement</v>
      </c>
      <c r="F158" s="105"/>
      <c r="G158" s="102" t="str">
        <v>kg CO2e/kg</v>
      </c>
      <c r="H158" s="261" t="str">
        <v>Constant</v>
      </c>
    </row>
    <row r="159" spans="1:41" ht="20.100000000000001" customHeight="1" x14ac:dyDescent="0.25">
      <c r="A159"/>
      <c r="D159" s="102" t="str">
        <v>m</v>
      </c>
      <c r="E159" s="103" t="str">
        <v>mineral supplement type</v>
      </c>
      <c r="F159" s="105"/>
      <c r="G159" s="102" t="str">
        <v/>
      </c>
      <c r="H159" s="107" t="str">
        <v>Input</v>
      </c>
    </row>
    <row r="160" spans="1:41" ht="20.100000000000001" customHeight="1" x14ac:dyDescent="0.25">
      <c r="A160"/>
    </row>
    <row r="161" spans="3:41" ht="20.100000000000001" customHeight="1" x14ac:dyDescent="0.25">
      <c r="D161" s="112" t="s">
        <v>152</v>
      </c>
      <c r="E161" s="112" t="s">
        <v>1108</v>
      </c>
      <c r="F161" s="111" t="s">
        <v>1109</v>
      </c>
      <c r="G161" s="111" t="s">
        <v>1069</v>
      </c>
      <c r="H161" s="112" t="s">
        <v>1110</v>
      </c>
      <c r="I161" s="111" t="s">
        <v>1072</v>
      </c>
      <c r="J161" s="112" t="s">
        <v>1073</v>
      </c>
      <c r="K161" s="112" t="s">
        <v>1074</v>
      </c>
      <c r="L161" s="112" t="s">
        <v>1075</v>
      </c>
    </row>
    <row r="162" spans="3:41" ht="20.100000000000001" customHeight="1" x14ac:dyDescent="0.25">
      <c r="D162" s="25" t="str">
        <f>'Input - Farm Inputs'!D51</f>
        <v>Lick block, dry season mix</v>
      </c>
      <c r="E162" s="25">
        <f>X_Cell_FarmInputs_LickBlocks_DrySeasonMix</f>
        <v>100</v>
      </c>
      <c r="F162" s="25" cm="1">
        <f t="array" ref="F162">Common_InputFunctions.Utility_LookupValueInTableNumber(D162,Table_SourceData_Scope3_LickBlocks[Product],Table_SourceData_Scope3_LickBlocks[AusLCI Emissions intensity])</f>
        <v>0.88100000000000001</v>
      </c>
      <c r="G162" s="263" cm="1">
        <f t="array" ref="G162">Scope3_Equations.VEERG_15_3_1_1__1_EmissionsFromPurchasedMineralSupplements(E162,F162)</f>
        <v>88.1</v>
      </c>
      <c r="H162" s="86">
        <v>0.8</v>
      </c>
      <c r="I162" s="263" cm="1">
        <f t="array" ref="I162">Scope3_Equations.VEERG_15_3_1_1__1_EmissionsFromPurchasedMineralSupplements(E162,IF(H162, H162, F162))</f>
        <v>80</v>
      </c>
      <c r="J162" s="44"/>
      <c r="K162" s="23"/>
      <c r="L162" s="244"/>
    </row>
    <row r="163" spans="3:41" ht="20.100000000000001" customHeight="1" x14ac:dyDescent="0.25">
      <c r="D163" s="25" t="str">
        <f>'Input - Farm Inputs'!D52</f>
        <v>Lick block, mineral</v>
      </c>
      <c r="E163" s="25">
        <f>X_Cell_FarmInputs_LickBlocks_Mineral</f>
        <v>100</v>
      </c>
      <c r="F163" s="25" cm="1">
        <f t="array" ref="F163">Common_InputFunctions.Utility_LookupValueInTableNumber(D163,Table_SourceData_Scope3_LickBlocks[Product],Table_SourceData_Scope3_LickBlocks[AusLCI Emissions intensity])</f>
        <v>0.67700000000000005</v>
      </c>
      <c r="G163" s="263" cm="1">
        <f t="array" ref="G163">Scope3_Equations.VEERG_15_3_1_1__1_EmissionsFromPurchasedMineralSupplements(E163,F163)</f>
        <v>67.7</v>
      </c>
      <c r="H163" s="86">
        <v>0.6</v>
      </c>
      <c r="I163" s="263" cm="1">
        <f t="array" ref="I163">Scope3_Equations.VEERG_15_3_1_1__1_EmissionsFromPurchasedMineralSupplements(E163,IF(H163, H163, F163))</f>
        <v>60</v>
      </c>
      <c r="J163" s="44"/>
      <c r="K163" s="23"/>
      <c r="L163" s="44"/>
    </row>
    <row r="164" spans="3:41" ht="20.100000000000001" customHeight="1" x14ac:dyDescent="0.25">
      <c r="D164" s="25" t="str">
        <f>'Input - Farm Inputs'!D53</f>
        <v>Lick block, weaner</v>
      </c>
      <c r="E164" s="25">
        <f>X_Cell_FarmInputs_LickBlocks_Weaner</f>
        <v>100</v>
      </c>
      <c r="F164" s="25" cm="1">
        <f t="array" ref="F164">Common_InputFunctions.Utility_LookupValueInTableNumber(D164,Table_SourceData_Scope3_LickBlocks[Product],Table_SourceData_Scope3_LickBlocks[AusLCI Emissions intensity])</f>
        <v>0.23100000000000001</v>
      </c>
      <c r="G164" s="263" cm="1">
        <f t="array" ref="G164">Scope3_Equations.VEERG_15_3_1_1__1_EmissionsFromPurchasedMineralSupplements(E164,F164)</f>
        <v>23.1</v>
      </c>
      <c r="H164" s="86">
        <v>0.2</v>
      </c>
      <c r="I164" s="263" cm="1">
        <f t="array" ref="I164">Scope3_Equations.VEERG_15_3_1_1__1_EmissionsFromPurchasedMineralSupplements(E164,IF(H164, H164, F164))</f>
        <v>20</v>
      </c>
      <c r="J164" s="44"/>
      <c r="K164" s="23"/>
      <c r="L164" s="44"/>
    </row>
    <row r="165" spans="3:41" ht="20.100000000000001" customHeight="1" x14ac:dyDescent="0.25"/>
    <row r="166" spans="3:41" ht="20.100000000000001" customHeight="1" x14ac:dyDescent="0.25">
      <c r="D166" s="115" t="s">
        <v>1069</v>
      </c>
      <c r="E166" s="116">
        <f>SUM(G162:G164)</f>
        <v>178.9</v>
      </c>
      <c r="F166" s="117" t="str">
        <f>$E$155</f>
        <v>t CO2e</v>
      </c>
    </row>
    <row r="167" spans="3:41" ht="20.100000000000001" customHeight="1" x14ac:dyDescent="0.25">
      <c r="D167" s="115" t="s">
        <v>1072</v>
      </c>
      <c r="E167" s="116">
        <f>SUM(I162:I164)</f>
        <v>160</v>
      </c>
      <c r="F167" s="117" t="str">
        <f>$E$155</f>
        <v>t CO2e</v>
      </c>
    </row>
    <row r="168" spans="3:41" ht="20.100000000000001" customHeight="1" x14ac:dyDescent="0.25"/>
    <row r="169" spans="3:41" ht="20.100000000000001" customHeight="1" x14ac:dyDescent="0.25"/>
    <row r="170" spans="3:41" ht="20.100000000000001" customHeight="1" x14ac:dyDescent="0.25">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c r="AI170" s="114"/>
      <c r="AJ170" s="114"/>
      <c r="AK170" s="114"/>
      <c r="AL170" s="114"/>
      <c r="AM170" s="114"/>
      <c r="AN170" s="114"/>
      <c r="AO170" s="114"/>
    </row>
    <row r="171" spans="3:41" ht="20.100000000000001" customHeight="1" x14ac:dyDescent="0.25">
      <c r="D171" s="2" t="str" cm="1">
        <f t="array" ref="D171">Scope3_Equations.VEERG_15_4_1_1__X_EmissionFactorFromPurchasedFertiliserComponents_Title()</f>
        <v>Emission factor for fertiliser product derived from components</v>
      </c>
    </row>
    <row r="172" spans="3:41" ht="20.100000000000001" customHeight="1" x14ac:dyDescent="0.25">
      <c r="D172" s="27" t="str" cm="1">
        <f t="array" ref="D172">Scope3_Equations.VEERG_15_4_1_1__X_EmissionFactorFromPurchasedFertiliserComponents_Source()</f>
        <v>GAF</v>
      </c>
    </row>
    <row r="173" spans="3:41" ht="20.100000000000001" customHeight="1" x14ac:dyDescent="0.25">
      <c r="D173" s="36"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00" t="s">
        <v>259</v>
      </c>
      <c r="E174" s="100"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88" t="s">
        <v>261</v>
      </c>
      <c r="E177" s="1" t="str" cm="1">
        <f t="array" ref="E177">Scope3_Equations.VEERG_15_4_1_1__X_EmissionFactorFromPurchasedFertiliserComponents_Variable()</f>
        <v>EF_f</v>
      </c>
    </row>
    <row r="178" spans="4:8" ht="20.100000000000001" customHeight="1" x14ac:dyDescent="0.25">
      <c r="D178" s="88" t="s">
        <v>131</v>
      </c>
      <c r="E178" s="15"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02" t="str" cm="1">
        <f t="array" ref="D180:E183">_xlfn.CHOOSECOLS(Scope3_Equations.VEERG_15_4_1_1__X_EmissionFactorFromPurchasedFertiliserComponents_Arguments(),1,2)</f>
        <v>F_cf</v>
      </c>
      <c r="E180" s="103" t="str">
        <v>fraction of component c contained within the inorganic fertiliser f</v>
      </c>
      <c r="F180" s="105"/>
      <c r="G180" s="102" t="str" cm="1">
        <f t="array" ref="G180:H183">_xlfn.CHOOSECOLS(Scope3_Equations.VEERG_15_4_1_1__X_EmissionFactorFromPurchasedFertiliserComponents_Arguments(),3,4)</f>
        <v>wt%</v>
      </c>
      <c r="H180" s="261" t="str">
        <v>Input</v>
      </c>
    </row>
    <row r="181" spans="4:8" ht="20.100000000000001" customHeight="1" x14ac:dyDescent="0.25">
      <c r="D181" s="102" t="str">
        <v>EF_c</v>
      </c>
      <c r="E181" s="103" t="str">
        <v>emission factor for the production of component c</v>
      </c>
      <c r="F181" s="105"/>
      <c r="G181" s="102" t="str">
        <v>kg CO2e/kg component</v>
      </c>
      <c r="H181" s="107" t="str">
        <v>Constant</v>
      </c>
    </row>
    <row r="182" spans="4:8" ht="20.100000000000001" customHeight="1" x14ac:dyDescent="0.25">
      <c r="D182" s="102" t="str">
        <v>c</v>
      </c>
      <c r="E182" s="103" t="str">
        <v>fertiliser component</v>
      </c>
      <c r="F182" s="105"/>
      <c r="G182" s="102" t="str">
        <v/>
      </c>
      <c r="H182" s="261" t="str">
        <v>Input</v>
      </c>
    </row>
    <row r="183" spans="4:8" ht="20.100000000000001" customHeight="1" x14ac:dyDescent="0.25">
      <c r="D183" s="102" t="str">
        <v>f</v>
      </c>
      <c r="E183" s="103" t="str">
        <v>inorganic fertiliser type</v>
      </c>
      <c r="F183" s="105"/>
      <c r="G183" s="102" t="str">
        <v/>
      </c>
      <c r="H183" s="261" t="str">
        <v>Input</v>
      </c>
    </row>
    <row r="184" spans="4:8" ht="20.100000000000001" customHeight="1" x14ac:dyDescent="0.25"/>
    <row r="185" spans="4:8" ht="20.100000000000001" customHeight="1" x14ac:dyDescent="0.25"/>
    <row r="186" spans="4:8" ht="20.100000000000001" customHeight="1" x14ac:dyDescent="0.25">
      <c r="D186" s="2" t="str" cm="1">
        <f t="array" ref="D186">Scope3_Equations.VEERG_15_4_1_1__1_EmissionsFromPurchasedFertiliser_Title()</f>
        <v>Emissions from purchased fertiliser</v>
      </c>
    </row>
    <row r="187" spans="4:8" ht="20.100000000000001" customHeight="1" x14ac:dyDescent="0.25">
      <c r="D187" s="27" t="str" cm="1">
        <f t="array" ref="D187">Scope3_Equations.VEERG_15_4_1_1__1_EmissionsFromPurchasedFertiliser_Source()</f>
        <v>VEERG 2026: 15.4.1.1, Equation (1)</v>
      </c>
    </row>
    <row r="188" spans="4:8" ht="20.100000000000001" customHeight="1" x14ac:dyDescent="0.25">
      <c r="D188" s="100" t="s">
        <v>259</v>
      </c>
      <c r="E188" s="100"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88" t="s">
        <v>261</v>
      </c>
      <c r="E191" s="1" t="str" cm="1">
        <f t="array" ref="E191">Scope3_Equations.VEERG_15_4_1_1__1_EmissionsFromPurchasedFertiliser_Variable()</f>
        <v>E</v>
      </c>
    </row>
    <row r="192" spans="4:8" ht="20.100000000000001" customHeight="1" x14ac:dyDescent="0.25">
      <c r="D192" s="88" t="s">
        <v>131</v>
      </c>
      <c r="E192" s="15" t="str" cm="1">
        <f t="array" ref="E192">Scope3_Equations.VEERG_15_4_1_1__1_EmissionsFromPurchasedFertiliser_Unit()</f>
        <v>t CO2e</v>
      </c>
    </row>
    <row r="193" spans="4:8" ht="20.100000000000001" customHeight="1" x14ac:dyDescent="0.25"/>
    <row r="194" spans="4:8" ht="20.100000000000001" customHeight="1" x14ac:dyDescent="0.25">
      <c r="D194" s="102" t="str" cm="1">
        <f t="array" ref="D194:E197">_xlfn.CHOOSECOLS(Scope3_Equations.VEERG_15_4_1_1__1_EmissionsFromPurchasedFertiliser_Arguments(),1,2)</f>
        <v>TM_jf</v>
      </c>
      <c r="E194" s="102" t="str">
        <v>quantity of inorganic fertiliser type f purchased and applied to production system j</v>
      </c>
      <c r="F194" s="102"/>
      <c r="G194" s="102" t="str" cm="1">
        <f t="array" ref="G194:H197">_xlfn.CHOOSECOLS(Scope3_Equations.VEERG_15_4_1_1__1_EmissionsFromPurchasedFertiliser_Arguments(),3,4)</f>
        <v>kg</v>
      </c>
      <c r="H194" s="261" t="str">
        <v>Input</v>
      </c>
    </row>
    <row r="195" spans="4:8" ht="20.100000000000001" customHeight="1" x14ac:dyDescent="0.25">
      <c r="D195" s="102" t="str">
        <v>EF_f</v>
      </c>
      <c r="E195" s="102" t="str">
        <v>emission factor of purchased inorganic fertiliser</v>
      </c>
      <c r="F195" s="102"/>
      <c r="G195" s="102" t="str">
        <v>kg CO2e/kg</v>
      </c>
      <c r="H195" s="107" t="str">
        <v>Constant</v>
      </c>
    </row>
    <row r="196" spans="4:8" ht="20.100000000000001" customHeight="1" x14ac:dyDescent="0.25">
      <c r="D196" s="102" t="str">
        <v>j</v>
      </c>
      <c r="E196" s="102" t="str">
        <v>production system</v>
      </c>
      <c r="F196" s="102"/>
      <c r="G196" s="102" t="str">
        <v/>
      </c>
      <c r="H196" s="261" t="str">
        <v>Input</v>
      </c>
    </row>
    <row r="197" spans="4:8" ht="20.100000000000001" customHeight="1" x14ac:dyDescent="0.25">
      <c r="D197" s="102" t="str">
        <v>f</v>
      </c>
      <c r="E197" s="102" t="str">
        <v>inorganic fertiliser type</v>
      </c>
      <c r="F197" s="102"/>
      <c r="G197" s="102" t="str">
        <v/>
      </c>
      <c r="H197" s="261" t="str">
        <v>Input</v>
      </c>
    </row>
    <row r="198" spans="4:8" ht="20.100000000000001" customHeight="1" x14ac:dyDescent="0.25"/>
    <row r="199" spans="4:8" ht="20.100000000000001" customHeight="1" x14ac:dyDescent="0.25"/>
    <row r="200" spans="4:8" ht="20.100000000000001" customHeight="1" x14ac:dyDescent="0.25">
      <c r="D200" s="2" t="str" cm="1">
        <f t="array" ref="D200">Scope3_Equations.VEERG_15_4_1_1__2_EmissionsFromPurchasedFertiliserComponents_Title()</f>
        <v>Emissions from purchased fertiliser components</v>
      </c>
    </row>
    <row r="201" spans="4:8" ht="20.100000000000001" customHeight="1" x14ac:dyDescent="0.25">
      <c r="D201" s="27" t="str" cm="1">
        <f t="array" ref="D201">Scope3_Equations.VEERG_15_4_1_1__2_EmissionsFromPurchasedFertiliserComponents_Source()</f>
        <v>VEERG 2026: 15.4.1.1, Equation (2)</v>
      </c>
    </row>
    <row r="202" spans="4:8" ht="20.100000000000001" customHeight="1" x14ac:dyDescent="0.25">
      <c r="D202" s="36"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00" t="s">
        <v>259</v>
      </c>
      <c r="E203" s="100"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88" t="s">
        <v>261</v>
      </c>
      <c r="E206" s="1" t="str" cm="1">
        <f t="array" ref="E206">Scope3_Equations.VEERG_15_4_1_1__2_EmissionsFromPurchasedFertiliserComponents_Variable()</f>
        <v>E</v>
      </c>
    </row>
    <row r="207" spans="4:8" ht="20.100000000000001" customHeight="1" x14ac:dyDescent="0.25">
      <c r="D207" s="88" t="s">
        <v>131</v>
      </c>
      <c r="E207" s="15" t="str" cm="1">
        <f t="array" ref="E207">Scope3_Equations.VEERG_15_4_1_1__2_EmissionsFromPurchasedFertiliserComponents_Unit()</f>
        <v>t CO2e</v>
      </c>
    </row>
    <row r="208" spans="4:8" ht="20.100000000000001" customHeight="1" x14ac:dyDescent="0.25"/>
    <row r="209" spans="4:40" ht="20.100000000000001" customHeight="1" x14ac:dyDescent="0.25">
      <c r="D209" s="102" t="str" cm="1">
        <f t="array" ref="D209:E214">_xlfn.CHOOSECOLS(Scope3_Equations.VEERG_15_4_1_1__2_EmissionsFromPurchasedFertiliserComponents_Arguments(),1,2)</f>
        <v>F_cf</v>
      </c>
      <c r="E209" s="103" t="str">
        <v>fraction of component c contained within the inorganic fertiliser f</v>
      </c>
      <c r="F209" s="105"/>
      <c r="G209" s="102" t="str" cm="1">
        <f t="array" ref="G209:H214">_xlfn.CHOOSECOLS(Scope3_Equations.VEERG_15_4_1_1__2_EmissionsFromPurchasedFertiliserComponents_Arguments(),3,4)</f>
        <v>wt%</v>
      </c>
      <c r="H209" s="261" t="str">
        <v>Input</v>
      </c>
    </row>
    <row r="210" spans="4:40" ht="20.100000000000001" customHeight="1" x14ac:dyDescent="0.25">
      <c r="D210" s="102" t="str">
        <v>TM_jf</v>
      </c>
      <c r="E210" s="103" t="str">
        <v>quantity of inorganic fertiliser type f purchased and applied to production system j</v>
      </c>
      <c r="F210" s="105"/>
      <c r="G210" s="102" t="str">
        <v>kg</v>
      </c>
      <c r="H210" s="107" t="str">
        <v>Input</v>
      </c>
    </row>
    <row r="211" spans="4:40" ht="20.100000000000001" customHeight="1" x14ac:dyDescent="0.25">
      <c r="D211" s="102" t="str">
        <v>EF_c</v>
      </c>
      <c r="E211" s="103" t="str">
        <v>emission factor for the production of component c</v>
      </c>
      <c r="F211" s="105"/>
      <c r="G211" s="102" t="str">
        <v>kg CO2e/kg component</v>
      </c>
      <c r="H211" s="107" t="str">
        <v>Constant</v>
      </c>
    </row>
    <row r="212" spans="4:40" ht="20.100000000000001" customHeight="1" x14ac:dyDescent="0.25">
      <c r="D212" s="102" t="str">
        <v>c</v>
      </c>
      <c r="E212" s="103" t="str">
        <v>fertiliser component</v>
      </c>
      <c r="F212" s="105"/>
      <c r="G212" s="102" t="str">
        <v/>
      </c>
      <c r="H212" s="261" t="str">
        <v>Input</v>
      </c>
    </row>
    <row r="213" spans="4:40" ht="20.100000000000001" customHeight="1" x14ac:dyDescent="0.25">
      <c r="D213" s="102" t="str">
        <v>f</v>
      </c>
      <c r="E213" s="103" t="str">
        <v>inorganic fertiliser type</v>
      </c>
      <c r="F213" s="105"/>
      <c r="G213" s="102" t="str">
        <v/>
      </c>
      <c r="H213" s="261" t="str">
        <v>Input</v>
      </c>
    </row>
    <row r="214" spans="4:40" ht="20.100000000000001" customHeight="1" x14ac:dyDescent="0.25">
      <c r="D214" s="102" t="str">
        <v>j</v>
      </c>
      <c r="E214" s="103" t="str">
        <v>production system</v>
      </c>
      <c r="F214" s="105"/>
      <c r="G214" s="102" t="str">
        <v/>
      </c>
      <c r="H214" s="261" t="str">
        <v>Input</v>
      </c>
    </row>
    <row r="215" spans="4:40" ht="20.100000000000001" customHeight="1" x14ac:dyDescent="0.25"/>
    <row r="216" spans="4:40" ht="20.100000000000001" customHeight="1" x14ac:dyDescent="0.25">
      <c r="D216" s="246" t="s">
        <v>1111</v>
      </c>
    </row>
    <row r="217" spans="4:40" ht="20.100000000000001" customHeight="1" x14ac:dyDescent="0.25"/>
    <row r="218" spans="4:40" ht="20.100000000000001" customHeight="1" x14ac:dyDescent="0.25">
      <c r="D218" s="46" t="s">
        <v>1112</v>
      </c>
      <c r="E218" s="48"/>
      <c r="F218" s="49"/>
    </row>
    <row r="219" spans="4:40" ht="20.100000000000001" customHeight="1" x14ac:dyDescent="0.25"/>
    <row r="220" spans="4:40" ht="20.100000000000001" customHeight="1" x14ac:dyDescent="0.25">
      <c r="D220" s="112" t="s">
        <v>152</v>
      </c>
      <c r="E220" s="112" t="s">
        <v>1113</v>
      </c>
      <c r="F220" s="111" t="s">
        <v>1114</v>
      </c>
      <c r="G220" s="111" t="s">
        <v>1115</v>
      </c>
      <c r="H220" s="111" t="s">
        <v>1116</v>
      </c>
      <c r="I220" s="112" t="s">
        <v>1117</v>
      </c>
      <c r="J220" s="111" t="s">
        <v>1118</v>
      </c>
      <c r="K220" s="111" t="s">
        <v>1119</v>
      </c>
      <c r="L220" s="112" t="s">
        <v>1073</v>
      </c>
      <c r="M220" s="112" t="s">
        <v>1074</v>
      </c>
      <c r="N220" s="112" t="s">
        <v>1075</v>
      </c>
      <c r="O220" s="111" t="s">
        <v>490</v>
      </c>
      <c r="P220" s="111" t="s">
        <v>491</v>
      </c>
      <c r="Q220" s="111" t="s">
        <v>477</v>
      </c>
      <c r="R220" s="111" t="s">
        <v>478</v>
      </c>
      <c r="S220" s="111" t="s">
        <v>1120</v>
      </c>
      <c r="T220" s="112" t="s">
        <v>1121</v>
      </c>
      <c r="U220" s="111" t="s">
        <v>479</v>
      </c>
      <c r="V220" s="111" t="s">
        <v>480</v>
      </c>
      <c r="W220" s="111" t="s">
        <v>1122</v>
      </c>
      <c r="X220" s="112" t="s">
        <v>1123</v>
      </c>
      <c r="Y220" s="111" t="s">
        <v>481</v>
      </c>
      <c r="Z220" s="111" t="s">
        <v>482</v>
      </c>
      <c r="AA220" s="111" t="s">
        <v>1124</v>
      </c>
      <c r="AB220" s="112" t="s">
        <v>1125</v>
      </c>
      <c r="AC220" s="111" t="s">
        <v>483</v>
      </c>
      <c r="AD220" s="111" t="s">
        <v>484</v>
      </c>
      <c r="AE220" s="111" t="s">
        <v>1126</v>
      </c>
      <c r="AF220" s="112" t="s">
        <v>1127</v>
      </c>
      <c r="AG220" s="111" t="s">
        <v>485</v>
      </c>
      <c r="AH220" s="111" t="s">
        <v>486</v>
      </c>
      <c r="AI220" s="111" t="s">
        <v>1128</v>
      </c>
      <c r="AJ220" s="112" t="s">
        <v>1129</v>
      </c>
      <c r="AK220" s="111" t="s">
        <v>487</v>
      </c>
      <c r="AL220" s="111" t="s">
        <v>488</v>
      </c>
      <c r="AM220" s="111" t="s">
        <v>1130</v>
      </c>
      <c r="AN220" s="112" t="s">
        <v>1131</v>
      </c>
    </row>
    <row r="221" spans="4:40" ht="20.100000000000001" customHeight="1" x14ac:dyDescent="0.25">
      <c r="D221" s="25" t="str" cm="1">
        <f t="array" ref="D221:D230">IFERROR(INDEX(Table_Input_InorganicFertiliser_Brands[Product (select)], _xlfn.SEQUENCE(10)), "")</f>
        <v>Aqua Finish</v>
      </c>
      <c r="E221" s="25" cm="1">
        <f t="array" ref="E221:E230">IFERROR(INDEX(Table_Input_InorganicFertiliser_Brands[Total applied (kg)], _xlfn.SEQUENCE(10)), 0)</f>
        <v>126000</v>
      </c>
      <c r="F221" s="25"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263" cm="1">
        <f t="array" ref="G221">Scope3_Equations.VEERG_15_4_1_1__1_EmissionsFromPurchasedFertiliser(E221,F221)</f>
        <v>59.487750000000005</v>
      </c>
      <c r="H221" s="25"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59.487749999999998</v>
      </c>
      <c r="I221" s="86">
        <v>0.4</v>
      </c>
      <c r="J221" s="263" cm="1">
        <f t="array" ref="J221">Scope3_Equations.VEERG_15_4_1_1__1_EmissionsFromPurchasedFertiliser(E221,I221)</f>
        <v>50.4</v>
      </c>
      <c r="K221" s="263"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44"/>
      <c r="M221" s="23"/>
      <c r="N221" s="244"/>
      <c r="O221" s="25" t="str" cm="1">
        <f t="array" ref="O221:O230">IFERROR(INDEX(Table_Input_InorganicFertiliser_Brands[Urea source], _xlfn.SEQUENCE(10)), "")</f>
        <v/>
      </c>
      <c r="P221" s="25" t="str" cm="1">
        <f t="array" ref="P221:P230">IFERROR(INDEX(Table_Input_InorganicFertiliser_Brands[Ammonia source], _xlfn.SEQUENCE(10)), "")</f>
        <v/>
      </c>
      <c r="Q221" s="25" t="str" cm="1">
        <f t="array" ref="Q221:Q230">IFERROR(INDEX(Table_Input_InorganicFertiliser_Brands[Ingredient 1], _xlfn.SEQUENCE(10)), "")</f>
        <v>Potassium - Generic</v>
      </c>
      <c r="R221" s="25" cm="1">
        <f t="array" ref="R221:R230">IFERROR(INDEX(_xlfn.LET(_xlpm.result, Table_Input_InorganicFertiliser_Brands[Ingredient 1 percent], IF(_xlpm.result="", 0, _xlpm.result)), _xlfn.SEQUENCE(10)), 0)</f>
        <v>0.22500000000000001</v>
      </c>
      <c r="S221" s="25"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86">
        <v>0.9</v>
      </c>
      <c r="U221" s="25" t="str" cm="1">
        <f t="array" ref="U221:U230">IFERROR(INDEX(Table_Input_InorganicFertiliser_Brands[Ingredient 2], _xlfn.SEQUENCE(10)), "")</f>
        <v>Phosphorus - Generic</v>
      </c>
      <c r="V221" s="25" cm="1">
        <f t="array" ref="V221:V230">IFERROR(INDEX(_xlfn.LET(_xlpm.result, Table_Input_InorganicFertiliser_Brands[Ingredient 2 percent], IF(_xlpm.result="", 0, _xlpm.result)), _xlfn.SEQUENCE(10)), 0)</f>
        <v>0.04</v>
      </c>
      <c r="W221" s="25"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86">
        <v>0.9</v>
      </c>
      <c r="Y221" s="25" t="str" cm="1">
        <f t="array" ref="Y221:Y230">IFERROR(INDEX(Table_Input_InorganicFertiliser_Brands[Ingredient 3], _xlfn.SEQUENCE(10)), "")</f>
        <v>Nitrogen - Generic</v>
      </c>
      <c r="Z221" s="25" cm="1">
        <f t="array" ref="Z221:Z230">IFERROR(INDEX(_xlfn.LET(_xlpm.result, Table_Input_InorganicFertiliser_Brands[Ingredient 3 percent], IF(_xlpm.result="", 0, _xlpm.result)), _xlfn.SEQUENCE(10)), 0)</f>
        <v>2.5999999999999999E-2</v>
      </c>
      <c r="AA221" s="25"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86">
        <v>4</v>
      </c>
      <c r="AC221" s="25" t="str" cm="1">
        <f t="array" ref="AC221:AC230">IFERROR(INDEX(Table_Input_InorganicFertiliser_Brands[Ingredient 4], _xlfn.SEQUENCE(10)), "")</f>
        <v/>
      </c>
      <c r="AD221" s="25" cm="1">
        <f t="array" ref="AD221:AD230">IFERROR(INDEX(_xlfn.LET(_xlpm.result, Table_Input_InorganicFertiliser_Brands[Ingredient 4 percent], IF(_xlpm.result="", 0, _xlpm.result)), _xlfn.SEQUENCE(10)), 0)</f>
        <v>0</v>
      </c>
      <c r="AE221" s="25"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86">
        <v>0</v>
      </c>
      <c r="AG221" s="25" t="str" cm="1">
        <f t="array" ref="AG221:AG230">IFERROR(INDEX(Table_Input_InorganicFertiliser_Brands[Ingredient 5], _xlfn.SEQUENCE(10)), "")</f>
        <v/>
      </c>
      <c r="AH221" s="25" cm="1">
        <f t="array" ref="AH221:AH230">IFERROR(INDEX(_xlfn.LET(_xlpm.result, Table_Input_InorganicFertiliser_Brands[Ingredient 5 percent], IF(_xlpm.result="", 0, _xlpm.result)), _xlfn.SEQUENCE(10)), 0)</f>
        <v>0</v>
      </c>
      <c r="AI221" s="25"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86">
        <v>0</v>
      </c>
      <c r="AK221" s="25" t="str" cm="1">
        <f t="array" ref="AK221:AK230">IFERROR(INDEX(Table_Input_InorganicFertiliser_Brands[Ingredient 6], _xlfn.SEQUENCE(10)), "")</f>
        <v/>
      </c>
      <c r="AL221" s="25" cm="1">
        <f t="array" ref="AL221:AL230">IFERROR(INDEX(_xlfn.LET(_xlpm.result, Table_Input_InorganicFertiliser_Brands[Ingredient 6 percent], IF(_xlpm.result="", 0, _xlpm.result)), _xlfn.SEQUENCE(10)), 0)</f>
        <v>0</v>
      </c>
      <c r="AM221" s="25"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86"/>
    </row>
    <row r="222" spans="4:40" ht="20.100000000000001" customHeight="1" x14ac:dyDescent="0.25">
      <c r="D222" s="25" t="str">
        <v>CalPhos</v>
      </c>
      <c r="E222" s="25">
        <v>128500</v>
      </c>
      <c r="F222" s="25"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263" cm="1">
        <f t="array" ref="G222">Scope3_Equations.VEERG_15_4_1_1__1_EmissionsFromPurchasedFertiliser(E222,F222)</f>
        <v>68.696100000000001</v>
      </c>
      <c r="H222" s="25"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68.696100000000001</v>
      </c>
      <c r="I222" s="86">
        <v>0.9</v>
      </c>
      <c r="J222" s="263" cm="1">
        <f t="array" ref="J222">Scope3_Equations.VEERG_15_4_1_1__1_EmissionsFromPurchasedFertiliser(E222,I222)</f>
        <v>115.65</v>
      </c>
      <c r="K222" s="263"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68.696100000000001</v>
      </c>
      <c r="L222" s="44"/>
      <c r="M222" s="23"/>
      <c r="N222" s="44"/>
      <c r="O222" s="25" t="str">
        <v/>
      </c>
      <c r="P222" s="25" t="str">
        <v/>
      </c>
      <c r="Q222" s="25" t="str">
        <v>Phosphorus - Generic</v>
      </c>
      <c r="R222" s="25">
        <v>0.13500000000000001</v>
      </c>
      <c r="S222" s="25"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86"/>
      <c r="U222" s="25" t="str">
        <v>Calcium - Generic</v>
      </c>
      <c r="V222" s="25">
        <v>0.04</v>
      </c>
      <c r="W222" s="25"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86"/>
      <c r="Y222" s="25" t="str">
        <v/>
      </c>
      <c r="Z222" s="25">
        <v>0</v>
      </c>
      <c r="AA222" s="25"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86"/>
      <c r="AC222" s="25" t="str">
        <v/>
      </c>
      <c r="AD222" s="25">
        <v>0</v>
      </c>
      <c r="AE222" s="25"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86"/>
      <c r="AG222" s="25" t="str">
        <v/>
      </c>
      <c r="AH222" s="25">
        <v>0</v>
      </c>
      <c r="AI222" s="25"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86"/>
      <c r="AK222" s="25" t="str">
        <v/>
      </c>
      <c r="AL222" s="25">
        <v>0</v>
      </c>
      <c r="AM222" s="25"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86"/>
    </row>
    <row r="223" spans="4:40" ht="20.100000000000001" customHeight="1" x14ac:dyDescent="0.25">
      <c r="D223" s="25" t="str">
        <v>CalPhos</v>
      </c>
      <c r="E223" s="25">
        <v>128500</v>
      </c>
      <c r="F223" s="25"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263" cm="1">
        <f t="array" ref="G223">Scope3_Equations.VEERG_15_4_1_1__1_EmissionsFromPurchasedFertiliser(E223,F223)</f>
        <v>68.696100000000001</v>
      </c>
      <c r="H223" s="25"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68.696100000000001</v>
      </c>
      <c r="I223" s="86">
        <v>0.4</v>
      </c>
      <c r="J223" s="263" cm="1">
        <f t="array" ref="J223">Scope3_Equations.VEERG_15_4_1_1__1_EmissionsFromPurchasedFertiliser(E223,I223)</f>
        <v>51.4</v>
      </c>
      <c r="K223" s="263"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68.696100000000001</v>
      </c>
      <c r="L223" s="44"/>
      <c r="M223" s="23"/>
      <c r="N223" s="44"/>
      <c r="O223" s="25" t="str">
        <v/>
      </c>
      <c r="P223" s="25" t="str">
        <v/>
      </c>
      <c r="Q223" s="25" t="str">
        <v>Phosphorus - Generic</v>
      </c>
      <c r="R223" s="25">
        <v>0.13500000000000001</v>
      </c>
      <c r="S223" s="25"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86"/>
      <c r="U223" s="25" t="str">
        <v>Calcium - Generic</v>
      </c>
      <c r="V223" s="25">
        <v>0.04</v>
      </c>
      <c r="W223" s="25"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86"/>
      <c r="Y223" s="25" t="str">
        <v/>
      </c>
      <c r="Z223" s="25">
        <v>0</v>
      </c>
      <c r="AA223" s="25"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86"/>
      <c r="AC223" s="25" t="str">
        <v/>
      </c>
      <c r="AD223" s="25">
        <v>0</v>
      </c>
      <c r="AE223" s="25"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86"/>
      <c r="AG223" s="25" t="str">
        <v/>
      </c>
      <c r="AH223" s="25">
        <v>0</v>
      </c>
      <c r="AI223" s="25"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86"/>
      <c r="AK223" s="25" t="str">
        <v/>
      </c>
      <c r="AL223" s="25">
        <v>0</v>
      </c>
      <c r="AM223" s="25"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86"/>
    </row>
    <row r="224" spans="4:40" ht="20.100000000000001" customHeight="1" x14ac:dyDescent="0.25">
      <c r="D224" s="25" t="str">
        <v>Aqua Grow</v>
      </c>
      <c r="E224" s="25">
        <v>126000</v>
      </c>
      <c r="F224" s="25"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263" cm="1">
        <f t="array" ref="G224">Scope3_Equations.VEERG_15_4_1_1__1_EmissionsFromPurchasedFertiliser(E224,F224)</f>
        <v>87.777269999999987</v>
      </c>
      <c r="H224" s="25"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87.777270000000016</v>
      </c>
      <c r="I224" s="86"/>
      <c r="J224" s="263" cm="1">
        <f t="array" ref="J224">Scope3_Equations.VEERG_15_4_1_1__1_EmissionsFromPurchasedFertiliser(E224,I224)</f>
        <v>0</v>
      </c>
      <c r="K224" s="263"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87.777270000000016</v>
      </c>
      <c r="L224" s="44"/>
      <c r="M224" s="23"/>
      <c r="N224" s="44"/>
      <c r="O224" s="25" t="str">
        <v/>
      </c>
      <c r="P224" s="25" t="str">
        <v/>
      </c>
      <c r="Q224" s="25" t="str">
        <v>Potassium - Generic</v>
      </c>
      <c r="R224" s="25">
        <v>0.105</v>
      </c>
      <c r="S224" s="25"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86"/>
      <c r="U224" s="25" t="str">
        <v>Nitrogen - Generic</v>
      </c>
      <c r="V224" s="25">
        <v>9.6000000000000002E-2</v>
      </c>
      <c r="W224" s="25"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86"/>
      <c r="Y224" s="25" t="str">
        <v>Phosphorus - Generic</v>
      </c>
      <c r="Z224" s="25">
        <v>0.05</v>
      </c>
      <c r="AA224" s="25"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86"/>
      <c r="AC224" s="25" t="str">
        <v/>
      </c>
      <c r="AD224" s="25">
        <v>0</v>
      </c>
      <c r="AE224" s="25"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86"/>
      <c r="AG224" s="25" t="str">
        <v/>
      </c>
      <c r="AH224" s="25">
        <v>0</v>
      </c>
      <c r="AI224" s="25"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86"/>
      <c r="AK224" s="25" t="str">
        <v/>
      </c>
      <c r="AL224" s="25">
        <v>0</v>
      </c>
      <c r="AM224" s="25"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86"/>
    </row>
    <row r="225" spans="4:40" ht="20.100000000000001" customHeight="1" x14ac:dyDescent="0.25">
      <c r="D225" s="25" t="str">
        <v>Aqua NitroCal</v>
      </c>
      <c r="E225" s="25">
        <v>150000</v>
      </c>
      <c r="F225" s="25"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263" cm="1">
        <f t="array" ref="G225">Scope3_Equations.VEERG_15_4_1_1__1_EmissionsFromPurchasedFertiliser(E225,F225)</f>
        <v>108.306</v>
      </c>
      <c r="H225" s="25"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86"/>
      <c r="J225" s="263" cm="1">
        <f t="array" ref="J225">Scope3_Equations.VEERG_15_4_1_1__1_EmissionsFromPurchasedFertiliser(E225,I225)</f>
        <v>0</v>
      </c>
      <c r="K225" s="263"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44"/>
      <c r="M225" s="23"/>
      <c r="N225" s="44"/>
      <c r="O225" s="25" t="str">
        <v/>
      </c>
      <c r="P225" s="25" t="str">
        <v/>
      </c>
      <c r="Q225" s="25" t="str">
        <v>Calcium - Generic</v>
      </c>
      <c r="R225" s="25">
        <v>0.16200000000000001</v>
      </c>
      <c r="S225" s="25"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86"/>
      <c r="U225" s="25" t="str">
        <v>Nitrogen - Nitrate</v>
      </c>
      <c r="V225" s="25">
        <v>0.13200000000000001</v>
      </c>
      <c r="W225" s="25"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86"/>
      <c r="Y225" s="25" t="str">
        <v/>
      </c>
      <c r="Z225" s="25">
        <v>0</v>
      </c>
      <c r="AA225" s="25"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86"/>
      <c r="AC225" s="25" t="str">
        <v/>
      </c>
      <c r="AD225" s="25">
        <v>0</v>
      </c>
      <c r="AE225" s="25"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86"/>
      <c r="AG225" s="25" t="str">
        <v/>
      </c>
      <c r="AH225" s="25">
        <v>0</v>
      </c>
      <c r="AI225" s="25"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86"/>
      <c r="AK225" s="25" t="str">
        <v/>
      </c>
      <c r="AL225" s="25">
        <v>0</v>
      </c>
      <c r="AM225" s="25"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86"/>
    </row>
    <row r="226" spans="4:40" ht="20.100000000000001" customHeight="1" x14ac:dyDescent="0.25">
      <c r="D226" s="25" t="str">
        <v/>
      </c>
      <c r="E226" s="25">
        <v>0</v>
      </c>
      <c r="F226" s="25"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263" cm="1">
        <f t="array" ref="G226">Scope3_Equations.VEERG_15_4_1_1__1_EmissionsFromPurchasedFertiliser(E226,F226)</f>
        <v>0</v>
      </c>
      <c r="H226" s="25"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86"/>
      <c r="J226" s="263" cm="1">
        <f t="array" ref="J226">Scope3_Equations.VEERG_15_4_1_1__1_EmissionsFromPurchasedFertiliser(E226,I226)</f>
        <v>0</v>
      </c>
      <c r="K226" s="263"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44"/>
      <c r="M226" s="23"/>
      <c r="N226" s="44"/>
      <c r="O226" s="25" t="str">
        <v/>
      </c>
      <c r="P226" s="25" t="str">
        <v/>
      </c>
      <c r="Q226" s="25" t="str">
        <v/>
      </c>
      <c r="R226" s="25">
        <v>0</v>
      </c>
      <c r="S226" s="25"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86"/>
      <c r="U226" s="25" t="str">
        <v/>
      </c>
      <c r="V226" s="25">
        <v>0</v>
      </c>
      <c r="W226" s="25"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86"/>
      <c r="Y226" s="25" t="str">
        <v/>
      </c>
      <c r="Z226" s="25">
        <v>0</v>
      </c>
      <c r="AA226" s="25"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86"/>
      <c r="AC226" s="25" t="str">
        <v/>
      </c>
      <c r="AD226" s="25">
        <v>0</v>
      </c>
      <c r="AE226" s="25"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86"/>
      <c r="AG226" s="25" t="str">
        <v/>
      </c>
      <c r="AH226" s="25">
        <v>0</v>
      </c>
      <c r="AI226" s="25"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86"/>
      <c r="AK226" s="25" t="str">
        <v/>
      </c>
      <c r="AL226" s="25">
        <v>0</v>
      </c>
      <c r="AM226" s="25"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86"/>
    </row>
    <row r="227" spans="4:40" ht="20.100000000000001" customHeight="1" x14ac:dyDescent="0.25">
      <c r="D227" s="25" t="str">
        <v/>
      </c>
      <c r="E227" s="25">
        <v>0</v>
      </c>
      <c r="F227" s="25"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263" cm="1">
        <f t="array" ref="G227">Scope3_Equations.VEERG_15_4_1_1__1_EmissionsFromPurchasedFertiliser(E227,F227)</f>
        <v>0</v>
      </c>
      <c r="H227" s="25"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86"/>
      <c r="J227" s="263" cm="1">
        <f t="array" ref="J227">Scope3_Equations.VEERG_15_4_1_1__1_EmissionsFromPurchasedFertiliser(E227,I227)</f>
        <v>0</v>
      </c>
      <c r="K227" s="263"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44"/>
      <c r="M227" s="23"/>
      <c r="N227" s="44"/>
      <c r="O227" s="25" t="str">
        <v/>
      </c>
      <c r="P227" s="25" t="str">
        <v/>
      </c>
      <c r="Q227" s="25" t="str">
        <v/>
      </c>
      <c r="R227" s="25">
        <v>0</v>
      </c>
      <c r="S227" s="25"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86"/>
      <c r="U227" s="25" t="str">
        <v/>
      </c>
      <c r="V227" s="25">
        <v>0</v>
      </c>
      <c r="W227" s="25"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86"/>
      <c r="Y227" s="25" t="str">
        <v/>
      </c>
      <c r="Z227" s="25">
        <v>0</v>
      </c>
      <c r="AA227" s="25"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86"/>
      <c r="AC227" s="25" t="str">
        <v/>
      </c>
      <c r="AD227" s="25">
        <v>0</v>
      </c>
      <c r="AE227" s="25"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86"/>
      <c r="AG227" s="25" t="str">
        <v/>
      </c>
      <c r="AH227" s="25">
        <v>0</v>
      </c>
      <c r="AI227" s="25"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86"/>
      <c r="AK227" s="25" t="str">
        <v/>
      </c>
      <c r="AL227" s="25">
        <v>0</v>
      </c>
      <c r="AM227" s="25"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86"/>
    </row>
    <row r="228" spans="4:40" ht="20.100000000000001" customHeight="1" x14ac:dyDescent="0.25">
      <c r="D228" s="25" t="str">
        <v/>
      </c>
      <c r="E228" s="25">
        <v>0</v>
      </c>
      <c r="F228" s="25"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263" cm="1">
        <f t="array" ref="G228">Scope3_Equations.VEERG_15_4_1_1__1_EmissionsFromPurchasedFertiliser(E228,F228)</f>
        <v>0</v>
      </c>
      <c r="H228" s="25"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86"/>
      <c r="J228" s="263" cm="1">
        <f t="array" ref="J228">Scope3_Equations.VEERG_15_4_1_1__1_EmissionsFromPurchasedFertiliser(E228,I228)</f>
        <v>0</v>
      </c>
      <c r="K228" s="263"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44"/>
      <c r="M228" s="23"/>
      <c r="N228" s="44"/>
      <c r="O228" s="25" t="str">
        <v/>
      </c>
      <c r="P228" s="25" t="str">
        <v/>
      </c>
      <c r="Q228" s="25" t="str">
        <v/>
      </c>
      <c r="R228" s="25">
        <v>0</v>
      </c>
      <c r="S228" s="25"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86"/>
      <c r="U228" s="25" t="str">
        <v/>
      </c>
      <c r="V228" s="25">
        <v>0</v>
      </c>
      <c r="W228" s="25"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86"/>
      <c r="Y228" s="25" t="str">
        <v/>
      </c>
      <c r="Z228" s="25">
        <v>0</v>
      </c>
      <c r="AA228" s="25"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86"/>
      <c r="AC228" s="25" t="str">
        <v/>
      </c>
      <c r="AD228" s="25">
        <v>0</v>
      </c>
      <c r="AE228" s="25"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86"/>
      <c r="AG228" s="25" t="str">
        <v/>
      </c>
      <c r="AH228" s="25">
        <v>0</v>
      </c>
      <c r="AI228" s="25"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86"/>
      <c r="AK228" s="25" t="str">
        <v/>
      </c>
      <c r="AL228" s="25">
        <v>0</v>
      </c>
      <c r="AM228" s="25"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86"/>
    </row>
    <row r="229" spans="4:40" ht="20.100000000000001" customHeight="1" x14ac:dyDescent="0.25">
      <c r="D229" s="25" t="str">
        <v/>
      </c>
      <c r="E229" s="25">
        <v>0</v>
      </c>
      <c r="F229" s="25"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263" cm="1">
        <f t="array" ref="G229">Scope3_Equations.VEERG_15_4_1_1__1_EmissionsFromPurchasedFertiliser(E229,F229)</f>
        <v>0</v>
      </c>
      <c r="H229" s="25"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86"/>
      <c r="J229" s="263" cm="1">
        <f t="array" ref="J229">Scope3_Equations.VEERG_15_4_1_1__1_EmissionsFromPurchasedFertiliser(E229,I229)</f>
        <v>0</v>
      </c>
      <c r="K229" s="263"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44"/>
      <c r="M229" s="23"/>
      <c r="N229" s="44"/>
      <c r="O229" s="25" t="str">
        <v/>
      </c>
      <c r="P229" s="25" t="str">
        <v/>
      </c>
      <c r="Q229" s="25" t="str">
        <v/>
      </c>
      <c r="R229" s="25">
        <v>0</v>
      </c>
      <c r="S229" s="25"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86"/>
      <c r="U229" s="25" t="str">
        <v/>
      </c>
      <c r="V229" s="25">
        <v>0</v>
      </c>
      <c r="W229" s="25"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86"/>
      <c r="Y229" s="25" t="str">
        <v/>
      </c>
      <c r="Z229" s="25">
        <v>0</v>
      </c>
      <c r="AA229" s="25"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86"/>
      <c r="AC229" s="25" t="str">
        <v/>
      </c>
      <c r="AD229" s="25">
        <v>0</v>
      </c>
      <c r="AE229" s="25"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86"/>
      <c r="AG229" s="25" t="str">
        <v/>
      </c>
      <c r="AH229" s="25">
        <v>0</v>
      </c>
      <c r="AI229" s="25"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86"/>
      <c r="AK229" s="25" t="str">
        <v/>
      </c>
      <c r="AL229" s="25">
        <v>0</v>
      </c>
      <c r="AM229" s="25"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86"/>
    </row>
    <row r="230" spans="4:40" ht="20.100000000000001" customHeight="1" x14ac:dyDescent="0.25">
      <c r="D230" s="25" t="str">
        <v/>
      </c>
      <c r="E230" s="25">
        <v>0</v>
      </c>
      <c r="F230" s="25"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263" cm="1">
        <f t="array" ref="G230">Scope3_Equations.VEERG_15_4_1_1__1_EmissionsFromPurchasedFertiliser(E230,F230)</f>
        <v>0</v>
      </c>
      <c r="H230" s="25"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86"/>
      <c r="J230" s="263" cm="1">
        <f t="array" ref="J230">Scope3_Equations.VEERG_15_4_1_1__1_EmissionsFromPurchasedFertiliser(E230,I230)</f>
        <v>0</v>
      </c>
      <c r="K230" s="263"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44"/>
      <c r="M230" s="23"/>
      <c r="N230" s="44"/>
      <c r="O230" s="25" t="str">
        <v/>
      </c>
      <c r="P230" s="25" t="str">
        <v/>
      </c>
      <c r="Q230" s="25" t="str">
        <v/>
      </c>
      <c r="R230" s="25">
        <v>0</v>
      </c>
      <c r="S230" s="25"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86"/>
      <c r="U230" s="25" t="str">
        <v/>
      </c>
      <c r="V230" s="25">
        <v>0</v>
      </c>
      <c r="W230" s="25"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86"/>
      <c r="Y230" s="25" t="str">
        <v/>
      </c>
      <c r="Z230" s="25">
        <v>0</v>
      </c>
      <c r="AA230" s="25"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86"/>
      <c r="AC230" s="25" t="str">
        <v/>
      </c>
      <c r="AD230" s="25">
        <v>0</v>
      </c>
      <c r="AE230" s="25"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86"/>
      <c r="AG230" s="25" t="str">
        <v/>
      </c>
      <c r="AH230" s="25">
        <v>0</v>
      </c>
      <c r="AI230" s="25"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86"/>
      <c r="AK230" s="25" t="str">
        <v/>
      </c>
      <c r="AL230" s="25">
        <v>0</v>
      </c>
      <c r="AM230" s="25"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86"/>
    </row>
    <row r="231" spans="4:40" ht="20.100000000000001" customHeight="1" x14ac:dyDescent="0.25"/>
    <row r="232" spans="4:40" ht="20.100000000000001" customHeight="1" x14ac:dyDescent="0.25">
      <c r="D232" s="246" t="s">
        <v>1132</v>
      </c>
    </row>
    <row r="233" spans="4:40" ht="20.100000000000001" customHeight="1" x14ac:dyDescent="0.25"/>
    <row r="234" spans="4:40" ht="20.100000000000001" customHeight="1" x14ac:dyDescent="0.25">
      <c r="D234" s="46" t="s">
        <v>1133</v>
      </c>
      <c r="E234" s="48"/>
      <c r="F234" s="49"/>
    </row>
    <row r="235" spans="4:40" ht="20.100000000000001" customHeight="1" x14ac:dyDescent="0.25"/>
    <row r="236" spans="4:40" ht="20.100000000000001" customHeight="1" x14ac:dyDescent="0.25">
      <c r="D236" s="112" t="s">
        <v>1096</v>
      </c>
      <c r="E236" s="112" t="s">
        <v>1113</v>
      </c>
      <c r="F236" s="111" t="s">
        <v>1114</v>
      </c>
      <c r="G236" s="111" t="s">
        <v>1115</v>
      </c>
      <c r="H236" s="111" t="s">
        <v>1116</v>
      </c>
      <c r="I236" s="112" t="s">
        <v>1117</v>
      </c>
      <c r="J236" s="111" t="s">
        <v>1118</v>
      </c>
      <c r="K236" s="111" t="s">
        <v>1119</v>
      </c>
      <c r="L236" s="112" t="s">
        <v>1073</v>
      </c>
      <c r="M236" s="112" t="s">
        <v>1074</v>
      </c>
      <c r="N236" s="112" t="s">
        <v>1075</v>
      </c>
      <c r="O236" s="111" t="s">
        <v>490</v>
      </c>
      <c r="P236" s="111" t="s">
        <v>491</v>
      </c>
      <c r="Q236" s="111" t="s">
        <v>477</v>
      </c>
      <c r="R236" s="111" t="s">
        <v>478</v>
      </c>
      <c r="S236" s="111" t="s">
        <v>1120</v>
      </c>
      <c r="T236" s="112" t="s">
        <v>1121</v>
      </c>
      <c r="U236" s="111" t="s">
        <v>479</v>
      </c>
      <c r="V236" s="111" t="s">
        <v>480</v>
      </c>
      <c r="W236" s="111" t="s">
        <v>1122</v>
      </c>
      <c r="X236" s="112" t="s">
        <v>1123</v>
      </c>
      <c r="Y236" s="111" t="s">
        <v>481</v>
      </c>
      <c r="Z236" s="111" t="s">
        <v>482</v>
      </c>
      <c r="AA236" s="111" t="s">
        <v>1124</v>
      </c>
      <c r="AB236" s="112" t="s">
        <v>1125</v>
      </c>
      <c r="AC236" s="111" t="s">
        <v>483</v>
      </c>
      <c r="AD236" s="111" t="s">
        <v>484</v>
      </c>
      <c r="AE236" s="111" t="s">
        <v>1126</v>
      </c>
      <c r="AF236" s="112" t="s">
        <v>1127</v>
      </c>
    </row>
    <row r="237" spans="4:40" ht="20.100000000000001" customHeight="1" x14ac:dyDescent="0.25">
      <c r="D237" s="25" t="str" cm="1">
        <f t="array" ref="D237:D246">IFERROR(INDEX(Table_Input_InorganicFertiliser_Custom[Custom blend name], _xlfn.SEQUENCE(10)), "")</f>
        <v>My first custom blend</v>
      </c>
      <c r="E237" s="25" cm="1">
        <f t="array" ref="E237:E246">IFERROR(INDEX(Table_Input_InorganicFertiliser_Custom[Total applied (kg)], _xlfn.SEQUENCE(10)), 0)</f>
        <v>100000</v>
      </c>
      <c r="F237" s="2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263" cm="1">
        <f t="array" ref="G237">Scope3_Equations.VEERG_15_4_1_1__1_EmissionsFromPurchasedFertiliser(E237,F237)</f>
        <v>177.08</v>
      </c>
      <c r="H237" s="2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177.08</v>
      </c>
      <c r="I237" s="86">
        <v>0.4</v>
      </c>
      <c r="J237" s="263" cm="1">
        <f t="array" ref="J237">Scope3_Equations.VEERG_15_4_1_1__1_EmissionsFromPurchasedFertiliser(E237,I237)</f>
        <v>40</v>
      </c>
      <c r="K237" s="263"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44"/>
      <c r="M237" s="23"/>
      <c r="N237" s="244"/>
      <c r="O237" s="25" t="str" cm="1">
        <f t="array" ref="O237:O246">IFERROR(INDEX(#REF!, _xlfn.SEQUENCE(10)), "")</f>
        <v/>
      </c>
      <c r="P237" s="25" t="str" cm="1">
        <f t="array" ref="P237:P246">IFERROR(INDEX(#REF!, _xlfn.SEQUENCE(10)), "")</f>
        <v/>
      </c>
      <c r="Q237" s="25" t="str" cm="1">
        <f t="array" ref="Q237:Q246">IFERROR(INDEX(Table_Input_InorganicFertiliser_Custom[Ingredient 1 (select)], _xlfn.SEQUENCE(10)), "")</f>
        <v>Calcium nitrate</v>
      </c>
      <c r="R237" s="25" cm="1">
        <f t="array" ref="R237:R246">IFERROR(INDEX(_xlfn.LET(_xlpm.result, Table_Input_InorganicFertiliser_Custom[Ingredient 1 percent], IF(_xlpm.result="", 0, _xlpm.result)), _xlfn.SEQUENCE(10)), 0)</f>
        <v>0.5</v>
      </c>
      <c r="S237" s="2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86">
        <v>0.9</v>
      </c>
      <c r="U237" s="25" t="str" cm="1">
        <f t="array" ref="U237:U246">IFERROR(INDEX(Table_Input_InorganicFertiliser_Custom[Ingredient 2], _xlfn.SEQUENCE(10)), "")</f>
        <v>Zinc - Generic</v>
      </c>
      <c r="V237" s="25" cm="1">
        <f t="array" ref="V237:V246">IFERROR(INDEX(_xlfn.LET(_xlpm.result, Table_Input_InorganicFertiliser_Custom[Ingredient 2 percent], IF(_xlpm.result="", 0, _xlpm.result)), _xlfn.SEQUENCE(10)), 0)</f>
        <v>0.2</v>
      </c>
      <c r="W237" s="2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86">
        <v>0.9</v>
      </c>
      <c r="Y237" s="25" t="str" cm="1">
        <f t="array" ref="Y237:Y246">IFERROR(INDEX(Table_Input_InorganicFertiliser_Custom[Ingredient 3], _xlfn.SEQUENCE(10)), "")</f>
        <v>Potassium - Generic</v>
      </c>
      <c r="Z237" s="25" cm="1">
        <f t="array" ref="Z237:Z246">IFERROR(INDEX(_xlfn.LET(_xlpm.result, Table_Input_InorganicFertiliser_Custom[Ingredient 3 percent], IF(_xlpm.result="", 0, _xlpm.result)), _xlfn.SEQUENCE(10)), 0)</f>
        <v>0.2</v>
      </c>
      <c r="AA237" s="2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86">
        <v>4</v>
      </c>
      <c r="AC237" s="25" t="str" cm="1">
        <f t="array" ref="AC237:AC246">IFERROR(INDEX(Table_Input_InorganicFertiliser_Custom[Ingredient 4], _xlfn.SEQUENCE(10)), "")</f>
        <v>Sulfur - Generic</v>
      </c>
      <c r="AD237" s="25" cm="1">
        <f t="array" ref="AD237:AD246">IFERROR(INDEX(_xlfn.LET(_xlpm.result, Table_Input_InorganicFertiliser_Custom[Ingredient 4 percent], IF(_xlpm.result="", 0, _xlpm.result)), _xlfn.SEQUENCE(10)), 0)</f>
        <v>0.1</v>
      </c>
      <c r="AE237" s="2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86">
        <v>0</v>
      </c>
    </row>
    <row r="238" spans="4:40" ht="20.100000000000001" customHeight="1" x14ac:dyDescent="0.25">
      <c r="D238" s="25" t="str">
        <v>My second custom blend</v>
      </c>
      <c r="E238" s="25">
        <v>100000</v>
      </c>
      <c r="F238" s="2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263" cm="1">
        <f t="array" ref="G238">Scope3_Equations.VEERG_15_4_1_1__1_EmissionsFromPurchasedFertiliser(E238,F238)</f>
        <v>96.8</v>
      </c>
      <c r="H238" s="2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86">
        <v>0.9</v>
      </c>
      <c r="J238" s="263" cm="1">
        <f t="array" ref="J238">Scope3_Equations.VEERG_15_4_1_1__1_EmissionsFromPurchasedFertiliser(E238,I238)</f>
        <v>90</v>
      </c>
      <c r="K238" s="263"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44"/>
      <c r="M238" s="23"/>
      <c r="N238" s="44"/>
      <c r="O238" s="25" t="str">
        <v/>
      </c>
      <c r="P238" s="25" t="str">
        <v/>
      </c>
      <c r="Q238" s="25" t="str">
        <v>Urea</v>
      </c>
      <c r="R238" s="25">
        <v>1</v>
      </c>
      <c r="S238" s="2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86"/>
      <c r="U238" s="25">
        <v>0</v>
      </c>
      <c r="V238" s="25">
        <v>0</v>
      </c>
      <c r="W238" s="2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86"/>
      <c r="Y238" s="25">
        <v>0</v>
      </c>
      <c r="Z238" s="25">
        <v>0</v>
      </c>
      <c r="AA238" s="2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86"/>
      <c r="AC238" s="25">
        <v>0</v>
      </c>
      <c r="AD238" s="25">
        <v>0</v>
      </c>
      <c r="AE238" s="2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86"/>
    </row>
    <row r="239" spans="4:40" ht="20.100000000000001" customHeight="1" x14ac:dyDescent="0.25">
      <c r="D239" s="25" t="str">
        <v>My third custom blend</v>
      </c>
      <c r="E239" s="25">
        <v>100000</v>
      </c>
      <c r="F239" s="2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263" cm="1">
        <f t="array" ref="G239">Scope3_Equations.VEERG_15_4_1_1__1_EmissionsFromPurchasedFertiliser(E239,F239)</f>
        <v>115.99999999999999</v>
      </c>
      <c r="H239" s="2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115.99999999999999</v>
      </c>
      <c r="I239" s="86">
        <v>0.4</v>
      </c>
      <c r="J239" s="263" cm="1">
        <f t="array" ref="J239">Scope3_Equations.VEERG_15_4_1_1__1_EmissionsFromPurchasedFertiliser(E239,I239)</f>
        <v>40</v>
      </c>
      <c r="K239" s="263"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115.99999999999999</v>
      </c>
      <c r="L239" s="44"/>
      <c r="M239" s="23"/>
      <c r="N239" s="44"/>
      <c r="O239" s="25" t="str">
        <v/>
      </c>
      <c r="P239" s="25" t="str">
        <v/>
      </c>
      <c r="Q239" s="25" t="str">
        <v>Ammonia</v>
      </c>
      <c r="R239" s="25">
        <v>0.5</v>
      </c>
      <c r="S239" s="2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86"/>
      <c r="U239" s="25">
        <v>0</v>
      </c>
      <c r="V239" s="25">
        <v>0</v>
      </c>
      <c r="W239" s="2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86"/>
      <c r="Y239" s="25">
        <v>0</v>
      </c>
      <c r="Z239" s="25">
        <v>0</v>
      </c>
      <c r="AA239" s="2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86"/>
      <c r="AC239" s="25">
        <v>0</v>
      </c>
      <c r="AD239" s="25">
        <v>0</v>
      </c>
      <c r="AE239" s="2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86"/>
    </row>
    <row r="240" spans="4:40" ht="20.100000000000001" customHeight="1" x14ac:dyDescent="0.25">
      <c r="D240" s="25" t="str">
        <v/>
      </c>
      <c r="E240" s="25">
        <v>0</v>
      </c>
      <c r="F240" s="2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263" cm="1">
        <f t="array" ref="G240">Scope3_Equations.VEERG_15_4_1_1__1_EmissionsFromPurchasedFertiliser(E240,F240)</f>
        <v>0</v>
      </c>
      <c r="H240" s="2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86"/>
      <c r="J240" s="263" cm="1">
        <f t="array" ref="J240">Scope3_Equations.VEERG_15_4_1_1__1_EmissionsFromPurchasedFertiliser(E240,I240)</f>
        <v>0</v>
      </c>
      <c r="K240" s="263"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44"/>
      <c r="M240" s="23"/>
      <c r="N240" s="44"/>
      <c r="O240" s="25" t="str">
        <v/>
      </c>
      <c r="P240" s="25" t="str">
        <v/>
      </c>
      <c r="Q240" s="25" t="str">
        <v/>
      </c>
      <c r="R240" s="25">
        <v>0</v>
      </c>
      <c r="S240" s="2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86"/>
      <c r="U240" s="25" t="str">
        <v/>
      </c>
      <c r="V240" s="25">
        <v>0</v>
      </c>
      <c r="W240" s="2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86"/>
      <c r="Y240" s="25" t="str">
        <v/>
      </c>
      <c r="Z240" s="25">
        <v>0</v>
      </c>
      <c r="AA240" s="2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86"/>
      <c r="AC240" s="25" t="str">
        <v/>
      </c>
      <c r="AD240" s="25">
        <v>0</v>
      </c>
      <c r="AE240" s="2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86"/>
    </row>
    <row r="241" spans="3:41" ht="20.100000000000001" customHeight="1" x14ac:dyDescent="0.25">
      <c r="D241" s="25" t="str">
        <v/>
      </c>
      <c r="E241" s="25">
        <v>0</v>
      </c>
      <c r="F241" s="2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263" cm="1">
        <f t="array" ref="G241">Scope3_Equations.VEERG_15_4_1_1__1_EmissionsFromPurchasedFertiliser(E241,F241)</f>
        <v>0</v>
      </c>
      <c r="H241" s="2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86"/>
      <c r="J241" s="263" cm="1">
        <f t="array" ref="J241">Scope3_Equations.VEERG_15_4_1_1__1_EmissionsFromPurchasedFertiliser(E241,I241)</f>
        <v>0</v>
      </c>
      <c r="K241" s="263"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44"/>
      <c r="M241" s="23"/>
      <c r="N241" s="44"/>
      <c r="O241" s="25" t="str">
        <v/>
      </c>
      <c r="P241" s="25" t="str">
        <v/>
      </c>
      <c r="Q241" s="25" t="str">
        <v/>
      </c>
      <c r="R241" s="25">
        <v>0</v>
      </c>
      <c r="S241" s="2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86"/>
      <c r="U241" s="25" t="str">
        <v/>
      </c>
      <c r="V241" s="25">
        <v>0</v>
      </c>
      <c r="W241" s="2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86"/>
      <c r="Y241" s="25" t="str">
        <v/>
      </c>
      <c r="Z241" s="25">
        <v>0</v>
      </c>
      <c r="AA241" s="2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86"/>
      <c r="AC241" s="25" t="str">
        <v/>
      </c>
      <c r="AD241" s="25">
        <v>0</v>
      </c>
      <c r="AE241" s="2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86"/>
    </row>
    <row r="242" spans="3:41" ht="20.100000000000001" customHeight="1" x14ac:dyDescent="0.25">
      <c r="D242" s="25" t="str">
        <v/>
      </c>
      <c r="E242" s="25">
        <v>0</v>
      </c>
      <c r="F242" s="2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263" cm="1">
        <f t="array" ref="G242">Scope3_Equations.VEERG_15_4_1_1__1_EmissionsFromPurchasedFertiliser(E242,F242)</f>
        <v>0</v>
      </c>
      <c r="H242" s="2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86"/>
      <c r="J242" s="263" cm="1">
        <f t="array" ref="J242">Scope3_Equations.VEERG_15_4_1_1__1_EmissionsFromPurchasedFertiliser(E242,I242)</f>
        <v>0</v>
      </c>
      <c r="K242" s="263"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44"/>
      <c r="M242" s="23"/>
      <c r="N242" s="44"/>
      <c r="O242" s="25" t="str">
        <v/>
      </c>
      <c r="P242" s="25" t="str">
        <v/>
      </c>
      <c r="Q242" s="25" t="str">
        <v/>
      </c>
      <c r="R242" s="25">
        <v>0</v>
      </c>
      <c r="S242" s="2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86"/>
      <c r="U242" s="25" t="str">
        <v/>
      </c>
      <c r="V242" s="25">
        <v>0</v>
      </c>
      <c r="W242" s="2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86"/>
      <c r="Y242" s="25" t="str">
        <v/>
      </c>
      <c r="Z242" s="25">
        <v>0</v>
      </c>
      <c r="AA242" s="2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86"/>
      <c r="AC242" s="25" t="str">
        <v/>
      </c>
      <c r="AD242" s="25">
        <v>0</v>
      </c>
      <c r="AE242" s="2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86"/>
    </row>
    <row r="243" spans="3:41" ht="20.100000000000001" customHeight="1" x14ac:dyDescent="0.25">
      <c r="D243" s="25" t="str">
        <v/>
      </c>
      <c r="E243" s="25">
        <v>0</v>
      </c>
      <c r="F243" s="2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263" cm="1">
        <f t="array" ref="G243">Scope3_Equations.VEERG_15_4_1_1__1_EmissionsFromPurchasedFertiliser(E243,F243)</f>
        <v>0</v>
      </c>
      <c r="H243" s="2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86"/>
      <c r="J243" s="263" cm="1">
        <f t="array" ref="J243">Scope3_Equations.VEERG_15_4_1_1__1_EmissionsFromPurchasedFertiliser(E243,I243)</f>
        <v>0</v>
      </c>
      <c r="K243" s="263"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44"/>
      <c r="M243" s="23"/>
      <c r="N243" s="44"/>
      <c r="O243" s="25" t="str">
        <v/>
      </c>
      <c r="P243" s="25" t="str">
        <v/>
      </c>
      <c r="Q243" s="25" t="str">
        <v/>
      </c>
      <c r="R243" s="25">
        <v>0</v>
      </c>
      <c r="S243" s="2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86"/>
      <c r="U243" s="25" t="str">
        <v/>
      </c>
      <c r="V243" s="25">
        <v>0</v>
      </c>
      <c r="W243" s="2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86"/>
      <c r="Y243" s="25" t="str">
        <v/>
      </c>
      <c r="Z243" s="25">
        <v>0</v>
      </c>
      <c r="AA243" s="2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86"/>
      <c r="AC243" s="25" t="str">
        <v/>
      </c>
      <c r="AD243" s="25">
        <v>0</v>
      </c>
      <c r="AE243" s="2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86"/>
    </row>
    <row r="244" spans="3:41" ht="20.100000000000001" customHeight="1" x14ac:dyDescent="0.25">
      <c r="D244" s="25" t="str">
        <v/>
      </c>
      <c r="E244" s="25">
        <v>0</v>
      </c>
      <c r="F244" s="2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263" cm="1">
        <f t="array" ref="G244">Scope3_Equations.VEERG_15_4_1_1__1_EmissionsFromPurchasedFertiliser(E244,F244)</f>
        <v>0</v>
      </c>
      <c r="H244" s="2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86"/>
      <c r="J244" s="263" cm="1">
        <f t="array" ref="J244">Scope3_Equations.VEERG_15_4_1_1__1_EmissionsFromPurchasedFertiliser(E244,I244)</f>
        <v>0</v>
      </c>
      <c r="K244" s="263"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44"/>
      <c r="M244" s="23"/>
      <c r="N244" s="44"/>
      <c r="O244" s="25" t="str">
        <v/>
      </c>
      <c r="P244" s="25" t="str">
        <v/>
      </c>
      <c r="Q244" s="25" t="str">
        <v/>
      </c>
      <c r="R244" s="25">
        <v>0</v>
      </c>
      <c r="S244" s="2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86"/>
      <c r="U244" s="25" t="str">
        <v/>
      </c>
      <c r="V244" s="25">
        <v>0</v>
      </c>
      <c r="W244" s="2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86"/>
      <c r="Y244" s="25" t="str">
        <v/>
      </c>
      <c r="Z244" s="25">
        <v>0</v>
      </c>
      <c r="AA244" s="2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86"/>
      <c r="AC244" s="25" t="str">
        <v/>
      </c>
      <c r="AD244" s="25">
        <v>0</v>
      </c>
      <c r="AE244" s="2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86"/>
    </row>
    <row r="245" spans="3:41" ht="20.100000000000001" customHeight="1" x14ac:dyDescent="0.25">
      <c r="D245" s="25" t="str">
        <v/>
      </c>
      <c r="E245" s="25">
        <v>0</v>
      </c>
      <c r="F245" s="2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263" cm="1">
        <f t="array" ref="G245">Scope3_Equations.VEERG_15_4_1_1__1_EmissionsFromPurchasedFertiliser(E245,F245)</f>
        <v>0</v>
      </c>
      <c r="H245" s="2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86"/>
      <c r="J245" s="263" cm="1">
        <f t="array" ref="J245">Scope3_Equations.VEERG_15_4_1_1__1_EmissionsFromPurchasedFertiliser(E245,I245)</f>
        <v>0</v>
      </c>
      <c r="K245" s="263"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44"/>
      <c r="M245" s="23"/>
      <c r="N245" s="44"/>
      <c r="O245" s="25" t="str">
        <v/>
      </c>
      <c r="P245" s="25" t="str">
        <v/>
      </c>
      <c r="Q245" s="25" t="str">
        <v/>
      </c>
      <c r="R245" s="25">
        <v>0</v>
      </c>
      <c r="S245" s="2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86"/>
      <c r="U245" s="25" t="str">
        <v/>
      </c>
      <c r="V245" s="25">
        <v>0</v>
      </c>
      <c r="W245" s="2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86"/>
      <c r="Y245" s="25" t="str">
        <v/>
      </c>
      <c r="Z245" s="25">
        <v>0</v>
      </c>
      <c r="AA245" s="2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86"/>
      <c r="AC245" s="25" t="str">
        <v/>
      </c>
      <c r="AD245" s="25">
        <v>0</v>
      </c>
      <c r="AE245" s="2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86"/>
    </row>
    <row r="246" spans="3:41" ht="20.100000000000001" customHeight="1" x14ac:dyDescent="0.25">
      <c r="D246" s="25" t="str">
        <v/>
      </c>
      <c r="E246" s="25">
        <v>0</v>
      </c>
      <c r="F246" s="25"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263" cm="1">
        <f t="array" ref="G246">Scope3_Equations.VEERG_15_4_1_1__1_EmissionsFromPurchasedFertiliser(E246,F246)</f>
        <v>0</v>
      </c>
      <c r="H246" s="25"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86"/>
      <c r="J246" s="263" cm="1">
        <f t="array" ref="J246">Scope3_Equations.VEERG_15_4_1_1__1_EmissionsFromPurchasedFertiliser(E246,I246)</f>
        <v>0</v>
      </c>
      <c r="K246" s="263"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44"/>
      <c r="M246" s="23"/>
      <c r="N246" s="44"/>
      <c r="O246" s="25" t="str">
        <v/>
      </c>
      <c r="P246" s="25" t="str">
        <v/>
      </c>
      <c r="Q246" s="25" t="str">
        <v/>
      </c>
      <c r="R246" s="25">
        <v>0</v>
      </c>
      <c r="S246" s="25"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86"/>
      <c r="U246" s="25" t="str">
        <v/>
      </c>
      <c r="V246" s="25">
        <v>0</v>
      </c>
      <c r="W246" s="25"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86"/>
      <c r="Y246" s="25" t="str">
        <v/>
      </c>
      <c r="Z246" s="25">
        <v>0</v>
      </c>
      <c r="AA246" s="25"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86"/>
      <c r="AC246" s="25" t="str">
        <v/>
      </c>
      <c r="AD246" s="25">
        <v>0</v>
      </c>
      <c r="AE246" s="25"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86"/>
    </row>
    <row r="247" spans="3:41" ht="20.100000000000001" customHeight="1" x14ac:dyDescent="0.25"/>
    <row r="248" spans="3:41" ht="20.100000000000001" customHeight="1" x14ac:dyDescent="0.25">
      <c r="D248" s="264" t="s">
        <v>1134</v>
      </c>
      <c r="E248" s="116">
        <f>SUM(G221:G230)+SUM(G237:G246)</f>
        <v>782.84321999999997</v>
      </c>
      <c r="F248" s="117" t="str">
        <f>$E$155</f>
        <v>t CO2e</v>
      </c>
    </row>
    <row r="249" spans="3:41" ht="20.100000000000001" customHeight="1" x14ac:dyDescent="0.25">
      <c r="D249" s="264" t="s">
        <v>1135</v>
      </c>
      <c r="E249" s="116">
        <f>SUM(J221:J230)+SUM(J237:J246)</f>
        <v>387.45000000000005</v>
      </c>
      <c r="F249" s="117" t="str">
        <f>$E$155</f>
        <v>t CO2e</v>
      </c>
    </row>
    <row r="250" spans="3:41" ht="20.100000000000001" customHeight="1" x14ac:dyDescent="0.25"/>
    <row r="251" spans="3:41" ht="20.100000000000001" customHeight="1" x14ac:dyDescent="0.25">
      <c r="D251" s="264" t="s">
        <v>1136</v>
      </c>
      <c r="E251" s="116">
        <f>SUM(H221:H230)+SUM(H237:H246)</f>
        <v>782.84321999999997</v>
      </c>
      <c r="F251" s="117" t="str">
        <f>$E$155</f>
        <v>t CO2e</v>
      </c>
    </row>
    <row r="252" spans="3:41" ht="20.100000000000001" customHeight="1" x14ac:dyDescent="0.25">
      <c r="D252" s="264" t="s">
        <v>1137</v>
      </c>
      <c r="E252" s="116">
        <f>SUM(K221:K230)+SUM(K237:K246)</f>
        <v>757.43047000000001</v>
      </c>
      <c r="F252" s="117" t="str">
        <f>$E$155</f>
        <v>t CO2e</v>
      </c>
    </row>
    <row r="253" spans="3:41" ht="20.100000000000001" customHeight="1" x14ac:dyDescent="0.25"/>
    <row r="254" spans="3:41" ht="20.100000000000001" customHeight="1" x14ac:dyDescent="0.25"/>
    <row r="255" spans="3:41" ht="20.100000000000001" customHeight="1" x14ac:dyDescent="0.25">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c r="AA255" s="114"/>
      <c r="AB255" s="114"/>
      <c r="AC255" s="114"/>
      <c r="AD255" s="114"/>
      <c r="AE255" s="114"/>
      <c r="AF255" s="114"/>
      <c r="AG255" s="114"/>
      <c r="AH255" s="114"/>
      <c r="AI255" s="114"/>
      <c r="AJ255" s="114"/>
      <c r="AK255" s="114"/>
      <c r="AL255" s="114"/>
      <c r="AM255" s="114"/>
      <c r="AN255" s="114"/>
      <c r="AO255" s="114"/>
    </row>
    <row r="256" spans="3:41" ht="20.100000000000001" customHeight="1" x14ac:dyDescent="0.25">
      <c r="D256" s="2" t="str" cm="1">
        <f t="array" ref="D256">Scope3_Equations.VEERG_15_5_1_1__1_EmissionsFromPurchasedAgrichemicals_Title()</f>
        <v>Total emissions from purchased agrichemicals</v>
      </c>
    </row>
    <row r="257" spans="4:9" ht="20.100000000000001" customHeight="1" x14ac:dyDescent="0.25">
      <c r="D257" s="27" t="str" cm="1">
        <f t="array" ref="D257">Scope3_Equations.VEERG_15_5_1_1__1_EmissionsFromPurchasedAgrichemicals_Source()</f>
        <v>VEERG 2026: 15.5.1.1, Equation (1)</v>
      </c>
    </row>
    <row r="258" spans="4:9" ht="20.100000000000001" customHeight="1" x14ac:dyDescent="0.25">
      <c r="D258" s="100" t="s">
        <v>259</v>
      </c>
      <c r="E258" s="100"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88" t="s">
        <v>261</v>
      </c>
      <c r="E262" s="1" t="str" cm="1">
        <f t="array" ref="E262">Scope3_Equations.VEERG_15_5_1_1__1_EmissionsFromPurchasedAgrichemicals_Variable()</f>
        <v>E</v>
      </c>
    </row>
    <row r="263" spans="4:9" ht="20.100000000000001" customHeight="1" x14ac:dyDescent="0.25">
      <c r="D263" s="88" t="s">
        <v>131</v>
      </c>
      <c r="E263" s="15" t="str" cm="1">
        <f t="array" ref="E263">Scope3_Equations.VEERG_15_5_1_1__1_EmissionsFromPurchasedAgrichemicals_Unit()</f>
        <v>t CO2e</v>
      </c>
    </row>
    <row r="264" spans="4:9" ht="20.100000000000001" customHeight="1" x14ac:dyDescent="0.25"/>
    <row r="265" spans="4:9" x14ac:dyDescent="0.25">
      <c r="D265" s="102" t="str" cm="1">
        <f t="array" ref="D265:E267">_xlfn.CHOOSECOLS(Scope3_Equations.VEERG_15_5_1_1__1_EmissionsFromPurchasedAgrichemicals_Arguments(),1,2)</f>
        <v>Q_h</v>
      </c>
      <c r="E265" s="103" t="str">
        <v>quantity of active ingredients in agrichemical type h purchased and applied to soils</v>
      </c>
      <c r="F265" s="105"/>
      <c r="G265" s="102" t="str" cm="1">
        <f t="array" ref="G265:H267">_xlfn.CHOOSECOLS(Scope3_Equations.VEERG_15_5_1_1__1_EmissionsFromPurchasedAgrichemicals_Arguments(),3,4)</f>
        <v>kg ai</v>
      </c>
      <c r="H265" s="261" t="str">
        <v>Input</v>
      </c>
    </row>
    <row r="266" spans="4:9" x14ac:dyDescent="0.25">
      <c r="D266" s="102" t="str">
        <v>EF_h</v>
      </c>
      <c r="E266" s="103" t="str">
        <v>emission factor for purchased agrichemical active ingredient</v>
      </c>
      <c r="F266" s="105"/>
      <c r="G266" s="102" t="str">
        <v>kg CO2e/kg ai</v>
      </c>
      <c r="H266" s="107" t="str">
        <v>Constant</v>
      </c>
    </row>
    <row r="267" spans="4:9" x14ac:dyDescent="0.25">
      <c r="D267" s="102" t="str">
        <v>h</v>
      </c>
      <c r="E267" s="103" t="str">
        <v>agrichemical type</v>
      </c>
      <c r="F267" s="105"/>
      <c r="G267" s="102" t="str">
        <v/>
      </c>
      <c r="H267" s="261" t="str">
        <v>Input</v>
      </c>
    </row>
    <row r="269" spans="4:9" ht="17.25" x14ac:dyDescent="0.25">
      <c r="D269" s="112" t="s">
        <v>1138</v>
      </c>
      <c r="E269" s="112" t="s">
        <v>476</v>
      </c>
      <c r="F269" s="111" t="s">
        <v>1139</v>
      </c>
      <c r="G269" s="111" t="s">
        <v>1069</v>
      </c>
      <c r="H269" s="112" t="s">
        <v>1140</v>
      </c>
      <c r="I269" s="111" t="s">
        <v>1072</v>
      </c>
    </row>
    <row r="270" spans="4:9" x14ac:dyDescent="0.25">
      <c r="D270" s="25" t="str" cm="1">
        <f t="array" ref="D270:D281">Table_SourceData_Scope3_Pesticides[Product]</f>
        <v>2,4-D</v>
      </c>
      <c r="E270" s="25">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25" cm="1">
        <f t="array" ref="F270">Common_InputFunctions.Utility_LookupValueInTableNumber(D270,Table_SourceData_Scope3_Pesticides[Product],Table_SourceData_Scope3_Pesticides[AusLCI Emissions intensity])</f>
        <v>5.2</v>
      </c>
      <c r="G270" s="25" cm="1">
        <f t="array" ref="G270">Scope3_Equations.VEERG_15_5_1_1__1_EmissionsFromPurchasedAgrichemicals($E270,F270)</f>
        <v>0.52</v>
      </c>
      <c r="H270" s="86">
        <v>5</v>
      </c>
      <c r="I270" s="25" cm="1">
        <f t="array" ref="I270">Scope3_Equations.VEERG_15_5_1_1__1_EmissionsFromPurchasedAgrichemicals($E270,IF(H270,H270,F270))</f>
        <v>0.5</v>
      </c>
    </row>
    <row r="271" spans="4:9" x14ac:dyDescent="0.25">
      <c r="D271" s="25" t="str">
        <v>Atrazine</v>
      </c>
      <c r="E271" s="25">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25" cm="1">
        <f t="array" ref="F271">Common_InputFunctions.Utility_LookupValueInTableNumber(D271,Table_SourceData_Scope3_Pesticides[Product],Table_SourceData_Scope3_Pesticides[AusLCI Emissions intensity])</f>
        <v>8.3800000000000008</v>
      </c>
      <c r="G271" s="25" cm="1">
        <f t="array" ref="G271">Scope3_Equations.VEERG_15_5_1_1__1_EmissionsFromPurchasedAgrichemicals($E271,F271)</f>
        <v>0</v>
      </c>
      <c r="H271" s="86">
        <v>8</v>
      </c>
      <c r="I271" s="25" cm="1">
        <f t="array" ref="I271">Scope3_Equations.VEERG_15_5_1_1__1_EmissionsFromPurchasedAgrichemicals($E271,IF(H271,H271,F271))</f>
        <v>0</v>
      </c>
    </row>
    <row r="272" spans="4:9" x14ac:dyDescent="0.25">
      <c r="D272" s="25" t="str">
        <v>Diuron</v>
      </c>
      <c r="E272" s="25">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25" cm="1">
        <f t="array" ref="F272">Common_InputFunctions.Utility_LookupValueInTableNumber(D272,Table_SourceData_Scope3_Pesticides[Product],Table_SourceData_Scope3_Pesticides[AusLCI Emissions intensity])</f>
        <v>8.8000000000000007</v>
      </c>
      <c r="G272" s="25" cm="1">
        <f t="array" ref="G272">Scope3_Equations.VEERG_15_5_1_1__1_EmissionsFromPurchasedAgrichemicals($E272,F272)</f>
        <v>0</v>
      </c>
      <c r="H272" s="86"/>
      <c r="I272" s="25" cm="1">
        <f t="array" ref="I272">Scope3_Equations.VEERG_15_5_1_1__1_EmissionsFromPurchasedAgrichemicals($E272,IF(H272,H272,F272))</f>
        <v>0</v>
      </c>
    </row>
    <row r="273" spans="3:41" x14ac:dyDescent="0.25">
      <c r="D273" s="25" t="str">
        <v>Glyphosate</v>
      </c>
      <c r="E273" s="25">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25" cm="1">
        <f t="array" ref="F273">Common_InputFunctions.Utility_LookupValueInTableNumber(D273,Table_SourceData_Scope3_Pesticides[Product],Table_SourceData_Scope3_Pesticides[AusLCI Emissions intensity])</f>
        <v>10.3</v>
      </c>
      <c r="G273" s="25" cm="1">
        <f t="array" ref="G273">Scope3_Equations.VEERG_15_5_1_1__1_EmissionsFromPurchasedAgrichemicals($E273,F273)</f>
        <v>1.03</v>
      </c>
      <c r="H273" s="86"/>
      <c r="I273" s="25" cm="1">
        <f t="array" ref="I273">Scope3_Equations.VEERG_15_5_1_1__1_EmissionsFromPurchasedAgrichemicals($E273,IF(H273,H273,F273))</f>
        <v>1.03</v>
      </c>
    </row>
    <row r="274" spans="3:41" x14ac:dyDescent="0.25">
      <c r="D274" s="25" t="str">
        <v>Mancozeb</v>
      </c>
      <c r="E274" s="25">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25" cm="1">
        <f t="array" ref="F274">Common_InputFunctions.Utility_LookupValueInTableNumber(D274,Table_SourceData_Scope3_Pesticides[Product],Table_SourceData_Scope3_Pesticides[AusLCI Emissions intensity])</f>
        <v>4.55</v>
      </c>
      <c r="G274" s="25" cm="1">
        <f t="array" ref="G274">Scope3_Equations.VEERG_15_5_1_1__1_EmissionsFromPurchasedAgrichemicals($E274,F274)</f>
        <v>0</v>
      </c>
      <c r="H274" s="86"/>
      <c r="I274" s="25" cm="1">
        <f t="array" ref="I274">Scope3_Equations.VEERG_15_5_1_1__1_EmissionsFromPurchasedAgrichemicals($E274,IF(H274,H274,F274))</f>
        <v>0</v>
      </c>
    </row>
    <row r="275" spans="3:41" x14ac:dyDescent="0.25">
      <c r="D275" s="25" t="str">
        <v>MCPA</v>
      </c>
      <c r="E275" s="25">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25" cm="1">
        <f t="array" ref="F275">Common_InputFunctions.Utility_LookupValueInTableNumber(D275,Table_SourceData_Scope3_Pesticides[Product],Table_SourceData_Scope3_Pesticides[AusLCI Emissions intensity])</f>
        <v>5.6</v>
      </c>
      <c r="G275" s="25" cm="1">
        <f t="array" ref="G275">Scope3_Equations.VEERG_15_5_1_1__1_EmissionsFromPurchasedAgrichemicals($E275,F275)</f>
        <v>0</v>
      </c>
      <c r="H275" s="86"/>
      <c r="I275" s="25" cm="1">
        <f t="array" ref="I275">Scope3_Equations.VEERG_15_5_1_1__1_EmissionsFromPurchasedAgrichemicals($E275,IF(H275,H275,F275))</f>
        <v>0</v>
      </c>
    </row>
    <row r="276" spans="3:41" x14ac:dyDescent="0.25">
      <c r="D276" s="25" t="str">
        <v>Metolachlor</v>
      </c>
      <c r="E276" s="25">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25" cm="1">
        <f t="array" ref="F276">Common_InputFunctions.Utility_LookupValueInTableNumber(D276,Table_SourceData_Scope3_Pesticides[Product],Table_SourceData_Scope3_Pesticides[AusLCI Emissions intensity])</f>
        <v>8.06</v>
      </c>
      <c r="G276" s="25" cm="1">
        <f t="array" ref="G276">Scope3_Equations.VEERG_15_5_1_1__1_EmissionsFromPurchasedAgrichemicals($E276,F276)</f>
        <v>0.80600000000000005</v>
      </c>
      <c r="H276" s="86"/>
      <c r="I276" s="25" cm="1">
        <f t="array" ref="I276">Scope3_Equations.VEERG_15_5_1_1__1_EmissionsFromPurchasedAgrichemicals($E276,IF(H276,H276,F276))</f>
        <v>0.80600000000000005</v>
      </c>
    </row>
    <row r="277" spans="3:41" x14ac:dyDescent="0.25">
      <c r="D277" s="25" t="str">
        <v>Metsulfuron-methyl</v>
      </c>
      <c r="E277" s="25">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25" cm="1">
        <f t="array" ref="F277">Common_InputFunctions.Utility_LookupValueInTableNumber(D277,Table_SourceData_Scope3_Pesticides[Product],Table_SourceData_Scope3_Pesticides[AusLCI Emissions intensity])</f>
        <v>8.8000000000000007</v>
      </c>
      <c r="G277" s="25" cm="1">
        <f t="array" ref="G277">Scope3_Equations.VEERG_15_5_1_1__1_EmissionsFromPurchasedAgrichemicals($E277,F277)</f>
        <v>0</v>
      </c>
      <c r="H277" s="86"/>
      <c r="I277" s="25" cm="1">
        <f t="array" ref="I277">Scope3_Equations.VEERG_15_5_1_1__1_EmissionsFromPurchasedAgrichemicals($E277,IF(H277,H277,F277))</f>
        <v>0</v>
      </c>
    </row>
    <row r="278" spans="3:41" x14ac:dyDescent="0.25">
      <c r="D278" s="25" t="str">
        <v>Pesticides (generic)</v>
      </c>
      <c r="E278" s="25">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25" cm="1">
        <f t="array" ref="F278">Common_InputFunctions.Utility_LookupValueInTableNumber(D278,Table_SourceData_Scope3_Pesticides[Product],Table_SourceData_Scope3_Pesticides[AusLCI Emissions intensity])</f>
        <v>9.16</v>
      </c>
      <c r="G278" s="25" cm="1">
        <f t="array" ref="G278">Scope3_Equations.VEERG_15_5_1_1__1_EmissionsFromPurchasedAgrichemicals($E278,F278)</f>
        <v>3.6640000000000001</v>
      </c>
      <c r="H278" s="86"/>
      <c r="I278" s="25" cm="1">
        <f t="array" ref="I278">Scope3_Equations.VEERG_15_5_1_1__1_EmissionsFromPurchasedAgrichemicals($E278,IF(H278,H278,F278))</f>
        <v>3.6640000000000001</v>
      </c>
    </row>
    <row r="279" spans="3:41" x14ac:dyDescent="0.25">
      <c r="D279" s="25" t="str">
        <v>Tri-allate</v>
      </c>
      <c r="E279" s="25">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25" cm="1">
        <f t="array" ref="F279">Common_InputFunctions.Utility_LookupValueInTableNumber(D279,Table_SourceData_Scope3_Pesticides[Product],Table_SourceData_Scope3_Pesticides[AusLCI Emissions intensity])</f>
        <v>8.57</v>
      </c>
      <c r="G279" s="25" cm="1">
        <f t="array" ref="G279">Scope3_Equations.VEERG_15_5_1_1__1_EmissionsFromPurchasedAgrichemicals($E279,F279)</f>
        <v>0</v>
      </c>
      <c r="H279" s="86"/>
      <c r="I279" s="25" cm="1">
        <f t="array" ref="I279">Scope3_Equations.VEERG_15_5_1_1__1_EmissionsFromPurchasedAgrichemicals($E279,IF(H279,H279,F279))</f>
        <v>0</v>
      </c>
    </row>
    <row r="280" spans="3:41" x14ac:dyDescent="0.25">
      <c r="D280" s="25" t="str">
        <v>Tribenuron methyl</v>
      </c>
      <c r="E280" s="25">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25" cm="1">
        <f t="array" ref="F280">Common_InputFunctions.Utility_LookupValueInTableNumber(D280,Table_SourceData_Scope3_Pesticides[Product],Table_SourceData_Scope3_Pesticides[AusLCI Emissions intensity])</f>
        <v>8.8000000000000007</v>
      </c>
      <c r="G280" s="25" cm="1">
        <f t="array" ref="G280">Scope3_Equations.VEERG_15_5_1_1__1_EmissionsFromPurchasedAgrichemicals($E280,F280)</f>
        <v>0.88000000000000012</v>
      </c>
      <c r="H280" s="86"/>
      <c r="I280" s="25" cm="1">
        <f t="array" ref="I280">Scope3_Equations.VEERG_15_5_1_1__1_EmissionsFromPurchasedAgrichemicals($E280,IF(H280,H280,F280))</f>
        <v>0.88000000000000012</v>
      </c>
    </row>
    <row r="281" spans="3:41" x14ac:dyDescent="0.25">
      <c r="D281" s="25" t="str">
        <v>Trifluralin</v>
      </c>
      <c r="E281" s="25">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25" cm="1">
        <f t="array" ref="F281">Common_InputFunctions.Utility_LookupValueInTableNumber(D281,Table_SourceData_Scope3_Pesticides[Product],Table_SourceData_Scope3_Pesticides[AusLCI Emissions intensity])</f>
        <v>6.16</v>
      </c>
      <c r="G281" s="25" cm="1">
        <f t="array" ref="G281">Scope3_Equations.VEERG_15_5_1_1__1_EmissionsFromPurchasedAgrichemicals($E281,F281)</f>
        <v>0.61599999999999999</v>
      </c>
      <c r="H281" s="86"/>
      <c r="I281" s="25" cm="1">
        <f t="array" ref="I281">Scope3_Equations.VEERG_15_5_1_1__1_EmissionsFromPurchasedAgrichemicals($E281,IF(H281,H281,F281))</f>
        <v>0.61599999999999999</v>
      </c>
    </row>
    <row r="283" spans="3:41" ht="20.25" x14ac:dyDescent="0.25">
      <c r="D283" s="264" t="s">
        <v>1069</v>
      </c>
      <c r="E283" s="116">
        <f>SUM(G270:G281)</f>
        <v>7.5159999999999991</v>
      </c>
      <c r="F283" s="117" t="str">
        <f>$E$155</f>
        <v>t CO2e</v>
      </c>
    </row>
    <row r="284" spans="3:41" ht="20.25" x14ac:dyDescent="0.25">
      <c r="D284" s="264" t="s">
        <v>1072</v>
      </c>
      <c r="E284" s="116">
        <f>SUM(I270:I281)</f>
        <v>7.4959999999999996</v>
      </c>
      <c r="F284" s="117" t="str">
        <f>$E$155</f>
        <v>t CO2e</v>
      </c>
    </row>
    <row r="287" spans="3:41" x14ac:dyDescent="0.25">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c r="AA287" s="114"/>
      <c r="AB287" s="114"/>
      <c r="AC287" s="114"/>
      <c r="AD287" s="114"/>
      <c r="AE287" s="114"/>
      <c r="AF287" s="114"/>
      <c r="AG287" s="114"/>
      <c r="AH287" s="114"/>
      <c r="AI287" s="114"/>
      <c r="AJ287" s="114"/>
      <c r="AK287" s="114"/>
      <c r="AL287" s="114"/>
      <c r="AM287" s="114"/>
      <c r="AN287" s="114"/>
      <c r="AO287" s="114"/>
    </row>
    <row r="288" spans="3:41" ht="23.25" x14ac:dyDescent="0.25">
      <c r="D288" s="2" t="str" cm="1">
        <f t="array" ref="D288">Scope3_Equations.VEERG_15_6_1_1__1_EmissionsFromPurchasedLime_Title()</f>
        <v>Embedded emissions for purchased lime</v>
      </c>
    </row>
    <row r="289" spans="4:13" x14ac:dyDescent="0.25">
      <c r="D289" s="27" t="str" cm="1">
        <f t="array" ref="D289">Scope3_Equations.VEERG_15_6_1_1__1_EmissionsFromPurchasedLime_Source()</f>
        <v>VEERG 2026: 15.6.1.1, Equation (1)</v>
      </c>
    </row>
    <row r="290" spans="4:13" x14ac:dyDescent="0.25">
      <c r="D290" s="100" t="s">
        <v>259</v>
      </c>
      <c r="E290" s="100" t="str" cm="1">
        <f t="array" aca="1" ref="E290" ca="1">Common_InputFunctions.Utility_DisplayFunctionName(I305)</f>
        <v>=Scope3_Equations.VEERG_15_6_1_1__1_EmissionsFromPurchasedLime</v>
      </c>
    </row>
    <row r="293" spans="4:13" x14ac:dyDescent="0.25">
      <c r="D293" s="88" t="s">
        <v>261</v>
      </c>
      <c r="E293" s="1" t="str" cm="1">
        <f t="array" ref="E293">Scope3_Equations.VEERG_15_6_1_1__1_EmissionsFromPurchasedLime_Variable()</f>
        <v>E</v>
      </c>
    </row>
    <row r="294" spans="4:13" x14ac:dyDescent="0.25">
      <c r="D294" s="88" t="s">
        <v>131</v>
      </c>
      <c r="E294" s="1" t="str" cm="1">
        <f t="array" ref="E294">Scope3_Equations.VEERG_15_6_1_1__1_EmissionsFromPurchasedLime_Unit()</f>
        <v>t CO2e</v>
      </c>
    </row>
    <row r="296" spans="4:13" x14ac:dyDescent="0.25">
      <c r="D296" s="102" t="str" cm="1">
        <f t="array" ref="D296:E297">_xlfn.CHOOSECOLS(Scope3_Equations.VEERG_15_6_1_1__1_EmissionsFromPurchasedLime_Arguments(),1,2)</f>
        <v>M_lime</v>
      </c>
      <c r="E296" s="102" t="str">
        <v>total quantity of lime applied to soils</v>
      </c>
      <c r="F296" s="102" t="str" cm="1">
        <f t="array" ref="F296:G297">_xlfn.CHOOSECOLS(Scope3_Equations.VEERG_15_6_1_1__1_EmissionsFromPurchasedLime_Arguments(),3,4)</f>
        <v>t</v>
      </c>
      <c r="G296" s="261" t="str">
        <v>Input</v>
      </c>
    </row>
    <row r="297" spans="4:13" x14ac:dyDescent="0.25">
      <c r="D297" s="102" t="str">
        <v>EF_l</v>
      </c>
      <c r="E297" s="102" t="str">
        <v>emission factor for purchased lime</v>
      </c>
      <c r="F297" s="102" t="str">
        <v>t CO2e/t</v>
      </c>
      <c r="G297" s="107" t="str">
        <v>Constant</v>
      </c>
    </row>
    <row r="299" spans="4:13" x14ac:dyDescent="0.25">
      <c r="E299" s="111" t="s">
        <v>148</v>
      </c>
      <c r="F299" s="112" t="s">
        <v>149</v>
      </c>
    </row>
    <row r="300" spans="4:13" ht="18.75" x14ac:dyDescent="0.25">
      <c r="D300" s="1" t="s">
        <v>1141</v>
      </c>
      <c r="E300" s="25" cm="1">
        <f t="array" ref="E300">Common_InputFunctions.Utility_LookupValueInTableNumber("Limestone (crushed)", Table_SourceData_Scope3_SoilAmeliorants[Product],Table_SourceData_Scope3_SoilAmeliorants[AusLCI Emissions intensity])*10^-3</f>
        <v>4.85E-5</v>
      </c>
      <c r="F300" s="86">
        <v>4.0000000000000003E-5</v>
      </c>
      <c r="G300" s="26" t="str">
        <f>$F$297</f>
        <v>t CO2e/t</v>
      </c>
    </row>
    <row r="301" spans="4:13" ht="18.75" x14ac:dyDescent="0.25">
      <c r="D301" s="1" t="s">
        <v>1142</v>
      </c>
      <c r="E301" s="25" cm="1">
        <f t="array" ref="E301">Common_InputFunctions.Utility_LookupValueInTableNumber("Dolomite", Table_SourceData_Scope3_SoilAmeliorants[Product],Table_SourceData_Scope3_SoilAmeliorants[AusLCI Emissions intensity])*10^-3</f>
        <v>6.5199999999999999E-5</v>
      </c>
      <c r="F301" s="86">
        <v>6.0000000000000002E-5</v>
      </c>
      <c r="G301" s="26"/>
    </row>
    <row r="302" spans="4:13" ht="18.75" x14ac:dyDescent="0.25">
      <c r="D302" s="1" t="s">
        <v>1143</v>
      </c>
      <c r="E302" s="25" cm="1">
        <f t="array" ref="E302">Common_InputFunctions.Utility_LookupValueInTableNumber("Gypsum", Table_SourceData_Scope3_SoilAmeliorants[Product],Table_SourceData_Scope3_SoilAmeliorants[AusLCI Emissions intensity])*10^-3</f>
        <v>6.5199999999999999E-5</v>
      </c>
      <c r="F302" s="86">
        <v>6.0000000000000002E-5</v>
      </c>
      <c r="G302" s="26"/>
    </row>
    <row r="304" spans="4:13" ht="17.25" x14ac:dyDescent="0.25">
      <c r="D304" s="112" t="s">
        <v>641</v>
      </c>
      <c r="E304" s="262" t="s">
        <v>1144</v>
      </c>
      <c r="F304" s="112" t="s">
        <v>1145</v>
      </c>
      <c r="G304" s="112" t="s">
        <v>1146</v>
      </c>
      <c r="H304" s="112" t="s">
        <v>1147</v>
      </c>
      <c r="I304" s="111" t="s">
        <v>1069</v>
      </c>
      <c r="J304" s="111" t="s">
        <v>1148</v>
      </c>
      <c r="K304" s="112" t="s">
        <v>1073</v>
      </c>
      <c r="L304" s="112" t="s">
        <v>1074</v>
      </c>
      <c r="M304" s="112" t="s">
        <v>1075</v>
      </c>
    </row>
    <row r="305" spans="3:41" x14ac:dyDescent="0.25">
      <c r="D305" s="25" t="str" cm="1">
        <f t="array" ref="D305:D314">IFERROR(INDEX(Table_Input_Lime[Product], _xlfn.SEQUENCE(10)), "")</f>
        <v>Lime product 1</v>
      </c>
      <c r="E305" s="25" cm="1">
        <f t="array" ref="E305:E314">IFERROR(INDEX(Table_Input_Lime[Total amount applied (t)], _xlfn.SEQUENCE(10)), 0)</f>
        <v>1000</v>
      </c>
      <c r="F305" s="25" cm="1">
        <f t="array" ref="F305:F314">IFERROR(INDEX(Table_Input_Lime[Percent Lime CaCO3], _xlfn.SEQUENCE(10)), 0)*E305</f>
        <v>800</v>
      </c>
      <c r="G305" s="25" cm="1">
        <f t="array" ref="G305:G314">IFERROR(INDEX(Table_Input_Lime[Percent Dolomite CaMg(CO3)2], _xlfn.SEQUENCE(10)), 0)*E305</f>
        <v>100</v>
      </c>
      <c r="H305" s="25" cm="1">
        <f t="array" ref="H305:H314">IFERROR(INDEX(Table_Input_Lime[Percent Gypsum], _xlfn.SEQUENCE(10)), 0)*E305</f>
        <v>100</v>
      </c>
      <c r="I305" s="263" cm="1">
        <f t="array" ref="I305">Scope3_Equations.VEERG_15_6_1_1__1_EmissionsFromPurchasedLime(F305,$E$300)+
Scope3_Equations.VEERG_15_6_1_1__1_EmissionsFromPurchasedLime(G305,$E$301)+
Scope3_Equations.VEERG_15_6_1_1__1_EmissionsFromPurchasedLime(H305,$E$302)</f>
        <v>5.1839999999999997E-2</v>
      </c>
      <c r="J305" s="263" cm="1">
        <f t="array" ref="J305">Scope3_Equations.VEERG_15_6_1_1__1_EmissionsFromPurchasedLime(F305,IF($F$300,$F$300,$E$300))+
Scope3_Equations.VEERG_15_6_1_1__1_EmissionsFromPurchasedLime(G305,IF($F$301,$F$301,$E$301))+
Scope3_Equations.VEERG_15_6_1_1__1_EmissionsFromPurchasedLime(H305,IF($F$302,$F$302,$E$302))</f>
        <v>4.3999999999999997E-2</v>
      </c>
      <c r="K305" s="44"/>
      <c r="L305" s="23"/>
      <c r="M305" s="44"/>
    </row>
    <row r="306" spans="3:41" x14ac:dyDescent="0.25">
      <c r="D306" s="25" t="str">
        <v>Lime product 2</v>
      </c>
      <c r="E306" s="25">
        <v>1000</v>
      </c>
      <c r="F306" s="25">
        <v>1000</v>
      </c>
      <c r="G306" s="25">
        <v>0</v>
      </c>
      <c r="H306" s="25">
        <v>0</v>
      </c>
      <c r="I306" s="263" cm="1">
        <f t="array" ref="I306">Scope3_Equations.VEERG_15_6_1_1__1_EmissionsFromPurchasedLime(F306,$E$300)+
Scope3_Equations.VEERG_15_6_1_1__1_EmissionsFromPurchasedLime(G306,$E$301)+
Scope3_Equations.VEERG_15_6_1_1__1_EmissionsFromPurchasedLime(H306,$E$302)</f>
        <v>4.8500000000000001E-2</v>
      </c>
      <c r="J306" s="263" cm="1">
        <f t="array" ref="J306">Scope3_Equations.VEERG_15_6_1_1__1_EmissionsFromPurchasedLime(F306,IF($F$300,$F$300,$E$300))+
Scope3_Equations.VEERG_15_6_1_1__1_EmissionsFromPurchasedLime(G306,IF($F$301,$F$301,$E$301))+
Scope3_Equations.VEERG_15_6_1_1__1_EmissionsFromPurchasedLime(H306,IF($F$302,$F$302,$E$302))</f>
        <v>0.04</v>
      </c>
      <c r="K306" s="44"/>
      <c r="L306" s="23"/>
      <c r="M306" s="44"/>
    </row>
    <row r="307" spans="3:41" x14ac:dyDescent="0.25">
      <c r="D307" s="25" t="str">
        <v>Lime product 3</v>
      </c>
      <c r="E307" s="25">
        <v>1000</v>
      </c>
      <c r="F307" s="25">
        <v>0</v>
      </c>
      <c r="G307" s="25">
        <v>0</v>
      </c>
      <c r="H307" s="25">
        <v>1000</v>
      </c>
      <c r="I307" s="263" cm="1">
        <f t="array" ref="I307">Scope3_Equations.VEERG_15_6_1_1__1_EmissionsFromPurchasedLime(F307,$E$300)+
Scope3_Equations.VEERG_15_6_1_1__1_EmissionsFromPurchasedLime(G307,$E$301)+
Scope3_Equations.VEERG_15_6_1_1__1_EmissionsFromPurchasedLime(H307,$E$302)</f>
        <v>6.5199999999999994E-2</v>
      </c>
      <c r="J307" s="263" cm="1">
        <f t="array" ref="J307">Scope3_Equations.VEERG_15_6_1_1__1_EmissionsFromPurchasedLime(F307,IF($F$300,$F$300,$E$300))+
Scope3_Equations.VEERG_15_6_1_1__1_EmissionsFromPurchasedLime(G307,IF($F$301,$F$301,$E$301))+
Scope3_Equations.VEERG_15_6_1_1__1_EmissionsFromPurchasedLime(H307,IF($F$302,$F$302,$E$302))</f>
        <v>6.0000000000000005E-2</v>
      </c>
      <c r="K307" s="44"/>
      <c r="L307" s="23"/>
      <c r="M307" s="44"/>
    </row>
    <row r="308" spans="3:41" x14ac:dyDescent="0.25">
      <c r="D308" s="25" t="str">
        <v/>
      </c>
      <c r="E308" s="25">
        <v>0</v>
      </c>
      <c r="F308" s="25">
        <v>0</v>
      </c>
      <c r="G308" s="25">
        <v>0</v>
      </c>
      <c r="H308" s="25">
        <v>0</v>
      </c>
      <c r="I308" s="263" cm="1">
        <f t="array" ref="I308">Scope3_Equations.VEERG_15_6_1_1__1_EmissionsFromPurchasedLime(F308,$E$300)+
Scope3_Equations.VEERG_15_6_1_1__1_EmissionsFromPurchasedLime(G308,$E$301)+
Scope3_Equations.VEERG_15_6_1_1__1_EmissionsFromPurchasedLime(H308,$E$302)</f>
        <v>0</v>
      </c>
      <c r="J308" s="263" cm="1">
        <f t="array" ref="J308">Scope3_Equations.VEERG_15_6_1_1__1_EmissionsFromPurchasedLime(F308,IF($F$300,$F$300,$E$300))+
Scope3_Equations.VEERG_15_6_1_1__1_EmissionsFromPurchasedLime(G308,IF($F$301,$F$301,$E$301))+
Scope3_Equations.VEERG_15_6_1_1__1_EmissionsFromPurchasedLime(H308,IF($F$302,$F$302,$E$302))</f>
        <v>0</v>
      </c>
      <c r="K308" s="44"/>
      <c r="L308" s="23"/>
      <c r="M308" s="44"/>
    </row>
    <row r="309" spans="3:41" x14ac:dyDescent="0.25">
      <c r="D309" s="25" t="str">
        <v/>
      </c>
      <c r="E309" s="25">
        <v>0</v>
      </c>
      <c r="F309" s="25">
        <v>0</v>
      </c>
      <c r="G309" s="25">
        <v>0</v>
      </c>
      <c r="H309" s="25">
        <v>0</v>
      </c>
      <c r="I309" s="263" cm="1">
        <f t="array" ref="I309">Scope3_Equations.VEERG_15_6_1_1__1_EmissionsFromPurchasedLime(F309,$E$300)+
Scope3_Equations.VEERG_15_6_1_1__1_EmissionsFromPurchasedLime(G309,$E$301)+
Scope3_Equations.VEERG_15_6_1_1__1_EmissionsFromPurchasedLime(H309,$E$302)</f>
        <v>0</v>
      </c>
      <c r="J309" s="263" cm="1">
        <f t="array" ref="J309">Scope3_Equations.VEERG_15_6_1_1__1_EmissionsFromPurchasedLime(F309,IF($F$300,$F$300,$E$300))+
Scope3_Equations.VEERG_15_6_1_1__1_EmissionsFromPurchasedLime(G309,IF($F$301,$F$301,$E$301))+
Scope3_Equations.VEERG_15_6_1_1__1_EmissionsFromPurchasedLime(H309,IF($F$302,$F$302,$E$302))</f>
        <v>0</v>
      </c>
      <c r="K309" s="44"/>
      <c r="L309" s="23"/>
      <c r="M309" s="44"/>
    </row>
    <row r="310" spans="3:41" x14ac:dyDescent="0.25">
      <c r="D310" s="25" t="str">
        <v/>
      </c>
      <c r="E310" s="25">
        <v>0</v>
      </c>
      <c r="F310" s="25">
        <v>0</v>
      </c>
      <c r="G310" s="25">
        <v>0</v>
      </c>
      <c r="H310" s="25">
        <v>0</v>
      </c>
      <c r="I310" s="263" cm="1">
        <f t="array" ref="I310">Scope3_Equations.VEERG_15_6_1_1__1_EmissionsFromPurchasedLime(F310,$E$300)+
Scope3_Equations.VEERG_15_6_1_1__1_EmissionsFromPurchasedLime(G310,$E$301)+
Scope3_Equations.VEERG_15_6_1_1__1_EmissionsFromPurchasedLime(H310,$E$302)</f>
        <v>0</v>
      </c>
      <c r="J310" s="263" cm="1">
        <f t="array" ref="J310">Scope3_Equations.VEERG_15_6_1_1__1_EmissionsFromPurchasedLime(F310,IF($F$300,$F$300,$E$300))+
Scope3_Equations.VEERG_15_6_1_1__1_EmissionsFromPurchasedLime(G310,IF($F$301,$F$301,$E$301))+
Scope3_Equations.VEERG_15_6_1_1__1_EmissionsFromPurchasedLime(H310,IF($F$302,$F$302,$E$302))</f>
        <v>0</v>
      </c>
      <c r="K310" s="44"/>
      <c r="L310" s="23"/>
      <c r="M310" s="44"/>
    </row>
    <row r="311" spans="3:41" x14ac:dyDescent="0.25">
      <c r="D311" s="25" t="str">
        <v/>
      </c>
      <c r="E311" s="25">
        <v>0</v>
      </c>
      <c r="F311" s="25">
        <v>0</v>
      </c>
      <c r="G311" s="25">
        <v>0</v>
      </c>
      <c r="H311" s="25">
        <v>0</v>
      </c>
      <c r="I311" s="263" cm="1">
        <f t="array" ref="I311">Scope3_Equations.VEERG_15_6_1_1__1_EmissionsFromPurchasedLime(F311,$E$300)+
Scope3_Equations.VEERG_15_6_1_1__1_EmissionsFromPurchasedLime(G311,$E$301)+
Scope3_Equations.VEERG_15_6_1_1__1_EmissionsFromPurchasedLime(H311,$E$302)</f>
        <v>0</v>
      </c>
      <c r="J311" s="263" cm="1">
        <f t="array" ref="J311">Scope3_Equations.VEERG_15_6_1_1__1_EmissionsFromPurchasedLime(F311,IF($F$300,$F$300,$E$300))+
Scope3_Equations.VEERG_15_6_1_1__1_EmissionsFromPurchasedLime(G311,IF($F$301,$F$301,$E$301))+
Scope3_Equations.VEERG_15_6_1_1__1_EmissionsFromPurchasedLime(H311,IF($F$302,$F$302,$E$302))</f>
        <v>0</v>
      </c>
      <c r="K311" s="44"/>
      <c r="L311" s="23"/>
      <c r="M311" s="44"/>
    </row>
    <row r="312" spans="3:41" x14ac:dyDescent="0.25">
      <c r="D312" s="25" t="str">
        <v/>
      </c>
      <c r="E312" s="25">
        <v>0</v>
      </c>
      <c r="F312" s="25">
        <v>0</v>
      </c>
      <c r="G312" s="25">
        <v>0</v>
      </c>
      <c r="H312" s="25">
        <v>0</v>
      </c>
      <c r="I312" s="263" cm="1">
        <f t="array" ref="I312">Scope3_Equations.VEERG_15_6_1_1__1_EmissionsFromPurchasedLime(F312,$E$300)+
Scope3_Equations.VEERG_15_6_1_1__1_EmissionsFromPurchasedLime(G312,$E$301)+
Scope3_Equations.VEERG_15_6_1_1__1_EmissionsFromPurchasedLime(H312,$E$302)</f>
        <v>0</v>
      </c>
      <c r="J312" s="263" cm="1">
        <f t="array" ref="J312">Scope3_Equations.VEERG_15_6_1_1__1_EmissionsFromPurchasedLime(F312,IF($F$300,$F$300,$E$300))+
Scope3_Equations.VEERG_15_6_1_1__1_EmissionsFromPurchasedLime(G312,IF($F$301,$F$301,$E$301))+
Scope3_Equations.VEERG_15_6_1_1__1_EmissionsFromPurchasedLime(H312,IF($F$302,$F$302,$E$302))</f>
        <v>0</v>
      </c>
      <c r="K312" s="44"/>
      <c r="L312" s="23"/>
      <c r="M312" s="44"/>
    </row>
    <row r="313" spans="3:41" x14ac:dyDescent="0.25">
      <c r="D313" s="25" t="str">
        <v/>
      </c>
      <c r="E313" s="25">
        <v>0</v>
      </c>
      <c r="F313" s="25">
        <v>0</v>
      </c>
      <c r="G313" s="25">
        <v>0</v>
      </c>
      <c r="H313" s="25">
        <v>0</v>
      </c>
      <c r="I313" s="263" cm="1">
        <f t="array" ref="I313">Scope3_Equations.VEERG_15_6_1_1__1_EmissionsFromPurchasedLime(F313,$E$300)+
Scope3_Equations.VEERG_15_6_1_1__1_EmissionsFromPurchasedLime(G313,$E$301)+
Scope3_Equations.VEERG_15_6_1_1__1_EmissionsFromPurchasedLime(H313,$E$302)</f>
        <v>0</v>
      </c>
      <c r="J313" s="263" cm="1">
        <f t="array" ref="J313">Scope3_Equations.VEERG_15_6_1_1__1_EmissionsFromPurchasedLime(F313,IF($F$300,$F$300,$E$300))+
Scope3_Equations.VEERG_15_6_1_1__1_EmissionsFromPurchasedLime(G313,IF($F$301,$F$301,$E$301))+
Scope3_Equations.VEERG_15_6_1_1__1_EmissionsFromPurchasedLime(H313,IF($F$302,$F$302,$E$302))</f>
        <v>0</v>
      </c>
      <c r="K313" s="44"/>
      <c r="L313" s="23"/>
      <c r="M313" s="44"/>
    </row>
    <row r="314" spans="3:41" x14ac:dyDescent="0.25">
      <c r="D314" s="25" t="str">
        <v/>
      </c>
      <c r="E314" s="25">
        <v>0</v>
      </c>
      <c r="F314" s="25">
        <v>0</v>
      </c>
      <c r="G314" s="25">
        <v>0</v>
      </c>
      <c r="H314" s="25">
        <v>0</v>
      </c>
      <c r="I314" s="263" cm="1">
        <f t="array" ref="I314">Scope3_Equations.VEERG_15_6_1_1__1_EmissionsFromPurchasedLime(F314,$E$300)+
Scope3_Equations.VEERG_15_6_1_1__1_EmissionsFromPurchasedLime(G314,$E$301)+
Scope3_Equations.VEERG_15_6_1_1__1_EmissionsFromPurchasedLime(H314,$E$302)</f>
        <v>0</v>
      </c>
      <c r="J314" s="263" cm="1">
        <f t="array" ref="J314">Scope3_Equations.VEERG_15_6_1_1__1_EmissionsFromPurchasedLime(F314,IF($F$300,$F$300,$E$300))+
Scope3_Equations.VEERG_15_6_1_1__1_EmissionsFromPurchasedLime(G314,IF($F$301,$F$301,$E$301))+
Scope3_Equations.VEERG_15_6_1_1__1_EmissionsFromPurchasedLime(H314,IF($F$302,$F$302,$E$302))</f>
        <v>0</v>
      </c>
      <c r="K314" s="44"/>
      <c r="L314" s="23"/>
      <c r="M314" s="44"/>
    </row>
    <row r="316" spans="3:41" ht="20.25" x14ac:dyDescent="0.25">
      <c r="D316" s="264" t="s">
        <v>1069</v>
      </c>
      <c r="E316" s="116">
        <f>SUM(I305:I314)</f>
        <v>0.16553999999999999</v>
      </c>
      <c r="F316" s="117" t="str">
        <f>$E$155</f>
        <v>t CO2e</v>
      </c>
    </row>
    <row r="317" spans="3:41" ht="20.25" x14ac:dyDescent="0.25">
      <c r="D317" s="264" t="s">
        <v>1072</v>
      </c>
      <c r="E317" s="116">
        <f>SUM(J305:J314)</f>
        <v>0.14399999999999999</v>
      </c>
      <c r="F317" s="117" t="str">
        <f>$E$155</f>
        <v>t CO2e</v>
      </c>
    </row>
    <row r="320" spans="3:41" x14ac:dyDescent="0.25">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c r="AA320" s="114"/>
      <c r="AB320" s="114"/>
      <c r="AC320" s="114"/>
      <c r="AD320" s="114"/>
      <c r="AE320" s="114"/>
      <c r="AF320" s="114"/>
      <c r="AG320" s="114"/>
      <c r="AH320" s="114"/>
      <c r="AI320" s="114"/>
      <c r="AJ320" s="114"/>
      <c r="AK320" s="114"/>
      <c r="AL320" s="114"/>
      <c r="AM320" s="114"/>
      <c r="AN320" s="114"/>
      <c r="AO320" s="114"/>
    </row>
    <row r="321" spans="4:15" ht="23.25" x14ac:dyDescent="0.25">
      <c r="D321" s="2" t="str" cm="1">
        <f t="array" ref="D321">Scope3_Equations.VEERG_15_7_1_1__1_EmissionsFromPurchasedServices_Title()</f>
        <v>Emissions of purchased services and contractor operations</v>
      </c>
    </row>
    <row r="322" spans="4:15" x14ac:dyDescent="0.25">
      <c r="D322" s="27" t="str" cm="1">
        <f t="array" ref="D322">Scope3_Equations.VEERG_15_7_1_1__1_EmissionsFromPurchasedServices_Source()</f>
        <v>VEERG 2026: 15.7.1.1, Equation (1)</v>
      </c>
    </row>
    <row r="323" spans="4:15" x14ac:dyDescent="0.25">
      <c r="D323" s="100" t="s">
        <v>259</v>
      </c>
      <c r="E323" s="100" t="str" cm="1">
        <f t="array" aca="1" ref="E323" ca="1">Common_InputFunctions.Utility_DisplayFunctionName(K336)</f>
        <v>=Scope3_Equations.VEERG_15_7_1_1__1_EmissionsFromPurchasedServices</v>
      </c>
    </row>
    <row r="325" spans="4:15" x14ac:dyDescent="0.25">
      <c r="H325" s="1" t="s">
        <v>1149</v>
      </c>
    </row>
    <row r="326" spans="4:15" x14ac:dyDescent="0.25">
      <c r="D326" s="88" t="s">
        <v>261</v>
      </c>
      <c r="E326" s="1" t="str" cm="1">
        <f t="array" ref="E326">Scope3_Equations.VEERG_15_7_1_1__1_EmissionsFromPurchasedServices_Variable()</f>
        <v>E</v>
      </c>
    </row>
    <row r="327" spans="4:15" x14ac:dyDescent="0.25">
      <c r="D327" s="88" t="s">
        <v>131</v>
      </c>
      <c r="E327" s="1" t="str" cm="1">
        <f t="array" ref="E327">Scope3_Equations.VEERG_15_7_1_1__1_EmissionsFromPurchasedServices_Unit()</f>
        <v>t CO2e</v>
      </c>
    </row>
    <row r="329" spans="4:15" x14ac:dyDescent="0.25">
      <c r="D329" s="102" t="str" cm="1">
        <f t="array" ref="D329:E331">_xlfn.CHOOSECOLS(Scope3_Equations.VEERG_15_7_1_1__1_EmissionsFromPurchasedServices_Arguments(),1,2)</f>
        <v>A_p</v>
      </c>
      <c r="E329" s="103" t="str">
        <v>activity data of the service that was purchased</v>
      </c>
      <c r="F329" s="105"/>
      <c r="G329" s="102" t="str" cm="1">
        <f t="array" ref="G329:H331">_xlfn.CHOOSECOLS(Scope3_Equations.VEERG_15_7_1_1__1_EmissionsFromPurchasedServices_Arguments(),3,4)</f>
        <v>ha or h</v>
      </c>
      <c r="H329" s="261" t="str">
        <v>Input</v>
      </c>
    </row>
    <row r="330" spans="4:15" x14ac:dyDescent="0.25">
      <c r="D330" s="102" t="str">
        <v>EF_p</v>
      </c>
      <c r="E330" s="103" t="str">
        <v>life cycle emission factor for the purchased service</v>
      </c>
      <c r="F330" s="105"/>
      <c r="G330" s="102" t="str">
        <v>kg CO2e/ha or kg CO2e/h</v>
      </c>
      <c r="H330" s="107" t="str">
        <v>Constant</v>
      </c>
    </row>
    <row r="331" spans="4:15" x14ac:dyDescent="0.25">
      <c r="D331" s="102" t="str">
        <v>p</v>
      </c>
      <c r="E331" s="103" t="str">
        <v>service type</v>
      </c>
      <c r="F331" s="105"/>
      <c r="G331" s="102" t="str">
        <v/>
      </c>
      <c r="H331" s="261" t="str">
        <v>Input</v>
      </c>
    </row>
    <row r="333" spans="4:15" x14ac:dyDescent="0.25">
      <c r="D333" s="36" t="s">
        <v>1150</v>
      </c>
    </row>
    <row r="335" spans="4:15" x14ac:dyDescent="0.25">
      <c r="D335" s="112" t="s">
        <v>1010</v>
      </c>
      <c r="E335" s="112" t="s">
        <v>1011</v>
      </c>
      <c r="F335" s="112" t="s">
        <v>1012</v>
      </c>
      <c r="G335" s="112" t="s">
        <v>709</v>
      </c>
      <c r="H335" s="111" t="s">
        <v>1151</v>
      </c>
      <c r="I335" s="111" t="s">
        <v>1152</v>
      </c>
      <c r="J335" s="112" t="s">
        <v>1153</v>
      </c>
      <c r="K335" s="111" t="s">
        <v>1154</v>
      </c>
      <c r="L335" s="111" t="s">
        <v>1155</v>
      </c>
      <c r="M335" s="112" t="s">
        <v>1073</v>
      </c>
      <c r="N335" s="112" t="s">
        <v>1074</v>
      </c>
      <c r="O335" s="112" t="s">
        <v>1075</v>
      </c>
    </row>
    <row r="336" spans="4:15" x14ac:dyDescent="0.25">
      <c r="D336" s="25" t="str" cm="1">
        <f t="array" ref="D336:D345">IFERROR(INDEX(Table_Input_ServicesAndContractors[Service provider / contractor], _xlfn.SEQUENCE(10)), "")</f>
        <v>Pete's Pickers</v>
      </c>
      <c r="E336" s="25" t="str" cm="1">
        <f t="array" ref="E336:E345">IFERROR(INDEX(Table_Input_ServicesAndContractors[Activity], _xlfn.SEQUENCE(10)), "")</f>
        <v>Fruit picking</v>
      </c>
      <c r="F336" s="25" cm="1">
        <f t="array" ref="F336:F345">IFERROR(INDEX(Table_Input_ServicesAndContractors[Total amount], _xlfn.SEQUENCE(10)), "")</f>
        <v>10000</v>
      </c>
      <c r="G336" s="25" t="str" cm="1">
        <f t="array" ref="G336:G345">IFERROR(INDEX(Table_Input_ServicesAndContractors[Amount unit], _xlfn.SEQUENCE(10)), "")</f>
        <v>Hour</v>
      </c>
      <c r="H336" s="25" t="s">
        <v>1156</v>
      </c>
      <c r="I336" s="25" t="s">
        <v>1156</v>
      </c>
      <c r="J336" s="86">
        <v>4</v>
      </c>
      <c r="K336" s="263" cm="1">
        <f t="array" ref="K336">Scope3_Equations.VEERG_15_7_1_1__1_EmissionsFromPurchasedServices(F336,J336)</f>
        <v>40</v>
      </c>
      <c r="L336" s="25" t="str">
        <f>"t CO2e / " &amp; G336</f>
        <v>t CO2e / Hour</v>
      </c>
      <c r="M336" s="44"/>
      <c r="N336" s="23"/>
      <c r="O336" s="44"/>
    </row>
    <row r="337" spans="3:41" x14ac:dyDescent="0.25">
      <c r="D337" s="25" t="str">
        <v>Harini's Harvesting Services Pty Ltd</v>
      </c>
      <c r="E337" s="25" t="str">
        <v>Wheat harvesting</v>
      </c>
      <c r="F337" s="25">
        <v>1000</v>
      </c>
      <c r="G337" s="25" t="str">
        <v>Hectare</v>
      </c>
      <c r="H337" s="25" t="s">
        <v>1156</v>
      </c>
      <c r="I337" s="25" t="s">
        <v>1156</v>
      </c>
      <c r="J337" s="86">
        <v>2</v>
      </c>
      <c r="K337" s="263" cm="1">
        <f t="array" ref="K337">Scope3_Equations.VEERG_15_7_1_1__1_EmissionsFromPurchasedServices(F337,J337)</f>
        <v>2</v>
      </c>
      <c r="L337" s="25" t="str">
        <f t="shared" ref="L337:L345" si="1">"t CO2e / " &amp; G337</f>
        <v>t CO2e / Hectare</v>
      </c>
      <c r="M337" s="44"/>
      <c r="N337" s="23"/>
      <c r="O337" s="44"/>
    </row>
    <row r="338" spans="3:41" x14ac:dyDescent="0.25">
      <c r="D338" s="25">
        <v>0</v>
      </c>
      <c r="E338" s="25">
        <v>0</v>
      </c>
      <c r="F338" s="25">
        <v>0</v>
      </c>
      <c r="G338" s="25">
        <v>0</v>
      </c>
      <c r="H338" s="25" t="s">
        <v>1156</v>
      </c>
      <c r="I338" s="25" t="s">
        <v>1156</v>
      </c>
      <c r="J338" s="86"/>
      <c r="K338" s="263" cm="1">
        <f t="array" ref="K338">Scope3_Equations.VEERG_15_7_1_1__1_EmissionsFromPurchasedServices(F338,J338)</f>
        <v>0</v>
      </c>
      <c r="L338" s="25" t="str">
        <f t="shared" si="1"/>
        <v>t CO2e / 0</v>
      </c>
      <c r="M338" s="44"/>
      <c r="N338" s="23"/>
      <c r="O338" s="44"/>
    </row>
    <row r="339" spans="3:41" x14ac:dyDescent="0.25">
      <c r="D339" s="25">
        <v>0</v>
      </c>
      <c r="E339" s="25">
        <v>0</v>
      </c>
      <c r="F339" s="25">
        <v>0</v>
      </c>
      <c r="G339" s="25">
        <v>0</v>
      </c>
      <c r="H339" s="25" t="s">
        <v>1156</v>
      </c>
      <c r="I339" s="25" t="s">
        <v>1156</v>
      </c>
      <c r="J339" s="86"/>
      <c r="K339" s="263" cm="1">
        <f t="array" ref="K339">Scope3_Equations.VEERG_15_7_1_1__1_EmissionsFromPurchasedServices(F339,J339)</f>
        <v>0</v>
      </c>
      <c r="L339" s="25" t="str">
        <f t="shared" si="1"/>
        <v>t CO2e / 0</v>
      </c>
      <c r="M339" s="44"/>
      <c r="N339" s="23"/>
      <c r="O339" s="44"/>
    </row>
    <row r="340" spans="3:41" x14ac:dyDescent="0.25">
      <c r="D340" s="25">
        <v>0</v>
      </c>
      <c r="E340" s="25">
        <v>0</v>
      </c>
      <c r="F340" s="25">
        <v>0</v>
      </c>
      <c r="G340" s="25">
        <v>0</v>
      </c>
      <c r="H340" s="25" t="s">
        <v>1156</v>
      </c>
      <c r="I340" s="25" t="s">
        <v>1156</v>
      </c>
      <c r="J340" s="86"/>
      <c r="K340" s="263" cm="1">
        <f t="array" ref="K340">Scope3_Equations.VEERG_15_7_1_1__1_EmissionsFromPurchasedServices(F340,J340)</f>
        <v>0</v>
      </c>
      <c r="L340" s="25" t="str">
        <f t="shared" si="1"/>
        <v>t CO2e / 0</v>
      </c>
      <c r="M340" s="44"/>
      <c r="N340" s="23"/>
      <c r="O340" s="44"/>
    </row>
    <row r="341" spans="3:41" x14ac:dyDescent="0.25">
      <c r="D341" s="25">
        <v>0</v>
      </c>
      <c r="E341" s="25">
        <v>0</v>
      </c>
      <c r="F341" s="25">
        <v>0</v>
      </c>
      <c r="G341" s="25">
        <v>0</v>
      </c>
      <c r="H341" s="25" t="s">
        <v>1156</v>
      </c>
      <c r="I341" s="25" t="s">
        <v>1156</v>
      </c>
      <c r="J341" s="86"/>
      <c r="K341" s="263" cm="1">
        <f t="array" ref="K341">Scope3_Equations.VEERG_15_7_1_1__1_EmissionsFromPurchasedServices(F341,J341)</f>
        <v>0</v>
      </c>
      <c r="L341" s="25" t="str">
        <f t="shared" si="1"/>
        <v>t CO2e / 0</v>
      </c>
      <c r="M341" s="44"/>
      <c r="N341" s="23"/>
      <c r="O341" s="44"/>
    </row>
    <row r="342" spans="3:41" x14ac:dyDescent="0.25">
      <c r="D342" s="25">
        <v>0</v>
      </c>
      <c r="E342" s="25">
        <v>0</v>
      </c>
      <c r="F342" s="25">
        <v>0</v>
      </c>
      <c r="G342" s="25">
        <v>0</v>
      </c>
      <c r="H342" s="25" t="s">
        <v>1156</v>
      </c>
      <c r="I342" s="25" t="s">
        <v>1156</v>
      </c>
      <c r="J342" s="86"/>
      <c r="K342" s="263" cm="1">
        <f t="array" ref="K342">Scope3_Equations.VEERG_15_7_1_1__1_EmissionsFromPurchasedServices(F342,J342)</f>
        <v>0</v>
      </c>
      <c r="L342" s="25" t="str">
        <f t="shared" si="1"/>
        <v>t CO2e / 0</v>
      </c>
      <c r="M342" s="44"/>
      <c r="N342" s="23"/>
      <c r="O342" s="44"/>
    </row>
    <row r="343" spans="3:41" x14ac:dyDescent="0.25">
      <c r="D343" s="25">
        <v>0</v>
      </c>
      <c r="E343" s="25">
        <v>0</v>
      </c>
      <c r="F343" s="25">
        <v>0</v>
      </c>
      <c r="G343" s="25">
        <v>0</v>
      </c>
      <c r="H343" s="25" t="s">
        <v>1156</v>
      </c>
      <c r="I343" s="25" t="s">
        <v>1156</v>
      </c>
      <c r="J343" s="86"/>
      <c r="K343" s="263" cm="1">
        <f t="array" ref="K343">Scope3_Equations.VEERG_15_7_1_1__1_EmissionsFromPurchasedServices(F343,J343)</f>
        <v>0</v>
      </c>
      <c r="L343" s="25" t="str">
        <f t="shared" si="1"/>
        <v>t CO2e / 0</v>
      </c>
      <c r="M343" s="44"/>
      <c r="N343" s="23"/>
      <c r="O343" s="44"/>
    </row>
    <row r="344" spans="3:41" x14ac:dyDescent="0.25">
      <c r="D344" s="25">
        <v>0</v>
      </c>
      <c r="E344" s="25">
        <v>0</v>
      </c>
      <c r="F344" s="25">
        <v>0</v>
      </c>
      <c r="G344" s="25">
        <v>0</v>
      </c>
      <c r="H344" s="25" t="s">
        <v>1156</v>
      </c>
      <c r="I344" s="25" t="s">
        <v>1156</v>
      </c>
      <c r="J344" s="86"/>
      <c r="K344" s="263" cm="1">
        <f t="array" ref="K344">Scope3_Equations.VEERG_15_7_1_1__1_EmissionsFromPurchasedServices(F344,J344)</f>
        <v>0</v>
      </c>
      <c r="L344" s="25" t="str">
        <f t="shared" si="1"/>
        <v>t CO2e / 0</v>
      </c>
      <c r="M344" s="44"/>
      <c r="N344" s="23"/>
      <c r="O344" s="44"/>
    </row>
    <row r="345" spans="3:41" x14ac:dyDescent="0.25">
      <c r="D345" s="25">
        <v>0</v>
      </c>
      <c r="E345" s="25">
        <v>0</v>
      </c>
      <c r="F345" s="25">
        <v>0</v>
      </c>
      <c r="G345" s="25">
        <v>0</v>
      </c>
      <c r="H345" s="25" t="s">
        <v>1156</v>
      </c>
      <c r="I345" s="25" t="s">
        <v>1156</v>
      </c>
      <c r="J345" s="86"/>
      <c r="K345" s="263" cm="1">
        <f t="array" ref="K345">Scope3_Equations.VEERG_15_7_1_1__1_EmissionsFromPurchasedServices(F345,J345)</f>
        <v>0</v>
      </c>
      <c r="L345" s="25" t="str">
        <f t="shared" si="1"/>
        <v>t CO2e / 0</v>
      </c>
      <c r="M345" s="44"/>
      <c r="N345" s="23"/>
      <c r="O345" s="44"/>
    </row>
    <row r="347" spans="3:41" ht="20.25" x14ac:dyDescent="0.25">
      <c r="D347" s="264" t="s">
        <v>1069</v>
      </c>
      <c r="E347" s="116" t="s">
        <v>1156</v>
      </c>
      <c r="F347" s="117" t="str">
        <f>$E$155</f>
        <v>t CO2e</v>
      </c>
    </row>
    <row r="348" spans="3:41" ht="20.25" x14ac:dyDescent="0.25">
      <c r="D348" s="264" t="s">
        <v>1072</v>
      </c>
      <c r="E348" s="116">
        <f>SUM(K336:K345)</f>
        <v>42</v>
      </c>
      <c r="F348" s="117" t="str">
        <f>$E$155</f>
        <v>t CO2e</v>
      </c>
    </row>
    <row r="351" spans="3:41" x14ac:dyDescent="0.25">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c r="AA351" s="114"/>
      <c r="AB351" s="114"/>
      <c r="AC351" s="114"/>
      <c r="AD351" s="114"/>
      <c r="AE351" s="114"/>
      <c r="AF351" s="114"/>
      <c r="AG351" s="114"/>
      <c r="AH351" s="114"/>
      <c r="AI351" s="114"/>
      <c r="AJ351" s="114"/>
      <c r="AK351" s="114"/>
      <c r="AL351" s="114"/>
      <c r="AM351" s="114"/>
      <c r="AN351" s="114"/>
      <c r="AO351" s="114"/>
    </row>
    <row r="352" spans="3:41" ht="23.25" x14ac:dyDescent="0.25">
      <c r="D352" s="2" t="str" cm="1">
        <f t="array" ref="D352">Scope3_Equations.VEERG_15_8_1_1__1_EmissionsFromPurchasedPackaging_Title()</f>
        <v>Embedded emissions from use of packaging materials</v>
      </c>
    </row>
    <row r="353" spans="4:13" x14ac:dyDescent="0.25">
      <c r="D353" s="27" t="str" cm="1">
        <f t="array" ref="D353">Scope3_Equations.VEERG_15_8_1_1__1_EmissionsFromPurchasedPackaging_Source()</f>
        <v>VEERG 2026: 15.8.1.1, Equation (1)</v>
      </c>
    </row>
    <row r="354" spans="4:13" x14ac:dyDescent="0.25">
      <c r="D354" s="36" t="str" cm="1">
        <f t="array" ref="D354">Scope3_Equations.VEERG_15_8_1_1__1_EmissionsFromPurchasedPackaging_Variation()</f>
        <v>VARIATION ON SOURCE: Changed unit of Q from 'units' to 'kg' as EF data is in kg.</v>
      </c>
    </row>
    <row r="355" spans="4:13" x14ac:dyDescent="0.25">
      <c r="D355" s="100" t="s">
        <v>259</v>
      </c>
      <c r="E355" s="100" t="str" cm="1">
        <f t="array" aca="1" ref="E355" ca="1">Common_InputFunctions.Utility_DisplayFunctionName(H367)</f>
        <v>=Scope3_Equations.VEERG_15_8_1_1__1_EmissionsFromPurchasedPackaging</v>
      </c>
    </row>
    <row r="359" spans="4:13" x14ac:dyDescent="0.25">
      <c r="D359" s="88" t="s">
        <v>261</v>
      </c>
      <c r="E359" s="1" t="str" cm="1">
        <f t="array" ref="E359">Scope3_Equations.VEERG_15_8_1_1__1_EmissionsFromPurchasedPackaging_Variable()</f>
        <v>E</v>
      </c>
    </row>
    <row r="360" spans="4:13" x14ac:dyDescent="0.25">
      <c r="D360" s="88" t="s">
        <v>131</v>
      </c>
      <c r="E360" s="15" t="str" cm="1">
        <f t="array" ref="E360">Scope3_Equations.VEERG_15_8_1_1__1_EmissionsFromPurchasedPackaging_Unit()</f>
        <v>t CO2e</v>
      </c>
    </row>
    <row r="362" spans="4:13" x14ac:dyDescent="0.25">
      <c r="D362" s="102" t="str" cm="1">
        <f t="array" ref="D362:E364">_xlfn.CHOOSECOLS(Scope3_Equations.VEERG_15_8_1_1__1_EmissionsFromPurchasedPackaging_Arguments(),1,2)</f>
        <v>Q_p</v>
      </c>
      <c r="E362" s="102" t="str">
        <v>units of packaging type p</v>
      </c>
      <c r="F362" s="102" t="str" cm="1">
        <f t="array" ref="F362:G364">_xlfn.CHOOSECOLS(Scope3_Equations.VEERG_15_8_1_1__1_EmissionsFromPurchasedPackaging_Arguments(),3,4)</f>
        <v>units</v>
      </c>
      <c r="G362" s="261" t="str">
        <v>Input</v>
      </c>
    </row>
    <row r="363" spans="4:13" x14ac:dyDescent="0.25">
      <c r="D363" s="102" t="str">
        <v>EF_p</v>
      </c>
      <c r="E363" s="102" t="str">
        <v>emission factor for packaging type p</v>
      </c>
      <c r="F363" s="102" t="str">
        <v>kg CO2e/unit</v>
      </c>
      <c r="G363" s="107" t="str">
        <v>Constant</v>
      </c>
    </row>
    <row r="364" spans="4:13" x14ac:dyDescent="0.25">
      <c r="D364" s="102" t="str">
        <v>p</v>
      </c>
      <c r="E364" s="102" t="str">
        <v>packaging type</v>
      </c>
      <c r="F364" s="102" t="str">
        <v/>
      </c>
      <c r="G364" s="261" t="str">
        <v>Input</v>
      </c>
    </row>
    <row r="366" spans="4:13" ht="17.25" x14ac:dyDescent="0.25">
      <c r="D366" s="112" t="s">
        <v>1063</v>
      </c>
      <c r="E366" s="262" t="s">
        <v>1022</v>
      </c>
      <c r="F366" s="262" t="s">
        <v>1157</v>
      </c>
      <c r="G366" s="111" t="s">
        <v>1158</v>
      </c>
      <c r="H366" s="111" t="s">
        <v>1069</v>
      </c>
      <c r="I366" s="112" t="s">
        <v>1159</v>
      </c>
      <c r="J366" s="111" t="s">
        <v>1072</v>
      </c>
      <c r="K366" s="112" t="s">
        <v>1073</v>
      </c>
      <c r="L366" s="112" t="s">
        <v>1074</v>
      </c>
      <c r="M366" s="112" t="s">
        <v>1075</v>
      </c>
    </row>
    <row r="367" spans="4:13" x14ac:dyDescent="0.25">
      <c r="D367" s="25" t="str" cm="1">
        <f t="array" ref="D367:D376">IFERROR(INDEX(Table_Input_Packaging[Packaging name], _xlfn.SEQUENCE(10)), "")</f>
        <v>250g punnet</v>
      </c>
      <c r="E367" s="25" t="str" cm="1">
        <f t="array" ref="E367:E376">IFERROR(INDEX(Table_Input_Packaging[Primary material], _xlfn.SEQUENCE(10)), "")</f>
        <v>Plastic sheet HDPE</v>
      </c>
      <c r="F367" s="25" cm="1">
        <f t="array" ref="F367:F376">IFERROR(INDEX(Table_Input_Packaging[Total weight purchased (kg)], _xlfn.SEQUENCE(10)), "")</f>
        <v>2000</v>
      </c>
      <c r="G367" s="25" cm="1">
        <f t="array" ref="G367">Common_InputFunctions.Utility_LookupValueInTableNumber(E367,Table_SourceData_Scope3_Packaging[Product],Table_SourceData_Scope3_Packaging[AusLCI Emissions intensity])</f>
        <v>3.72</v>
      </c>
      <c r="H367" s="263" cm="1">
        <f t="array" ref="H367">Scope3_Equations.VEERG_15_8_1_1__1_EmissionsFromPurchasedPackaging(F367,G367)</f>
        <v>7.44</v>
      </c>
      <c r="I367" s="86">
        <v>3</v>
      </c>
      <c r="J367" s="263" cm="1">
        <f t="array" ref="J367">Scope3_Equations.VEERG_15_8_1_1__1_EmissionsFromPurchasedPackaging(F367,IF(I367,I367,G367))</f>
        <v>6</v>
      </c>
      <c r="K367" s="44"/>
      <c r="L367" s="23"/>
      <c r="M367" s="44"/>
    </row>
    <row r="368" spans="4:13" x14ac:dyDescent="0.25">
      <c r="D368" s="25">
        <v>0</v>
      </c>
      <c r="E368" s="25">
        <v>0</v>
      </c>
      <c r="F368" s="25">
        <v>0</v>
      </c>
      <c r="G368" s="25" cm="1">
        <f t="array" ref="G368">Common_InputFunctions.Utility_LookupValueInTableNumber(E368,Table_SourceData_Scope3_Packaging[Product],Table_SourceData_Scope3_Packaging[AusLCI Emissions intensity])</f>
        <v>0</v>
      </c>
      <c r="H368" s="263" cm="1">
        <f t="array" ref="H368">Scope3_Equations.VEERG_15_8_1_1__1_EmissionsFromPurchasedPackaging(F368,G368)</f>
        <v>0</v>
      </c>
      <c r="I368" s="86"/>
      <c r="J368" s="263" cm="1">
        <f t="array" ref="J368">Scope3_Equations.VEERG_15_8_1_1__1_EmissionsFromPurchasedPackaging(F368,IF(I368,I368,G368))</f>
        <v>0</v>
      </c>
      <c r="K368" s="44"/>
      <c r="L368" s="23"/>
      <c r="M368" s="44"/>
    </row>
    <row r="369" spans="3:41" x14ac:dyDescent="0.25">
      <c r="D369" s="25">
        <v>0</v>
      </c>
      <c r="E369" s="25">
        <v>0</v>
      </c>
      <c r="F369" s="25">
        <v>0</v>
      </c>
      <c r="G369" s="25" cm="1">
        <f t="array" ref="G369">Common_InputFunctions.Utility_LookupValueInTableNumber(E369,Table_SourceData_Scope3_Packaging[Product],Table_SourceData_Scope3_Packaging[AusLCI Emissions intensity])</f>
        <v>0</v>
      </c>
      <c r="H369" s="263" cm="1">
        <f t="array" ref="H369">Scope3_Equations.VEERG_15_8_1_1__1_EmissionsFromPurchasedPackaging(F369,G369)</f>
        <v>0</v>
      </c>
      <c r="I369" s="86"/>
      <c r="J369" s="263" cm="1">
        <f t="array" ref="J369">Scope3_Equations.VEERG_15_8_1_1__1_EmissionsFromPurchasedPackaging(F369,IF(I369,I369,G369))</f>
        <v>0</v>
      </c>
      <c r="K369" s="44"/>
      <c r="L369" s="23"/>
      <c r="M369" s="44"/>
    </row>
    <row r="370" spans="3:41" x14ac:dyDescent="0.25">
      <c r="D370" s="25">
        <v>0</v>
      </c>
      <c r="E370" s="25">
        <v>0</v>
      </c>
      <c r="F370" s="25">
        <v>0</v>
      </c>
      <c r="G370" s="25" cm="1">
        <f t="array" ref="G370">Common_InputFunctions.Utility_LookupValueInTableNumber(E370,Table_SourceData_Scope3_Packaging[Product],Table_SourceData_Scope3_Packaging[AusLCI Emissions intensity])</f>
        <v>0</v>
      </c>
      <c r="H370" s="263" cm="1">
        <f t="array" ref="H370">Scope3_Equations.VEERG_15_8_1_1__1_EmissionsFromPurchasedPackaging(F370,G370)</f>
        <v>0</v>
      </c>
      <c r="I370" s="86"/>
      <c r="J370" s="263" cm="1">
        <f t="array" ref="J370">Scope3_Equations.VEERG_15_8_1_1__1_EmissionsFromPurchasedPackaging(F370,IF(I370,I370,G370))</f>
        <v>0</v>
      </c>
      <c r="K370" s="44"/>
      <c r="L370" s="23"/>
      <c r="M370" s="44"/>
    </row>
    <row r="371" spans="3:41" x14ac:dyDescent="0.25">
      <c r="D371" s="25">
        <v>0</v>
      </c>
      <c r="E371" s="25">
        <v>0</v>
      </c>
      <c r="F371" s="25">
        <v>0</v>
      </c>
      <c r="G371" s="25" cm="1">
        <f t="array" ref="G371">Common_InputFunctions.Utility_LookupValueInTableNumber(E371,Table_SourceData_Scope3_Packaging[Product],Table_SourceData_Scope3_Packaging[AusLCI Emissions intensity])</f>
        <v>0</v>
      </c>
      <c r="H371" s="263" cm="1">
        <f t="array" ref="H371">Scope3_Equations.VEERG_15_8_1_1__1_EmissionsFromPurchasedPackaging(F371,G371)</f>
        <v>0</v>
      </c>
      <c r="I371" s="86"/>
      <c r="J371" s="263" cm="1">
        <f t="array" ref="J371">Scope3_Equations.VEERG_15_8_1_1__1_EmissionsFromPurchasedPackaging(F371,IF(I371,I371,G371))</f>
        <v>0</v>
      </c>
      <c r="K371" s="44"/>
      <c r="L371" s="23"/>
      <c r="M371" s="44"/>
    </row>
    <row r="372" spans="3:41" x14ac:dyDescent="0.25">
      <c r="D372" s="25">
        <v>0</v>
      </c>
      <c r="E372" s="25">
        <v>0</v>
      </c>
      <c r="F372" s="25">
        <v>0</v>
      </c>
      <c r="G372" s="25" cm="1">
        <f t="array" ref="G372">Common_InputFunctions.Utility_LookupValueInTableNumber(E372,Table_SourceData_Scope3_Packaging[Product],Table_SourceData_Scope3_Packaging[AusLCI Emissions intensity])</f>
        <v>0</v>
      </c>
      <c r="H372" s="263" cm="1">
        <f t="array" ref="H372">Scope3_Equations.VEERG_15_8_1_1__1_EmissionsFromPurchasedPackaging(F372,G372)</f>
        <v>0</v>
      </c>
      <c r="I372" s="86"/>
      <c r="J372" s="263" cm="1">
        <f t="array" ref="J372">Scope3_Equations.VEERG_15_8_1_1__1_EmissionsFromPurchasedPackaging(F372,IF(I372,I372,G372))</f>
        <v>0</v>
      </c>
      <c r="K372" s="44"/>
      <c r="L372" s="23"/>
      <c r="M372" s="44"/>
    </row>
    <row r="373" spans="3:41" x14ac:dyDescent="0.25">
      <c r="D373" s="25">
        <v>0</v>
      </c>
      <c r="E373" s="25">
        <v>0</v>
      </c>
      <c r="F373" s="25">
        <v>0</v>
      </c>
      <c r="G373" s="25" cm="1">
        <f t="array" ref="G373">Common_InputFunctions.Utility_LookupValueInTableNumber(E373,Table_SourceData_Scope3_Packaging[Product],Table_SourceData_Scope3_Packaging[AusLCI Emissions intensity])</f>
        <v>0</v>
      </c>
      <c r="H373" s="263" cm="1">
        <f t="array" ref="H373">Scope3_Equations.VEERG_15_8_1_1__1_EmissionsFromPurchasedPackaging(F373,G373)</f>
        <v>0</v>
      </c>
      <c r="I373" s="86"/>
      <c r="J373" s="263" cm="1">
        <f t="array" ref="J373">Scope3_Equations.VEERG_15_8_1_1__1_EmissionsFromPurchasedPackaging(F373,IF(I373,I373,G373))</f>
        <v>0</v>
      </c>
      <c r="K373" s="44"/>
      <c r="L373" s="23"/>
      <c r="M373" s="44"/>
    </row>
    <row r="374" spans="3:41" x14ac:dyDescent="0.25">
      <c r="D374" s="25">
        <v>0</v>
      </c>
      <c r="E374" s="25">
        <v>0</v>
      </c>
      <c r="F374" s="25">
        <v>0</v>
      </c>
      <c r="G374" s="25" cm="1">
        <f t="array" ref="G374">Common_InputFunctions.Utility_LookupValueInTableNumber(E374,Table_SourceData_Scope3_Packaging[Product],Table_SourceData_Scope3_Packaging[AusLCI Emissions intensity])</f>
        <v>0</v>
      </c>
      <c r="H374" s="263" cm="1">
        <f t="array" ref="H374">Scope3_Equations.VEERG_15_8_1_1__1_EmissionsFromPurchasedPackaging(F374,G374)</f>
        <v>0</v>
      </c>
      <c r="I374" s="86"/>
      <c r="J374" s="263" cm="1">
        <f t="array" ref="J374">Scope3_Equations.VEERG_15_8_1_1__1_EmissionsFromPurchasedPackaging(F374,IF(I374,I374,G374))</f>
        <v>0</v>
      </c>
      <c r="K374" s="44"/>
      <c r="L374" s="23"/>
      <c r="M374" s="44"/>
    </row>
    <row r="375" spans="3:41" x14ac:dyDescent="0.25">
      <c r="D375" s="25">
        <v>0</v>
      </c>
      <c r="E375" s="25">
        <v>0</v>
      </c>
      <c r="F375" s="25">
        <v>0</v>
      </c>
      <c r="G375" s="25" cm="1">
        <f t="array" ref="G375">Common_InputFunctions.Utility_LookupValueInTableNumber(E375,Table_SourceData_Scope3_Packaging[Product],Table_SourceData_Scope3_Packaging[AusLCI Emissions intensity])</f>
        <v>0</v>
      </c>
      <c r="H375" s="263" cm="1">
        <f t="array" ref="H375">Scope3_Equations.VEERG_15_8_1_1__1_EmissionsFromPurchasedPackaging(F375,G375)</f>
        <v>0</v>
      </c>
      <c r="I375" s="86"/>
      <c r="J375" s="263" cm="1">
        <f t="array" ref="J375">Scope3_Equations.VEERG_15_8_1_1__1_EmissionsFromPurchasedPackaging(F375,IF(I375,I375,G375))</f>
        <v>0</v>
      </c>
      <c r="K375" s="44"/>
      <c r="L375" s="23"/>
      <c r="M375" s="44"/>
    </row>
    <row r="376" spans="3:41" x14ac:dyDescent="0.25">
      <c r="D376" s="25">
        <v>0</v>
      </c>
      <c r="E376" s="25">
        <v>0</v>
      </c>
      <c r="F376" s="25">
        <v>0</v>
      </c>
      <c r="G376" s="25" cm="1">
        <f t="array" ref="G376">Common_InputFunctions.Utility_LookupValueInTableNumber(E376,Table_SourceData_Scope3_Packaging[Product],Table_SourceData_Scope3_Packaging[AusLCI Emissions intensity])</f>
        <v>0</v>
      </c>
      <c r="H376" s="263" cm="1">
        <f t="array" ref="H376">Scope3_Equations.VEERG_15_8_1_1__1_EmissionsFromPurchasedPackaging(F376,G376)</f>
        <v>0</v>
      </c>
      <c r="I376" s="86"/>
      <c r="J376" s="263" cm="1">
        <f t="array" ref="J376">Scope3_Equations.VEERG_15_8_1_1__1_EmissionsFromPurchasedPackaging(F376,IF(I376,I376,G376))</f>
        <v>0</v>
      </c>
      <c r="K376" s="44"/>
      <c r="L376" s="23"/>
      <c r="M376" s="44"/>
    </row>
    <row r="378" spans="3:41" ht="20.25" x14ac:dyDescent="0.25">
      <c r="D378" s="264" t="s">
        <v>1069</v>
      </c>
      <c r="E378" s="116">
        <f>SUM(H367:H376)</f>
        <v>7.44</v>
      </c>
      <c r="F378" s="117" t="str">
        <f>$E$155</f>
        <v>t CO2e</v>
      </c>
    </row>
    <row r="379" spans="3:41" ht="20.25" x14ac:dyDescent="0.25">
      <c r="D379" s="264" t="s">
        <v>1072</v>
      </c>
      <c r="E379" s="116">
        <f>SUM(J367:J376)</f>
        <v>6</v>
      </c>
      <c r="F379" s="117" t="str">
        <f>$E$155</f>
        <v>t CO2e</v>
      </c>
    </row>
    <row r="382" spans="3:41" x14ac:dyDescent="0.25">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c r="AA382" s="114"/>
      <c r="AB382" s="114"/>
      <c r="AC382" s="114"/>
      <c r="AD382" s="114"/>
      <c r="AE382" s="114"/>
      <c r="AF382" s="114"/>
      <c r="AG382" s="114"/>
      <c r="AH382" s="114"/>
      <c r="AI382" s="114"/>
      <c r="AJ382" s="114"/>
      <c r="AK382" s="114"/>
      <c r="AL382" s="114"/>
      <c r="AM382" s="114"/>
      <c r="AN382" s="114"/>
      <c r="AO382" s="114"/>
    </row>
    <row r="383" spans="3:41" ht="23.25" x14ac:dyDescent="0.25">
      <c r="D383" s="2" t="str" cm="1">
        <f t="array" ref="D383">Scope3_Equations.VEERG_15_9_1_1__1_EmissionsFromPurchasedGrowMedia_Title()</f>
        <v>Embedded emissions from use of grow media products</v>
      </c>
    </row>
    <row r="384" spans="3:41" x14ac:dyDescent="0.25">
      <c r="D384" s="27" t="str" cm="1">
        <f t="array" ref="D384">Scope3_Equations.VEERG_15_9_1_1__1_EmissionsFromPurchasedGrowMedia_Source()</f>
        <v>VEERG 2026: 15.9.1.1, Equation (1)</v>
      </c>
    </row>
    <row r="385" spans="4:14" x14ac:dyDescent="0.25">
      <c r="D385" s="100" t="s">
        <v>259</v>
      </c>
      <c r="E385" s="100" t="str" cm="1">
        <f t="array" aca="1" ref="E385" ca="1">Common_InputFunctions.Utility_DisplayFunctionName(J399)</f>
        <v>=Scope3_Equations.VEERG_15_9_1_1__1_EmissionsFromPurchasedGrowMedia</v>
      </c>
    </row>
    <row r="388" spans="4:14" x14ac:dyDescent="0.25">
      <c r="G388" s="100"/>
    </row>
    <row r="389" spans="4:14" x14ac:dyDescent="0.25">
      <c r="D389" s="88" t="s">
        <v>261</v>
      </c>
      <c r="E389" s="1" t="str" cm="1">
        <f t="array" ref="E389">Scope3_Equations.VEERG_15_9_1_1__1_EmissionsFromPurchasedGrowMedia_Variable()</f>
        <v>E</v>
      </c>
    </row>
    <row r="390" spans="4:14" x14ac:dyDescent="0.25">
      <c r="D390" s="88" t="s">
        <v>131</v>
      </c>
      <c r="E390" s="1" t="str" cm="1">
        <f t="array" ref="E390">Scope3_Equations.VEERG_15_9_1_1__1_EmissionsFromPurchasedGrowMedia_Unit()</f>
        <v>t CO2e</v>
      </c>
    </row>
    <row r="392" spans="4:14" x14ac:dyDescent="0.25">
      <c r="D392" s="102" t="str" cm="1">
        <f t="array" ref="D392:E394">_xlfn.CHOOSECOLS(Scope3_Equations.VEERG_15_9_1_1__1_EmissionsFromPurchasedGrowMedia_Arguments(),1,2)</f>
        <v>Q_g</v>
      </c>
      <c r="E392" s="102" t="str">
        <v>total quantity of grow media type g</v>
      </c>
      <c r="F392" s="102" t="str" cm="1">
        <f t="array" ref="F392:G394">_xlfn.CHOOSECOLS(Scope3_Equations.VEERG_15_9_1_1__1_EmissionsFromPurchasedGrowMedia_Arguments(),3,4)</f>
        <v>kg or m3</v>
      </c>
      <c r="G392" s="261" t="str">
        <v>Input</v>
      </c>
    </row>
    <row r="393" spans="4:14" x14ac:dyDescent="0.25">
      <c r="D393" s="102" t="str">
        <v>EF_g</v>
      </c>
      <c r="E393" s="102" t="str">
        <v>emission factor for grow media type g</v>
      </c>
      <c r="F393" s="102" t="str">
        <v>kg CO2e/kg or kg CO2e/m3</v>
      </c>
      <c r="G393" s="107" t="str">
        <v>Constant</v>
      </c>
    </row>
    <row r="394" spans="4:14" x14ac:dyDescent="0.25">
      <c r="D394" s="102" t="str">
        <v>g</v>
      </c>
      <c r="E394" s="102" t="str">
        <v>grow media type</v>
      </c>
      <c r="F394" s="102" t="str">
        <v/>
      </c>
      <c r="G394" s="261" t="str">
        <v>Input</v>
      </c>
    </row>
    <row r="396" spans="4:14" x14ac:dyDescent="0.25">
      <c r="D396" s="36" t="s">
        <v>1150</v>
      </c>
    </row>
    <row r="398" spans="4:14" x14ac:dyDescent="0.25">
      <c r="D398" s="112" t="s">
        <v>1028</v>
      </c>
      <c r="E398" s="112" t="s">
        <v>1012</v>
      </c>
      <c r="F398" s="112" t="s">
        <v>709</v>
      </c>
      <c r="G398" s="111" t="s">
        <v>1151</v>
      </c>
      <c r="H398" s="111" t="s">
        <v>1152</v>
      </c>
      <c r="I398" s="112" t="s">
        <v>1153</v>
      </c>
      <c r="J398" s="111" t="s">
        <v>1154</v>
      </c>
      <c r="K398" s="111" t="s">
        <v>1155</v>
      </c>
      <c r="L398" s="112" t="s">
        <v>1073</v>
      </c>
      <c r="M398" s="112" t="s">
        <v>1074</v>
      </c>
      <c r="N398" s="112" t="s">
        <v>1075</v>
      </c>
    </row>
    <row r="399" spans="4:14" x14ac:dyDescent="0.25">
      <c r="D399" s="25" t="str" cm="1">
        <f t="array" ref="D399:D408">IFERROR(INDEX(Table_Input_GrowMedia[Grow media type], _xlfn.SEQUENCE(10)), "")</f>
        <v>Coir</v>
      </c>
      <c r="E399" s="25" cm="1">
        <f t="array" ref="E399:E408">IFERROR(INDEX(Table_Input_GrowMedia[Total amount], _xlfn.SEQUENCE(10)), "")</f>
        <v>10000</v>
      </c>
      <c r="F399" s="25" t="str" cm="1">
        <f t="array" ref="F399:F408">IFERROR(INDEX(Table_Input_GrowMedia[Amount unit], _xlfn.SEQUENCE(10)), "")</f>
        <v>kg</v>
      </c>
      <c r="G399" s="25" t="s">
        <v>1156</v>
      </c>
      <c r="H399" s="25" t="s">
        <v>1156</v>
      </c>
      <c r="I399" s="86">
        <v>4</v>
      </c>
      <c r="J399" s="263" cm="1">
        <f t="array" ref="J399">Scope3_Equations.VEERG_15_9_1_1__1_EmissionsFromPurchasedGrowMedia(E399,I399)</f>
        <v>40</v>
      </c>
      <c r="K399" s="25" t="str">
        <f>"t CO2e / " &amp; F399</f>
        <v>t CO2e / kg</v>
      </c>
      <c r="L399" s="44"/>
      <c r="M399" s="23"/>
      <c r="N399" s="44"/>
    </row>
    <row r="400" spans="4:14" x14ac:dyDescent="0.25">
      <c r="D400" s="25" t="str">
        <v>Peat moss</v>
      </c>
      <c r="E400" s="25">
        <v>100</v>
      </c>
      <c r="F400" s="25" t="str">
        <v>m3</v>
      </c>
      <c r="G400" s="25" t="s">
        <v>1156</v>
      </c>
      <c r="H400" s="25" t="s">
        <v>1156</v>
      </c>
      <c r="I400" s="86">
        <v>2</v>
      </c>
      <c r="J400" s="263" cm="1">
        <f t="array" ref="J400">Scope3_Equations.VEERG_15_9_1_1__1_EmissionsFromPurchasedGrowMedia(E400,I400)</f>
        <v>0.2</v>
      </c>
      <c r="K400" s="25" t="str">
        <f t="shared" ref="K400:K408" si="2">"t CO2e / " &amp; F400</f>
        <v>t CO2e / m3</v>
      </c>
      <c r="L400" s="44"/>
      <c r="M400" s="23"/>
      <c r="N400" s="44"/>
    </row>
    <row r="401" spans="3:41" x14ac:dyDescent="0.25">
      <c r="D401" s="25" t="str">
        <v>tiny gravel</v>
      </c>
      <c r="E401" s="25">
        <v>10000</v>
      </c>
      <c r="F401" s="25" t="str">
        <v>kg</v>
      </c>
      <c r="G401" s="25" t="s">
        <v>1156</v>
      </c>
      <c r="H401" s="25" t="s">
        <v>1156</v>
      </c>
      <c r="I401" s="86"/>
      <c r="J401" s="263" cm="1">
        <f t="array" ref="J401">Scope3_Equations.VEERG_15_9_1_1__1_EmissionsFromPurchasedGrowMedia(E401,I401)</f>
        <v>0</v>
      </c>
      <c r="K401" s="25" t="str">
        <f t="shared" si="2"/>
        <v>t CO2e / kg</v>
      </c>
      <c r="L401" s="44"/>
      <c r="M401" s="23"/>
      <c r="N401" s="44"/>
    </row>
    <row r="402" spans="3:41" x14ac:dyDescent="0.25">
      <c r="D402" s="25">
        <v>0</v>
      </c>
      <c r="E402" s="25">
        <v>0</v>
      </c>
      <c r="F402" s="25">
        <v>0</v>
      </c>
      <c r="G402" s="25" t="s">
        <v>1156</v>
      </c>
      <c r="H402" s="25" t="s">
        <v>1156</v>
      </c>
      <c r="I402" s="86"/>
      <c r="J402" s="263" cm="1">
        <f t="array" ref="J402">Scope3_Equations.VEERG_15_9_1_1__1_EmissionsFromPurchasedGrowMedia(E402,I402)</f>
        <v>0</v>
      </c>
      <c r="K402" s="25" t="str">
        <f t="shared" si="2"/>
        <v>t CO2e / 0</v>
      </c>
      <c r="L402" s="44"/>
      <c r="M402" s="23"/>
      <c r="N402" s="44"/>
    </row>
    <row r="403" spans="3:41" x14ac:dyDescent="0.25">
      <c r="D403" s="25">
        <v>0</v>
      </c>
      <c r="E403" s="25">
        <v>0</v>
      </c>
      <c r="F403" s="25">
        <v>0</v>
      </c>
      <c r="G403" s="25" t="s">
        <v>1156</v>
      </c>
      <c r="H403" s="25" t="s">
        <v>1156</v>
      </c>
      <c r="I403" s="86"/>
      <c r="J403" s="263" cm="1">
        <f t="array" ref="J403">Scope3_Equations.VEERG_15_9_1_1__1_EmissionsFromPurchasedGrowMedia(E403,I403)</f>
        <v>0</v>
      </c>
      <c r="K403" s="25" t="str">
        <f t="shared" si="2"/>
        <v>t CO2e / 0</v>
      </c>
      <c r="L403" s="44"/>
      <c r="M403" s="23"/>
      <c r="N403" s="44"/>
    </row>
    <row r="404" spans="3:41" x14ac:dyDescent="0.25">
      <c r="D404" s="25">
        <v>0</v>
      </c>
      <c r="E404" s="25">
        <v>0</v>
      </c>
      <c r="F404" s="25">
        <v>0</v>
      </c>
      <c r="G404" s="25" t="s">
        <v>1156</v>
      </c>
      <c r="H404" s="25" t="s">
        <v>1156</v>
      </c>
      <c r="I404" s="86"/>
      <c r="J404" s="263" cm="1">
        <f t="array" ref="J404">Scope3_Equations.VEERG_15_9_1_1__1_EmissionsFromPurchasedGrowMedia(E404,I404)</f>
        <v>0</v>
      </c>
      <c r="K404" s="25" t="str">
        <f t="shared" si="2"/>
        <v>t CO2e / 0</v>
      </c>
      <c r="L404" s="44"/>
      <c r="M404" s="23"/>
      <c r="N404" s="44"/>
    </row>
    <row r="405" spans="3:41" x14ac:dyDescent="0.25">
      <c r="D405" s="25">
        <v>0</v>
      </c>
      <c r="E405" s="25">
        <v>0</v>
      </c>
      <c r="F405" s="25">
        <v>0</v>
      </c>
      <c r="G405" s="25" t="s">
        <v>1156</v>
      </c>
      <c r="H405" s="25" t="s">
        <v>1156</v>
      </c>
      <c r="I405" s="86"/>
      <c r="J405" s="263" cm="1">
        <f t="array" ref="J405">Scope3_Equations.VEERG_15_9_1_1__1_EmissionsFromPurchasedGrowMedia(E405,I405)</f>
        <v>0</v>
      </c>
      <c r="K405" s="25" t="str">
        <f t="shared" si="2"/>
        <v>t CO2e / 0</v>
      </c>
      <c r="L405" s="44"/>
      <c r="M405" s="23"/>
      <c r="N405" s="44"/>
    </row>
    <row r="406" spans="3:41" x14ac:dyDescent="0.25">
      <c r="D406" s="25">
        <v>0</v>
      </c>
      <c r="E406" s="25">
        <v>0</v>
      </c>
      <c r="F406" s="25">
        <v>0</v>
      </c>
      <c r="G406" s="25" t="s">
        <v>1156</v>
      </c>
      <c r="H406" s="25" t="s">
        <v>1156</v>
      </c>
      <c r="I406" s="86"/>
      <c r="J406" s="263" cm="1">
        <f t="array" ref="J406">Scope3_Equations.VEERG_15_9_1_1__1_EmissionsFromPurchasedGrowMedia(E406,I406)</f>
        <v>0</v>
      </c>
      <c r="K406" s="25" t="str">
        <f t="shared" si="2"/>
        <v>t CO2e / 0</v>
      </c>
      <c r="L406" s="44"/>
      <c r="M406" s="23"/>
      <c r="N406" s="44"/>
    </row>
    <row r="407" spans="3:41" x14ac:dyDescent="0.25">
      <c r="D407" s="25">
        <v>0</v>
      </c>
      <c r="E407" s="25">
        <v>0</v>
      </c>
      <c r="F407" s="25">
        <v>0</v>
      </c>
      <c r="G407" s="25" t="s">
        <v>1156</v>
      </c>
      <c r="H407" s="25" t="s">
        <v>1156</v>
      </c>
      <c r="I407" s="86"/>
      <c r="J407" s="263" cm="1">
        <f t="array" ref="J407">Scope3_Equations.VEERG_15_9_1_1__1_EmissionsFromPurchasedGrowMedia(E407,I407)</f>
        <v>0</v>
      </c>
      <c r="K407" s="25" t="str">
        <f t="shared" si="2"/>
        <v>t CO2e / 0</v>
      </c>
      <c r="L407" s="44"/>
      <c r="M407" s="23"/>
      <c r="N407" s="44"/>
    </row>
    <row r="408" spans="3:41" x14ac:dyDescent="0.25">
      <c r="D408" s="25">
        <v>0</v>
      </c>
      <c r="E408" s="25">
        <v>0</v>
      </c>
      <c r="F408" s="25">
        <v>0</v>
      </c>
      <c r="G408" s="25" t="s">
        <v>1156</v>
      </c>
      <c r="H408" s="25" t="s">
        <v>1156</v>
      </c>
      <c r="I408" s="86"/>
      <c r="J408" s="263" cm="1">
        <f t="array" ref="J408">Scope3_Equations.VEERG_15_9_1_1__1_EmissionsFromPurchasedGrowMedia(E408,I408)</f>
        <v>0</v>
      </c>
      <c r="K408" s="25" t="str">
        <f t="shared" si="2"/>
        <v>t CO2e / 0</v>
      </c>
      <c r="L408" s="44"/>
      <c r="M408" s="23"/>
      <c r="N408" s="44"/>
    </row>
    <row r="410" spans="3:41" ht="20.25" x14ac:dyDescent="0.25">
      <c r="D410" s="264" t="s">
        <v>1069</v>
      </c>
      <c r="E410" s="116" t="s">
        <v>1156</v>
      </c>
      <c r="F410" s="117" t="str">
        <f>$E$155</f>
        <v>t CO2e</v>
      </c>
    </row>
    <row r="411" spans="3:41" ht="20.25" x14ac:dyDescent="0.25">
      <c r="D411" s="264" t="s">
        <v>1072</v>
      </c>
      <c r="E411" s="116">
        <f>SUM(J399:J408)</f>
        <v>40.200000000000003</v>
      </c>
      <c r="F411" s="117" t="str">
        <f>$E$155</f>
        <v>t CO2e</v>
      </c>
    </row>
    <row r="414" spans="3:41" x14ac:dyDescent="0.25">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c r="AA414" s="114"/>
      <c r="AB414" s="114"/>
      <c r="AC414" s="114"/>
      <c r="AD414" s="114"/>
      <c r="AE414" s="114"/>
      <c r="AF414" s="114"/>
      <c r="AG414" s="114"/>
      <c r="AH414" s="114"/>
      <c r="AI414" s="114"/>
      <c r="AJ414" s="114"/>
      <c r="AK414" s="114"/>
      <c r="AL414" s="114"/>
      <c r="AM414" s="114"/>
      <c r="AN414" s="114"/>
      <c r="AO414" s="114"/>
    </row>
    <row r="415" spans="3:41" ht="23.25" x14ac:dyDescent="0.25">
      <c r="D415" s="2" t="str" cm="1">
        <f t="array" ref="D415">Scope3_Equations.VEERG_15_10_1_1__1_OtherPurchasedGoodsAndServices_Title()</f>
        <v>Other purchased goods and services generic estimate</v>
      </c>
    </row>
    <row r="416" spans="3:41" x14ac:dyDescent="0.25">
      <c r="D416" s="27" t="str" cm="1">
        <f t="array" ref="D416">Scope3_Equations.VEERG_15_10_1_1__1_OtherPurchasedGoodsAndServices_Source()</f>
        <v>VEERG 2026: 15.10, generic placeholder equation</v>
      </c>
    </row>
    <row r="417" spans="4:13" x14ac:dyDescent="0.25">
      <c r="D417" s="36" t="s">
        <v>1160</v>
      </c>
    </row>
    <row r="418" spans="4:13" x14ac:dyDescent="0.25">
      <c r="D418" s="100" t="s">
        <v>259</v>
      </c>
      <c r="E418" s="100" t="str" cm="1">
        <f t="array" aca="1" ref="E418" ca="1">Common_InputFunctions.Utility_DisplayFunctionName(H430)</f>
        <v>=Scope3_Equations.VEERG_15_10_1_1__1_OtherPurchasedGoodsAndServices</v>
      </c>
    </row>
    <row r="421" spans="4:13" x14ac:dyDescent="0.25">
      <c r="D421" s="88" t="s">
        <v>261</v>
      </c>
      <c r="E421" s="1" t="str" cm="1">
        <f t="array" ref="E421">Scope3_Equations.VEERG_15_10_1_1__1_OtherPurchasedGoodsAndServices_Variable()</f>
        <v>emissions</v>
      </c>
    </row>
    <row r="422" spans="4:13" x14ac:dyDescent="0.25">
      <c r="D422" s="88" t="s">
        <v>131</v>
      </c>
      <c r="E422" s="15" t="str" cm="1">
        <f t="array" ref="E422">Scope3_Equations.VEERG_15_10_1_1__1_OtherPurchasedGoodsAndServices_Unit()</f>
        <v>t CO2e</v>
      </c>
    </row>
    <row r="424" spans="4:13" x14ac:dyDescent="0.25">
      <c r="D424" s="102" t="str" cm="1">
        <f t="array" ref="D424:E425">_xlfn.CHOOSECOLS(Scope3_Equations.VEERG_15_10_1_1__1_OtherPurchasedGoodsAndServices_Arguments(),1,2)</f>
        <v>activity_data</v>
      </c>
      <c r="E424" s="103" t="str">
        <v>measured activity for the purchased good or service</v>
      </c>
      <c r="F424" s="105"/>
      <c r="G424" s="102" t="str" cm="1">
        <f t="array" ref="G424:H425">_xlfn.CHOOSECOLS(Scope3_Equations.VEERG_15_10_1_1__1_OtherPurchasedGoodsAndServices_Arguments(),3,4)</f>
        <v>varies</v>
      </c>
      <c r="H424" s="261" t="str">
        <v>Input</v>
      </c>
    </row>
    <row r="425" spans="4:13" x14ac:dyDescent="0.25">
      <c r="D425" s="102" t="str">
        <v>emission_factor</v>
      </c>
      <c r="E425" s="103" t="str">
        <v>lifecycle emissions per unit of activity</v>
      </c>
      <c r="F425" s="105"/>
      <c r="G425" s="102" t="str">
        <v>varies</v>
      </c>
      <c r="H425" s="107" t="str">
        <v>Constant</v>
      </c>
    </row>
    <row r="427" spans="4:13" ht="18.75" x14ac:dyDescent="0.25">
      <c r="D427" s="246" t="s">
        <v>1161</v>
      </c>
    </row>
    <row r="429" spans="4:13" x14ac:dyDescent="0.25">
      <c r="D429" s="112" t="s">
        <v>1063</v>
      </c>
      <c r="E429" s="262" t="s">
        <v>1162</v>
      </c>
      <c r="F429" s="262" t="s">
        <v>1163</v>
      </c>
      <c r="G429" s="111" t="s">
        <v>134</v>
      </c>
      <c r="H429" s="111" t="s">
        <v>1069</v>
      </c>
      <c r="I429" s="112" t="s">
        <v>135</v>
      </c>
      <c r="J429" s="111" t="s">
        <v>1072</v>
      </c>
      <c r="K429" s="112" t="s">
        <v>1073</v>
      </c>
      <c r="L429" s="112" t="s">
        <v>1074</v>
      </c>
      <c r="M429" s="112" t="s">
        <v>1075</v>
      </c>
    </row>
    <row r="430" spans="4:13" x14ac:dyDescent="0.25">
      <c r="D430" s="25" t="str" cm="1">
        <f t="array" ref="D430:D439">IFERROR(INDEX(Table_Input_ChemicalsCleaning[Product name], _xlfn.SEQUENCE(10)), "")</f>
        <v>Acid kleen</v>
      </c>
      <c r="E430" s="25" t="str" cm="1">
        <f t="array" ref="E430:E439">IFERROR(INDEX(Table_Input_ChemicalsCleaning[Type (select)], _xlfn.SEQUENCE(10)), "")</f>
        <v>Phosphoric acid</v>
      </c>
      <c r="F430" s="25" cm="1">
        <f t="array" ref="F430:F439">IFERROR(INDEX(Table_Input_ChemicalsCleaning[Quantity purchased (kg)], _xlfn.SEQUENCE(10)), "")</f>
        <v>100</v>
      </c>
      <c r="G430" s="25" cm="1">
        <f t="array" ref="G430">Common_InputFunctions.Utility_LookupValueInTableNumber(E430,Table_SourceData_Scope3_ChemicalsCleaning[Product],Table_SourceData_Scope3_ChemicalsCleaning[AusLCI Emissions intensity])</f>
        <v>0.90700000000000003</v>
      </c>
      <c r="H430" s="263" cm="1">
        <f t="array" ref="H430">Scope3_Equations.VEERG_15_10_1_1__1_OtherPurchasedGoodsAndServices(F430,G430*10^-3)</f>
        <v>9.0700000000000003E-2</v>
      </c>
      <c r="I430" s="86">
        <v>1.3</v>
      </c>
      <c r="J430" s="263" cm="1">
        <f t="array" ref="J430">Scope3_Equations.VEERG_15_10_1_1__1_OtherPurchasedGoodsAndServices(F430,IF(I430,I430,G430)*10^-3)</f>
        <v>0.13</v>
      </c>
      <c r="K430" s="44"/>
      <c r="L430" s="23"/>
      <c r="M430" s="44"/>
    </row>
    <row r="431" spans="4:13" x14ac:dyDescent="0.25">
      <c r="D431" s="25" t="str">
        <v>Kleen alk</v>
      </c>
      <c r="E431" s="25" t="str">
        <v>Alkaline cleaner</v>
      </c>
      <c r="F431" s="25">
        <v>100</v>
      </c>
      <c r="G431" s="25" cm="1">
        <f t="array" ref="G431">Common_InputFunctions.Utility_LookupValueInTableNumber(E431,Table_SourceData_Scope3_ChemicalsCleaning[Product],Table_SourceData_Scope3_ChemicalsCleaning[AusLCI Emissions intensity])</f>
        <v>0.72199999999999998</v>
      </c>
      <c r="H431" s="263" cm="1">
        <f t="array" ref="H431">Scope3_Equations.VEERG_15_10_1_1__1_OtherPurchasedGoodsAndServices(F431,G431*10^-3)</f>
        <v>7.22E-2</v>
      </c>
      <c r="I431" s="86">
        <v>8</v>
      </c>
      <c r="J431" s="263" cm="1">
        <f t="array" ref="J431">Scope3_Equations.VEERG_15_10_1_1__1_OtherPurchasedGoodsAndServices(F431,IF(I431,I431,G431)*10^-3)</f>
        <v>0.8</v>
      </c>
      <c r="K431" s="44"/>
      <c r="L431" s="23"/>
      <c r="M431" s="44"/>
    </row>
    <row r="432" spans="4:13" x14ac:dyDescent="0.25">
      <c r="D432" s="25" t="str">
        <v>White king</v>
      </c>
      <c r="E432" s="25" t="str">
        <v>Bleach</v>
      </c>
      <c r="F432" s="25">
        <v>100</v>
      </c>
      <c r="G432" s="25" cm="1">
        <f t="array" ref="G432">Common_InputFunctions.Utility_LookupValueInTableNumber(E432,Table_SourceData_Scope3_ChemicalsCleaning[Product],Table_SourceData_Scope3_ChemicalsCleaning[AusLCI Emissions intensity])</f>
        <v>0.80400000000000005</v>
      </c>
      <c r="H432" s="263" cm="1">
        <f t="array" ref="H432">Scope3_Equations.VEERG_15_10_1_1__1_OtherPurchasedGoodsAndServices(F432,G432*10^-3)</f>
        <v>8.0399999999999999E-2</v>
      </c>
      <c r="I432" s="86">
        <v>4</v>
      </c>
      <c r="J432" s="263" cm="1">
        <f t="array" ref="J432">Scope3_Equations.VEERG_15_10_1_1__1_OtherPurchasedGoodsAndServices(F432,IF(I432,I432,G432)*10^-3)</f>
        <v>0.4</v>
      </c>
      <c r="K432" s="44"/>
      <c r="L432" s="23"/>
      <c r="M432" s="44"/>
    </row>
    <row r="433" spans="4:13" x14ac:dyDescent="0.25">
      <c r="D433" s="25" t="str">
        <v>White king</v>
      </c>
      <c r="E433" s="25" t="str">
        <v>Bleach</v>
      </c>
      <c r="F433" s="25">
        <v>100</v>
      </c>
      <c r="G433" s="25" cm="1">
        <f t="array" ref="G433">Common_InputFunctions.Utility_LookupValueInTableNumber(E433,Table_SourceData_Scope3_ChemicalsCleaning[Product],Table_SourceData_Scope3_ChemicalsCleaning[AusLCI Emissions intensity])</f>
        <v>0.80400000000000005</v>
      </c>
      <c r="H433" s="263" cm="1">
        <f t="array" ref="H433">Scope3_Equations.VEERG_15_10_1_1__1_OtherPurchasedGoodsAndServices(F433,G433*10^-3)</f>
        <v>8.0399999999999999E-2</v>
      </c>
      <c r="I433" s="86">
        <v>3</v>
      </c>
      <c r="J433" s="263" cm="1">
        <f t="array" ref="J433">Scope3_Equations.VEERG_15_10_1_1__1_OtherPurchasedGoodsAndServices(F433,IF(I433,I433,G433)*10^-3)</f>
        <v>0.3</v>
      </c>
      <c r="K433" s="44"/>
      <c r="L433" s="23"/>
      <c r="M433" s="44"/>
    </row>
    <row r="434" spans="4:13" x14ac:dyDescent="0.25">
      <c r="D434" s="25" t="str">
        <v>Acid kleen</v>
      </c>
      <c r="E434" s="25" t="str">
        <v>Phosphoric acid</v>
      </c>
      <c r="F434" s="25">
        <v>100</v>
      </c>
      <c r="G434" s="25" cm="1">
        <f t="array" ref="G434">Common_InputFunctions.Utility_LookupValueInTableNumber(E434,Table_SourceData_Scope3_ChemicalsCleaning[Product],Table_SourceData_Scope3_ChemicalsCleaning[AusLCI Emissions intensity])</f>
        <v>0.90700000000000003</v>
      </c>
      <c r="H434" s="263" cm="1">
        <f t="array" ref="H434">Scope3_Equations.VEERG_15_10_1_1__1_OtherPurchasedGoodsAndServices(F434,G434*10^-3)</f>
        <v>9.0700000000000003E-2</v>
      </c>
      <c r="I434" s="86">
        <v>6</v>
      </c>
      <c r="J434" s="263" cm="1">
        <f t="array" ref="J434">Scope3_Equations.VEERG_15_10_1_1__1_OtherPurchasedGoodsAndServices(F434,IF(I434,I434,G434)*10^-3)</f>
        <v>0.6</v>
      </c>
      <c r="K434" s="44"/>
      <c r="L434" s="23"/>
      <c r="M434" s="44"/>
    </row>
    <row r="435" spans="4:13" x14ac:dyDescent="0.25">
      <c r="D435" s="25" t="str">
        <v>Acid kleen</v>
      </c>
      <c r="E435" s="25" t="str">
        <v>Phosphoric acid</v>
      </c>
      <c r="F435" s="25">
        <v>100</v>
      </c>
      <c r="G435" s="25" cm="1">
        <f t="array" ref="G435">Common_InputFunctions.Utility_LookupValueInTableNumber(E435,Table_SourceData_Scope3_ChemicalsCleaning[Product],Table_SourceData_Scope3_ChemicalsCleaning[AusLCI Emissions intensity])</f>
        <v>0.90700000000000003</v>
      </c>
      <c r="H435" s="263" cm="1">
        <f t="array" ref="H435">Scope3_Equations.VEERG_15_10_1_1__1_OtherPurchasedGoodsAndServices(F435,G435*10^-3)</f>
        <v>9.0700000000000003E-2</v>
      </c>
      <c r="I435" s="86">
        <v>5</v>
      </c>
      <c r="J435" s="263" cm="1">
        <f t="array" ref="J435">Scope3_Equations.VEERG_15_10_1_1__1_OtherPurchasedGoodsAndServices(F435,IF(I435,I435,G435)*10^-3)</f>
        <v>0.5</v>
      </c>
      <c r="K435" s="44"/>
      <c r="L435" s="23"/>
      <c r="M435" s="44"/>
    </row>
    <row r="436" spans="4:13" x14ac:dyDescent="0.25">
      <c r="D436" s="25">
        <v>0</v>
      </c>
      <c r="E436" s="25">
        <v>0</v>
      </c>
      <c r="F436" s="25">
        <v>0</v>
      </c>
      <c r="G436" s="25" cm="1">
        <f t="array" ref="G436">Common_InputFunctions.Utility_LookupValueInTableNumber(E436,Table_SourceData_Scope3_ChemicalsCleaning[Product],Table_SourceData_Scope3_ChemicalsCleaning[AusLCI Emissions intensity])</f>
        <v>0</v>
      </c>
      <c r="H436" s="263" cm="1">
        <f t="array" ref="H436">Scope3_Equations.VEERG_15_10_1_1__1_OtherPurchasedGoodsAndServices(F436,G436*10^-3)</f>
        <v>0</v>
      </c>
      <c r="I436" s="86"/>
      <c r="J436" s="263" cm="1">
        <f t="array" ref="J436">Scope3_Equations.VEERG_15_10_1_1__1_OtherPurchasedGoodsAndServices(F436,IF(I436,I436,G436)*10^-3)</f>
        <v>0</v>
      </c>
      <c r="K436" s="44"/>
      <c r="L436" s="23"/>
      <c r="M436" s="44"/>
    </row>
    <row r="437" spans="4:13" x14ac:dyDescent="0.25">
      <c r="D437" s="25">
        <v>0</v>
      </c>
      <c r="E437" s="25">
        <v>0</v>
      </c>
      <c r="F437" s="25">
        <v>0</v>
      </c>
      <c r="G437" s="25" cm="1">
        <f t="array" ref="G437">Common_InputFunctions.Utility_LookupValueInTableNumber(E437,Table_SourceData_Scope3_ChemicalsCleaning[Product],Table_SourceData_Scope3_ChemicalsCleaning[AusLCI Emissions intensity])</f>
        <v>0</v>
      </c>
      <c r="H437" s="263" cm="1">
        <f t="array" ref="H437">Scope3_Equations.VEERG_15_10_1_1__1_OtherPurchasedGoodsAndServices(F437,G437*10^-3)</f>
        <v>0</v>
      </c>
      <c r="I437" s="86"/>
      <c r="J437" s="263" cm="1">
        <f t="array" ref="J437">Scope3_Equations.VEERG_15_10_1_1__1_OtherPurchasedGoodsAndServices(F437,IF(I437,I437,G437)*10^-3)</f>
        <v>0</v>
      </c>
      <c r="K437" s="44"/>
      <c r="L437" s="23"/>
      <c r="M437" s="44"/>
    </row>
    <row r="438" spans="4:13" x14ac:dyDescent="0.25">
      <c r="D438" s="25">
        <v>0</v>
      </c>
      <c r="E438" s="25">
        <v>0</v>
      </c>
      <c r="F438" s="25">
        <v>0</v>
      </c>
      <c r="G438" s="25" cm="1">
        <f t="array" ref="G438">Common_InputFunctions.Utility_LookupValueInTableNumber(E438,Table_SourceData_Scope3_ChemicalsCleaning[Product],Table_SourceData_Scope3_ChemicalsCleaning[AusLCI Emissions intensity])</f>
        <v>0</v>
      </c>
      <c r="H438" s="263" cm="1">
        <f t="array" ref="H438">Scope3_Equations.VEERG_15_10_1_1__1_OtherPurchasedGoodsAndServices(F438,G438*10^-3)</f>
        <v>0</v>
      </c>
      <c r="I438" s="86"/>
      <c r="J438" s="263" cm="1">
        <f t="array" ref="J438">Scope3_Equations.VEERG_15_10_1_1__1_OtherPurchasedGoodsAndServices(F438,IF(I438,I438,G438)*10^-3)</f>
        <v>0</v>
      </c>
      <c r="K438" s="44"/>
      <c r="L438" s="23"/>
      <c r="M438" s="44"/>
    </row>
    <row r="439" spans="4:13" x14ac:dyDescent="0.25">
      <c r="D439" s="25">
        <v>0</v>
      </c>
      <c r="E439" s="25">
        <v>0</v>
      </c>
      <c r="F439" s="25">
        <v>0</v>
      </c>
      <c r="G439" s="25" cm="1">
        <f t="array" ref="G439">Common_InputFunctions.Utility_LookupValueInTableNumber(E439,Table_SourceData_Scope3_ChemicalsCleaning[Product],Table_SourceData_Scope3_ChemicalsCleaning[AusLCI Emissions intensity])</f>
        <v>0</v>
      </c>
      <c r="H439" s="263" cm="1">
        <f t="array" ref="H439">Scope3_Equations.VEERG_15_10_1_1__1_OtherPurchasedGoodsAndServices(F439,G439*10^-3)</f>
        <v>0</v>
      </c>
      <c r="I439" s="86"/>
      <c r="J439" s="263" cm="1">
        <f t="array" ref="J439">Scope3_Equations.VEERG_15_10_1_1__1_OtherPurchasedGoodsAndServices(F439,IF(I439,I439,G439)*10^-3)</f>
        <v>0</v>
      </c>
      <c r="K439" s="44"/>
      <c r="L439" s="23"/>
      <c r="M439" s="44"/>
    </row>
    <row r="441" spans="4:13" ht="20.25" x14ac:dyDescent="0.25">
      <c r="D441" s="264" t="s">
        <v>1069</v>
      </c>
      <c r="E441" s="116">
        <f>SUM(H430:H439)</f>
        <v>0.50509999999999999</v>
      </c>
      <c r="F441" s="117" t="str">
        <f>$E$155</f>
        <v>t CO2e</v>
      </c>
    </row>
    <row r="442" spans="4:13" ht="20.25" x14ac:dyDescent="0.25">
      <c r="D442" s="264" t="s">
        <v>1072</v>
      </c>
      <c r="E442" s="116">
        <f>SUM(J430:J439)</f>
        <v>2.73</v>
      </c>
      <c r="F442" s="117" t="str">
        <f>$E$155</f>
        <v>t CO2e</v>
      </c>
    </row>
    <row r="445" spans="4:13" ht="18.75" x14ac:dyDescent="0.25">
      <c r="D445" s="246" t="s">
        <v>1164</v>
      </c>
    </row>
    <row r="447" spans="4:13" x14ac:dyDescent="0.25">
      <c r="D447" s="112" t="s">
        <v>1063</v>
      </c>
      <c r="E447" s="262" t="s">
        <v>1162</v>
      </c>
      <c r="F447" s="262" t="s">
        <v>977</v>
      </c>
      <c r="G447" s="111" t="s">
        <v>1165</v>
      </c>
      <c r="H447" s="111" t="s">
        <v>1069</v>
      </c>
      <c r="I447" s="112" t="s">
        <v>1166</v>
      </c>
      <c r="J447" s="111" t="s">
        <v>1072</v>
      </c>
      <c r="K447" s="112" t="s">
        <v>1073</v>
      </c>
      <c r="L447" s="112" t="s">
        <v>1074</v>
      </c>
      <c r="M447" s="112" t="s">
        <v>1075</v>
      </c>
    </row>
    <row r="448" spans="4:13" x14ac:dyDescent="0.25">
      <c r="D448" s="25" t="str" cm="1">
        <f t="array" ref="D448:D457">IFERROR(INDEX(Table_Input_ChemicalsPharmacy[Product name], _xlfn.SEQUENCE(10)), "")</f>
        <v>Cow bug off</v>
      </c>
      <c r="E448" s="25" t="str" cm="1">
        <f t="array" ref="E448:E457">IFERROR(INDEX(Table_Input_ChemicalsPharmacy[Type (select)], _xlfn.SEQUENCE(10)), "")</f>
        <v>Parasite control for cattle (external), dipping</v>
      </c>
      <c r="F448" s="25" cm="1">
        <f t="array" ref="F448:F457">IFERROR(INDEX(Table_Input_ChemicalsCleaning[Quantity purchased (kg)], _xlfn.SEQUENCE(10)), "")</f>
        <v>100</v>
      </c>
      <c r="G448" s="25" cm="1">
        <f t="array" ref="G448">Common_InputFunctions.Utility_LookupValueInTableNumber(E448,Table_SourceData_Scope3_ChemicalsPharmacy[Product],Table_SourceData_Scope3_ChemicalsPharmacy[AusLCI Emissions intensity])</f>
        <v>5.4699999999999999E-2</v>
      </c>
      <c r="H448" s="263" cm="1">
        <f t="array" ref="H448">Scope3_Equations.VEERG_15_10_1_1__1_OtherPurchasedGoodsAndServices(F448,G448*10^-3)</f>
        <v>5.47E-3</v>
      </c>
      <c r="I448" s="86">
        <v>0.05</v>
      </c>
      <c r="J448" s="263" cm="1">
        <f t="array" ref="J448">Scope3_Equations.VEERG_15_10_1_1__1_OtherPurchasedGoodsAndServices(F448,IF(I448,I448,G448)*10^-3)</f>
        <v>5.0000000000000001E-3</v>
      </c>
      <c r="K448" s="44"/>
      <c r="L448" s="23"/>
      <c r="M448" s="44"/>
    </row>
    <row r="449" spans="4:13" x14ac:dyDescent="0.25">
      <c r="D449" s="25" t="str">
        <v>Cow worm-away</v>
      </c>
      <c r="E449" s="25" t="str">
        <v>Parasite control for cattle (internal)</v>
      </c>
      <c r="F449" s="25">
        <v>100</v>
      </c>
      <c r="G449" s="25" cm="1">
        <f t="array" ref="G449">Common_InputFunctions.Utility_LookupValueInTableNumber(E449,Table_SourceData_Scope3_ChemicalsPharmacy[Product],Table_SourceData_Scope3_ChemicalsPharmacy[AusLCI Emissions intensity])</f>
        <v>1.4200000000000001E-2</v>
      </c>
      <c r="H449" s="263" cm="1">
        <f t="array" ref="H449">Scope3_Equations.VEERG_15_10_1_1__1_OtherPurchasedGoodsAndServices(F449,G449*10^-3)</f>
        <v>1.42E-3</v>
      </c>
      <c r="I449" s="86">
        <v>0.01</v>
      </c>
      <c r="J449" s="263" cm="1">
        <f t="array" ref="J449">Scope3_Equations.VEERG_15_10_1_1__1_OtherPurchasedGoodsAndServices(F449,IF(I449,I449,G449)*10^-3)</f>
        <v>1E-3</v>
      </c>
      <c r="K449" s="44"/>
      <c r="L449" s="23"/>
      <c r="M449" s="44"/>
    </row>
    <row r="450" spans="4:13" x14ac:dyDescent="0.25">
      <c r="D450" s="25" t="str">
        <v>Sheep bug off</v>
      </c>
      <c r="E450" s="25" t="str">
        <v>Parasite control for sheep (external)</v>
      </c>
      <c r="F450" s="25">
        <v>100</v>
      </c>
      <c r="G450" s="25" cm="1">
        <f t="array" ref="G450">Common_InputFunctions.Utility_LookupValueInTableNumber(E450,Table_SourceData_Scope3_ChemicalsPharmacy[Product],Table_SourceData_Scope3_ChemicalsPharmacy[AusLCI Emissions intensity])</f>
        <v>1.43E-2</v>
      </c>
      <c r="H450" s="263" cm="1">
        <f t="array" ref="H450">Scope3_Equations.VEERG_15_10_1_1__1_OtherPurchasedGoodsAndServices(F450,G450*10^-3)</f>
        <v>1.4300000000000001E-3</v>
      </c>
      <c r="I450" s="86">
        <v>0.01</v>
      </c>
      <c r="J450" s="263" cm="1">
        <f t="array" ref="J450">Scope3_Equations.VEERG_15_10_1_1__1_OtherPurchasedGoodsAndServices(F450,IF(I450,I450,G450)*10^-3)</f>
        <v>1E-3</v>
      </c>
      <c r="K450" s="44"/>
      <c r="L450" s="23"/>
      <c r="M450" s="44"/>
    </row>
    <row r="451" spans="4:13" x14ac:dyDescent="0.25">
      <c r="D451" s="25" t="str">
        <v>Sheep worm-away</v>
      </c>
      <c r="E451" s="25" t="str">
        <v>Parasite control for sheep (internal)</v>
      </c>
      <c r="F451" s="25">
        <v>100</v>
      </c>
      <c r="G451" s="25" cm="1">
        <f t="array" ref="G451">Common_InputFunctions.Utility_LookupValueInTableNumber(E451,Table_SourceData_Scope3_ChemicalsPharmacy[Product],Table_SourceData_Scope3_ChemicalsPharmacy[AusLCI Emissions intensity])</f>
        <v>4.2599999999999999E-3</v>
      </c>
      <c r="H451" s="263" cm="1">
        <f t="array" ref="H451">Scope3_Equations.VEERG_15_10_1_1__1_OtherPurchasedGoodsAndServices(F451,G451*10^-3)</f>
        <v>4.26E-4</v>
      </c>
      <c r="I451" s="86">
        <v>4.0000000000000001E-3</v>
      </c>
      <c r="J451" s="263" cm="1">
        <f t="array" ref="J451">Scope3_Equations.VEERG_15_10_1_1__1_OtherPurchasedGoodsAndServices(F451,IF(I451,I451,G451)*10^-3)</f>
        <v>3.9999999999999996E-4</v>
      </c>
      <c r="K451" s="44"/>
      <c r="L451" s="23"/>
      <c r="M451" s="44"/>
    </row>
    <row r="452" spans="4:13" x14ac:dyDescent="0.25">
      <c r="D452" s="25" t="str">
        <v>Cow bug off</v>
      </c>
      <c r="E452" s="25" t="str">
        <v>Parasite control for cattle (external), dipping</v>
      </c>
      <c r="F452" s="25">
        <v>100</v>
      </c>
      <c r="G452" s="25" cm="1">
        <f t="array" ref="G452">Common_InputFunctions.Utility_LookupValueInTableNumber(E452,Table_SourceData_Scope3_ChemicalsPharmacy[Product],Table_SourceData_Scope3_ChemicalsPharmacy[AusLCI Emissions intensity])</f>
        <v>5.4699999999999999E-2</v>
      </c>
      <c r="H452" s="263" cm="1">
        <f t="array" ref="H452">Scope3_Equations.VEERG_15_10_1_1__1_OtherPurchasedGoodsAndServices(F452,G452*10^-3)</f>
        <v>5.47E-3</v>
      </c>
      <c r="I452" s="86">
        <v>0.05</v>
      </c>
      <c r="J452" s="263" cm="1">
        <f t="array" ref="J452">Scope3_Equations.VEERG_15_10_1_1__1_OtherPurchasedGoodsAndServices(F452,IF(I452,I452,G452)*10^-3)</f>
        <v>5.0000000000000001E-3</v>
      </c>
      <c r="K452" s="44"/>
      <c r="L452" s="23"/>
      <c r="M452" s="44"/>
    </row>
    <row r="453" spans="4:13" x14ac:dyDescent="0.25">
      <c r="D453" s="25" t="str">
        <v>Cow worm-away</v>
      </c>
      <c r="E453" s="25" t="str">
        <v>Parasite control for cattle (internal)</v>
      </c>
      <c r="F453" s="25">
        <v>100</v>
      </c>
      <c r="G453" s="25" cm="1">
        <f t="array" ref="G453">Common_InputFunctions.Utility_LookupValueInTableNumber(E453,Table_SourceData_Scope3_ChemicalsPharmacy[Product],Table_SourceData_Scope3_ChemicalsPharmacy[AusLCI Emissions intensity])</f>
        <v>1.4200000000000001E-2</v>
      </c>
      <c r="H453" s="263" cm="1">
        <f t="array" ref="H453">Scope3_Equations.VEERG_15_10_1_1__1_OtherPurchasedGoodsAndServices(F453,G453*10^-3)</f>
        <v>1.42E-3</v>
      </c>
      <c r="I453" s="86">
        <v>0.01</v>
      </c>
      <c r="J453" s="263" cm="1">
        <f t="array" ref="J453">Scope3_Equations.VEERG_15_10_1_1__1_OtherPurchasedGoodsAndServices(F453,IF(I453,I453,G453)*10^-3)</f>
        <v>1E-3</v>
      </c>
      <c r="K453" s="44"/>
      <c r="L453" s="23"/>
      <c r="M453" s="44"/>
    </row>
    <row r="454" spans="4:13" x14ac:dyDescent="0.25">
      <c r="D454" s="25">
        <v>0</v>
      </c>
      <c r="E454" s="25">
        <v>0</v>
      </c>
      <c r="F454" s="25">
        <v>0</v>
      </c>
      <c r="G454" s="25" cm="1">
        <f t="array" ref="G454">Common_InputFunctions.Utility_LookupValueInTableNumber(E454,Table_SourceData_Scope3_ChemicalsPharmacy[Product],Table_SourceData_Scope3_ChemicalsPharmacy[AusLCI Emissions intensity])</f>
        <v>0</v>
      </c>
      <c r="H454" s="263" cm="1">
        <f t="array" ref="H454">Scope3_Equations.VEERG_15_10_1_1__1_OtherPurchasedGoodsAndServices(F454,G454*10^-3)</f>
        <v>0</v>
      </c>
      <c r="I454" s="86"/>
      <c r="J454" s="263" cm="1">
        <f t="array" ref="J454">Scope3_Equations.VEERG_15_10_1_1__1_OtherPurchasedGoodsAndServices(F454,IF(I454,I454,G454)*10^-3)</f>
        <v>0</v>
      </c>
      <c r="K454" s="44"/>
      <c r="L454" s="23"/>
      <c r="M454" s="44"/>
    </row>
    <row r="455" spans="4:13" x14ac:dyDescent="0.25">
      <c r="D455" s="25">
        <v>0</v>
      </c>
      <c r="E455" s="25">
        <v>0</v>
      </c>
      <c r="F455" s="25">
        <v>0</v>
      </c>
      <c r="G455" s="25" cm="1">
        <f t="array" ref="G455">Common_InputFunctions.Utility_LookupValueInTableNumber(E455,Table_SourceData_Scope3_ChemicalsPharmacy[Product],Table_SourceData_Scope3_ChemicalsPharmacy[AusLCI Emissions intensity])</f>
        <v>0</v>
      </c>
      <c r="H455" s="263" cm="1">
        <f t="array" ref="H455">Scope3_Equations.VEERG_15_10_1_1__1_OtherPurchasedGoodsAndServices(F455,G455*10^-3)</f>
        <v>0</v>
      </c>
      <c r="I455" s="86"/>
      <c r="J455" s="263" cm="1">
        <f t="array" ref="J455">Scope3_Equations.VEERG_15_10_1_1__1_OtherPurchasedGoodsAndServices(F455,IF(I455,I455,G455)*10^-3)</f>
        <v>0</v>
      </c>
      <c r="K455" s="44"/>
      <c r="L455" s="23"/>
      <c r="M455" s="44"/>
    </row>
    <row r="456" spans="4:13" x14ac:dyDescent="0.25">
      <c r="D456" s="25">
        <v>0</v>
      </c>
      <c r="E456" s="25">
        <v>0</v>
      </c>
      <c r="F456" s="25">
        <v>0</v>
      </c>
      <c r="G456" s="25" cm="1">
        <f t="array" ref="G456">Common_InputFunctions.Utility_LookupValueInTableNumber(E456,Table_SourceData_Scope3_ChemicalsPharmacy[Product],Table_SourceData_Scope3_ChemicalsPharmacy[AusLCI Emissions intensity])</f>
        <v>0</v>
      </c>
      <c r="H456" s="263" cm="1">
        <f t="array" ref="H456">Scope3_Equations.VEERG_15_10_1_1__1_OtherPurchasedGoodsAndServices(F456,G456*10^-3)</f>
        <v>0</v>
      </c>
      <c r="I456" s="86"/>
      <c r="J456" s="263" cm="1">
        <f t="array" ref="J456">Scope3_Equations.VEERG_15_10_1_1__1_OtherPurchasedGoodsAndServices(F456,IF(I456,I456,G456)*10^-3)</f>
        <v>0</v>
      </c>
      <c r="K456" s="44"/>
      <c r="L456" s="23"/>
      <c r="M456" s="44"/>
    </row>
    <row r="457" spans="4:13" x14ac:dyDescent="0.25">
      <c r="D457" s="25">
        <v>0</v>
      </c>
      <c r="E457" s="25">
        <v>0</v>
      </c>
      <c r="F457" s="25">
        <v>0</v>
      </c>
      <c r="G457" s="25" cm="1">
        <f t="array" ref="G457">Common_InputFunctions.Utility_LookupValueInTableNumber(E457,Table_SourceData_Scope3_ChemicalsPharmacy[Product],Table_SourceData_Scope3_ChemicalsPharmacy[AusLCI Emissions intensity])</f>
        <v>0</v>
      </c>
      <c r="H457" s="263" cm="1">
        <f t="array" ref="H457">Scope3_Equations.VEERG_15_10_1_1__1_OtherPurchasedGoodsAndServices(F457,G457*10^-3)</f>
        <v>0</v>
      </c>
      <c r="I457" s="86"/>
      <c r="J457" s="263" cm="1">
        <f t="array" ref="J457">Scope3_Equations.VEERG_15_10_1_1__1_OtherPurchasedGoodsAndServices(F457,IF(I457,I457,G457)*10^-3)</f>
        <v>0</v>
      </c>
      <c r="K457" s="44"/>
      <c r="L457" s="23"/>
      <c r="M457" s="44"/>
    </row>
    <row r="459" spans="4:13" ht="20.25" x14ac:dyDescent="0.25">
      <c r="D459" s="264" t="s">
        <v>1069</v>
      </c>
      <c r="E459" s="116">
        <f>SUM(H448:H457)</f>
        <v>1.5636000000000001E-2</v>
      </c>
      <c r="F459" s="117" t="str">
        <f>$E$155</f>
        <v>t CO2e</v>
      </c>
    </row>
    <row r="460" spans="4:13" ht="20.25" x14ac:dyDescent="0.25">
      <c r="D460" s="264" t="s">
        <v>1072</v>
      </c>
      <c r="E460" s="116">
        <f>SUM(J448:J457)</f>
        <v>1.3400000000000002E-2</v>
      </c>
      <c r="F460" s="117" t="str">
        <f>$E$155</f>
        <v>t CO2e</v>
      </c>
    </row>
    <row r="463" spans="4:13" ht="18.75" x14ac:dyDescent="0.25">
      <c r="D463" s="246" t="s">
        <v>1033</v>
      </c>
    </row>
    <row r="465" spans="4:12" x14ac:dyDescent="0.25">
      <c r="D465" s="112" t="s">
        <v>641</v>
      </c>
      <c r="E465" s="112" t="s">
        <v>1167</v>
      </c>
      <c r="F465" s="111" t="s">
        <v>1165</v>
      </c>
      <c r="G465" s="111" t="s">
        <v>1069</v>
      </c>
      <c r="H465" s="112" t="s">
        <v>1166</v>
      </c>
      <c r="I465" s="111" t="s">
        <v>1072</v>
      </c>
      <c r="J465" s="112" t="s">
        <v>1073</v>
      </c>
      <c r="K465" s="112" t="s">
        <v>1074</v>
      </c>
      <c r="L465" s="112" t="s">
        <v>1075</v>
      </c>
    </row>
    <row r="466" spans="4:12" x14ac:dyDescent="0.25">
      <c r="D466" s="25" t="str">
        <f>'Input - Farm Inputs'!D121</f>
        <v>Barley grain (for seed)</v>
      </c>
      <c r="E466" s="25">
        <f>X_Cell_FarmInputs_Seed_BarleyGrain</f>
        <v>500</v>
      </c>
      <c r="F466" s="25" cm="1">
        <f t="array" ref="F466">Common_InputFunctions.Utility_LookupValueInTableNumber(D466,Table_SourceData_Scope3_Other[Product],Table_SourceData_Scope3_Other[AusLCI Emissions intensity])</f>
        <v>0.23899999999999999</v>
      </c>
      <c r="G466" s="263" cm="1">
        <f t="array" ref="G466">Scope3_Equations.VEERG_15_10_1_1__1_OtherPurchasedGoodsAndServices(E466,F466*10^-3)</f>
        <v>0.1195</v>
      </c>
      <c r="H466" s="86">
        <v>0.2</v>
      </c>
      <c r="I466" s="263" cm="1">
        <f t="array" ref="I466">Scope3_Equations.VEERG_15_10_1_1__1_OtherPurchasedGoodsAndServices(E466,IF(H466,H466,F466)*10^-3)</f>
        <v>0.1</v>
      </c>
      <c r="J466" s="44"/>
      <c r="K466" s="23"/>
      <c r="L466" s="44"/>
    </row>
    <row r="467" spans="4:12" x14ac:dyDescent="0.25">
      <c r="D467" s="25" t="str">
        <f>'Input - Farm Inputs'!D122</f>
        <v>Maize grain (for seed)</v>
      </c>
      <c r="E467" s="25">
        <f>X_Cell_FarmInputs_Seed_MaizeGrain</f>
        <v>600</v>
      </c>
      <c r="F467" s="25" cm="1">
        <f t="array" ref="F467">Common_InputFunctions.Utility_LookupValueInTableNumber(D467,Table_SourceData_Scope3_Other[Product],Table_SourceData_Scope3_Other[AusLCI Emissions intensity])</f>
        <v>0.18099999999999999</v>
      </c>
      <c r="G467" s="263" cm="1">
        <f t="array" ref="G467">Scope3_Equations.VEERG_15_10_1_1__1_OtherPurchasedGoodsAndServices(E467,F467*10^-3)</f>
        <v>0.1086</v>
      </c>
      <c r="H467" s="86"/>
      <c r="I467" s="263" cm="1">
        <f t="array" ref="I467">Scope3_Equations.VEERG_15_10_1_1__1_OtherPurchasedGoodsAndServices(E467,IF(H467,H467,F467)*10^-3)</f>
        <v>0.1086</v>
      </c>
      <c r="J467" s="44"/>
      <c r="K467" s="23"/>
      <c r="L467" s="44"/>
    </row>
    <row r="468" spans="4:12" x14ac:dyDescent="0.25">
      <c r="D468" s="25" t="str">
        <f>'Input - Farm Inputs'!D123</f>
        <v>Oat grain (for seed)</v>
      </c>
      <c r="E468" s="25">
        <f>X_Cell_FarmInputs_Seed_OatGrain</f>
        <v>700</v>
      </c>
      <c r="F468" s="25" cm="1">
        <f t="array" ref="F468">Common_InputFunctions.Utility_LookupValueInTableNumber(D468,Table_SourceData_Scope3_Other[Product],Table_SourceData_Scope3_Other[AusLCI Emissions intensity])</f>
        <v>0.27</v>
      </c>
      <c r="G468" s="263" cm="1">
        <f t="array" ref="G468">Scope3_Equations.VEERG_15_10_1_1__1_OtherPurchasedGoodsAndServices(E468,F468*10^-3)</f>
        <v>0.189</v>
      </c>
      <c r="H468" s="86">
        <v>0.2</v>
      </c>
      <c r="I468" s="263" cm="1">
        <f t="array" ref="I468">Scope3_Equations.VEERG_15_10_1_1__1_OtherPurchasedGoodsAndServices(E468,IF(H468,H468,F468)*10^-3)</f>
        <v>0.14000000000000001</v>
      </c>
      <c r="J468" s="44"/>
      <c r="K468" s="23"/>
      <c r="L468" s="44"/>
    </row>
    <row r="469" spans="4:12" x14ac:dyDescent="0.25">
      <c r="D469" s="25" t="str">
        <f>'Input - Farm Inputs'!D124</f>
        <v>Sorghum grain (for seed)</v>
      </c>
      <c r="E469" s="25">
        <f>X_Cell_FarmInputs_Seed_SorghumGrain</f>
        <v>800</v>
      </c>
      <c r="F469" s="25" cm="1">
        <f t="array" ref="F469">Common_InputFunctions.Utility_LookupValueInTableNumber(D469,Table_SourceData_Scope3_Other[Product],Table_SourceData_Scope3_Other[AusLCI Emissions intensity])</f>
        <v>0.23200000000000001</v>
      </c>
      <c r="G469" s="263" cm="1">
        <f t="array" ref="G469">Scope3_Equations.VEERG_15_10_1_1__1_OtherPurchasedGoodsAndServices(E469,F469*10^-3)</f>
        <v>0.18560000000000001</v>
      </c>
      <c r="H469" s="86"/>
      <c r="I469" s="263" cm="1">
        <f t="array" ref="I469">Scope3_Equations.VEERG_15_10_1_1__1_OtherPurchasedGoodsAndServices(E469,IF(H469,H469,F469)*10^-3)</f>
        <v>0.18560000000000001</v>
      </c>
      <c r="J469" s="44"/>
      <c r="K469" s="23"/>
      <c r="L469" s="44"/>
    </row>
    <row r="470" spans="4:12" x14ac:dyDescent="0.25">
      <c r="D470" s="25" t="str">
        <f>'Input - Farm Inputs'!D125</f>
        <v>Wheat grain (for seed)</v>
      </c>
      <c r="E470" s="25">
        <f>X_Cell_FarmInputs_Seed_WheatGrain</f>
        <v>900</v>
      </c>
      <c r="F470" s="25" cm="1">
        <f t="array" ref="F470">Common_InputFunctions.Utility_LookupValueInTableNumber(D470,Table_SourceData_Scope3_Other[Product],Table_SourceData_Scope3_Other[AusLCI Emissions intensity])</f>
        <v>0.26800000000000002</v>
      </c>
      <c r="G470" s="263" cm="1">
        <f t="array" ref="G470">Scope3_Equations.VEERG_15_10_1_1__1_OtherPurchasedGoodsAndServices(E470,F470*10^-3)</f>
        <v>0.2412</v>
      </c>
      <c r="H470" s="86">
        <v>0.2</v>
      </c>
      <c r="I470" s="263" cm="1">
        <f t="array" ref="I470">Scope3_Equations.VEERG_15_10_1_1__1_OtherPurchasedGoodsAndServices(E470,IF(H470,H470,F470)*10^-3)</f>
        <v>0.18000000000000002</v>
      </c>
      <c r="J470" s="44"/>
      <c r="K470" s="23"/>
      <c r="L470" s="44"/>
    </row>
    <row r="472" spans="4:12" ht="20.25" x14ac:dyDescent="0.25">
      <c r="D472" s="264" t="s">
        <v>1069</v>
      </c>
      <c r="E472" s="116">
        <f>SUM(G466:G470)</f>
        <v>0.84389999999999998</v>
      </c>
      <c r="F472" s="117" t="str">
        <f>$E$155</f>
        <v>t CO2e</v>
      </c>
    </row>
    <row r="473" spans="4:12" ht="20.25" x14ac:dyDescent="0.25">
      <c r="D473" s="264" t="s">
        <v>1072</v>
      </c>
      <c r="E473" s="116">
        <f>SUM(I466:I470)</f>
        <v>0.71420000000000006</v>
      </c>
      <c r="F473" s="117" t="str">
        <f>$E$155</f>
        <v>t CO2e</v>
      </c>
    </row>
    <row r="476" spans="4:12" ht="18.75" x14ac:dyDescent="0.25">
      <c r="D476" s="246" t="s">
        <v>1168</v>
      </c>
    </row>
    <row r="478" spans="4:12" x14ac:dyDescent="0.25">
      <c r="D478" s="112" t="s">
        <v>641</v>
      </c>
      <c r="E478" s="112" t="s">
        <v>1167</v>
      </c>
      <c r="F478" s="111" t="s">
        <v>1165</v>
      </c>
      <c r="G478" s="111" t="s">
        <v>1069</v>
      </c>
      <c r="H478" s="112" t="s">
        <v>1166</v>
      </c>
      <c r="I478" s="111" t="s">
        <v>1072</v>
      </c>
      <c r="J478" s="112" t="s">
        <v>1073</v>
      </c>
      <c r="K478" s="112" t="s">
        <v>1074</v>
      </c>
      <c r="L478" s="112" t="s">
        <v>1075</v>
      </c>
    </row>
    <row r="479" spans="4:12" x14ac:dyDescent="0.25">
      <c r="D479" s="25" t="str">
        <f>'Input - Farm Inputs'!D128</f>
        <v>Animal ear tags (large)</v>
      </c>
      <c r="E479" s="25">
        <f>X_Cell_FarmInputs_Misc_AnimalEarTagsLarge</f>
        <v>100</v>
      </c>
      <c r="F479" s="25" cm="1">
        <f t="array" ref="F479">Common_InputFunctions.Utility_LookupValueInTableNumber(D479,Table_SourceData_Scope3_Other[Product],Table_SourceData_Scope3_Other[AusLCI Emissions intensity])</f>
        <v>4.24E-2</v>
      </c>
      <c r="G479" s="263" cm="1">
        <f t="array" ref="G479">Scope3_Equations.VEERG_15_10_1_1__1_OtherPurchasedGoodsAndServices(E479,F479*10^-3)</f>
        <v>4.2399999999999998E-3</v>
      </c>
      <c r="H479" s="86">
        <v>0.2</v>
      </c>
      <c r="I479" s="263" cm="1">
        <f t="array" ref="I479">Scope3_Equations.VEERG_15_10_1_1__1_OtherPurchasedGoodsAndServices(E479,IF(H479,H479,F479)*10^-3)</f>
        <v>0.02</v>
      </c>
      <c r="J479" s="44"/>
      <c r="K479" s="23"/>
      <c r="L479" s="44"/>
    </row>
    <row r="480" spans="4:12" x14ac:dyDescent="0.25">
      <c r="D480" s="25" t="str">
        <f>'Input - Farm Inputs'!D129</f>
        <v>Animal ear tags (small)</v>
      </c>
      <c r="E480" s="25">
        <f>X_Cell_FarmInputs_Misc_AnimalEarTagsSmall</f>
        <v>200</v>
      </c>
      <c r="F480" s="25" cm="1">
        <f t="array" ref="F480">Common_InputFunctions.Utility_LookupValueInTableNumber(D480,Table_SourceData_Scope3_Other[Product],Table_SourceData_Scope3_Other[AusLCI Emissions intensity])</f>
        <v>2.93E-2</v>
      </c>
      <c r="G480" s="263" cm="1">
        <f t="array" ref="G480">Scope3_Equations.VEERG_15_10_1_1__1_OtherPurchasedGoodsAndServices(E480,F480*10^-3)</f>
        <v>5.8599999999999998E-3</v>
      </c>
      <c r="H480" s="86"/>
      <c r="I480" s="263" cm="1">
        <f t="array" ref="I480">Scope3_Equations.VEERG_15_10_1_1__1_OtherPurchasedGoodsAndServices(E480,IF(H480,H480,F480)*10^-3)</f>
        <v>5.8599999999999998E-3</v>
      </c>
      <c r="J480" s="44"/>
      <c r="K480" s="23"/>
      <c r="L480" s="44"/>
    </row>
    <row r="481" spans="4:14" x14ac:dyDescent="0.25">
      <c r="D481" s="25" t="str">
        <f>'Input - Farm Inputs'!D130</f>
        <v>Nylon netting</v>
      </c>
      <c r="E481" s="25">
        <f>X_Cell_FarmInputs_Misc_NylonNetting</f>
        <v>300</v>
      </c>
      <c r="F481" s="25" cm="1">
        <f t="array" ref="F481">Common_InputFunctions.Utility_LookupValueInTableNumber(D481,Table_SourceData_Scope3_Other[Product],Table_SourceData_Scope3_Other[AusLCI Emissions intensity])</f>
        <v>9.81</v>
      </c>
      <c r="G481" s="263" cm="1">
        <f t="array" ref="G481">Scope3_Equations.VEERG_15_10_1_1__1_OtherPurchasedGoodsAndServices(E481,F481*10^-3)</f>
        <v>2.9430000000000005</v>
      </c>
      <c r="H481" s="86">
        <v>0.2</v>
      </c>
      <c r="I481" s="263" cm="1">
        <f t="array" ref="I481">Scope3_Equations.VEERG_15_10_1_1__1_OtherPurchasedGoodsAndServices(E481,IF(H481,H481,F481)*10^-3)</f>
        <v>6.0000000000000005E-2</v>
      </c>
      <c r="J481" s="44"/>
      <c r="K481" s="23"/>
      <c r="L481" s="44"/>
    </row>
    <row r="483" spans="4:14" ht="20.25" x14ac:dyDescent="0.25">
      <c r="D483" s="264" t="s">
        <v>1069</v>
      </c>
      <c r="E483" s="116">
        <f>SUM(G479:G481)</f>
        <v>2.9531000000000005</v>
      </c>
      <c r="F483" s="117" t="str">
        <f>$E$155</f>
        <v>t CO2e</v>
      </c>
    </row>
    <row r="484" spans="4:14" ht="20.25" x14ac:dyDescent="0.25">
      <c r="D484" s="264" t="s">
        <v>1072</v>
      </c>
      <c r="E484" s="116">
        <f>SUM(I479:I481)</f>
        <v>8.5860000000000006E-2</v>
      </c>
      <c r="F484" s="117" t="str">
        <f>$E$155</f>
        <v>t CO2e</v>
      </c>
    </row>
    <row r="487" spans="4:14" ht="18.75" x14ac:dyDescent="0.25">
      <c r="D487" s="246" t="s">
        <v>1169</v>
      </c>
    </row>
    <row r="489" spans="4:14" x14ac:dyDescent="0.25">
      <c r="D489" s="112" t="s">
        <v>641</v>
      </c>
      <c r="E489" s="112" t="s">
        <v>801</v>
      </c>
      <c r="F489" s="112" t="s">
        <v>709</v>
      </c>
      <c r="G489" s="111" t="s">
        <v>1151</v>
      </c>
      <c r="H489" s="111" t="s">
        <v>1152</v>
      </c>
      <c r="I489" s="112" t="s">
        <v>1153</v>
      </c>
      <c r="J489" s="112" t="s">
        <v>1170</v>
      </c>
      <c r="K489" s="111" t="s">
        <v>1154</v>
      </c>
      <c r="L489" s="112" t="s">
        <v>1073</v>
      </c>
      <c r="M489" s="112" t="s">
        <v>1074</v>
      </c>
      <c r="N489" s="112" t="s">
        <v>1075</v>
      </c>
    </row>
    <row r="490" spans="4:14" x14ac:dyDescent="0.25">
      <c r="D490" s="25" t="str" cm="1">
        <f t="array" ref="D490:D499">IFERROR(INDEX(Table_Input_UncategorisedProductsServices[Product / service name], _xlfn.SEQUENCE(10)), "")</f>
        <v>Something</v>
      </c>
      <c r="E490" s="25" cm="1">
        <f t="array" ref="E490:E499">IFERROR(INDEX(Table_Input_UncategorisedProductsServices[Amount], _xlfn.SEQUENCE(10)), "")</f>
        <v>1000</v>
      </c>
      <c r="F490" s="25" t="str" cm="1">
        <f t="array" ref="F490:F499">IFERROR(INDEX(Table_Input_UncategorisedProductsServices[Amount unit], _xlfn.SEQUENCE(10)), "")</f>
        <v>kg</v>
      </c>
      <c r="G490" s="25" t="s">
        <v>1156</v>
      </c>
      <c r="H490" s="25" t="s">
        <v>1156</v>
      </c>
      <c r="I490" s="86">
        <v>4</v>
      </c>
      <c r="J490" s="23" t="s">
        <v>1171</v>
      </c>
      <c r="K490" s="263" cm="1">
        <f t="array" ref="K490">Scope3_Equations.VEERG_15_10_1_1__1_OtherPurchasedGoodsAndServices(E490,IF(J490="kg / amount unit", I490*10^-3, I490))</f>
        <v>4000</v>
      </c>
      <c r="L490" s="44"/>
      <c r="M490" s="23"/>
      <c r="N490" s="44"/>
    </row>
    <row r="491" spans="4:14" x14ac:dyDescent="0.25">
      <c r="D491" s="25">
        <v>0</v>
      </c>
      <c r="E491" s="25">
        <v>0</v>
      </c>
      <c r="F491" s="25">
        <v>0</v>
      </c>
      <c r="G491" s="25" t="s">
        <v>1156</v>
      </c>
      <c r="H491" s="25" t="s">
        <v>1156</v>
      </c>
      <c r="I491" s="86">
        <v>2</v>
      </c>
      <c r="J491" s="23" t="s">
        <v>1171</v>
      </c>
      <c r="K491" s="263" cm="1">
        <f t="array" ref="K491">Scope3_Equations.VEERG_15_10_1_1__1_OtherPurchasedGoodsAndServices(E491,IF(J491="kg / amount unit", I491*10^-3, I491))</f>
        <v>0</v>
      </c>
      <c r="L491" s="44"/>
      <c r="M491" s="23"/>
      <c r="N491" s="44"/>
    </row>
    <row r="492" spans="4:14" x14ac:dyDescent="0.25">
      <c r="D492" s="25">
        <v>0</v>
      </c>
      <c r="E492" s="25">
        <v>0</v>
      </c>
      <c r="F492" s="25">
        <v>0</v>
      </c>
      <c r="G492" s="25" t="s">
        <v>1156</v>
      </c>
      <c r="H492" s="25" t="s">
        <v>1156</v>
      </c>
      <c r="I492" s="86"/>
      <c r="J492" s="23"/>
      <c r="K492" s="263" cm="1">
        <f t="array" ref="K492">Scope3_Equations.VEERG_15_10_1_1__1_OtherPurchasedGoodsAndServices(E492,IF(J492="kg / amount unit", I492*10^-3, I492))</f>
        <v>0</v>
      </c>
      <c r="L492" s="44"/>
      <c r="M492" s="23"/>
      <c r="N492" s="44"/>
    </row>
    <row r="493" spans="4:14" x14ac:dyDescent="0.25">
      <c r="D493" s="25">
        <v>0</v>
      </c>
      <c r="E493" s="25">
        <v>0</v>
      </c>
      <c r="F493" s="25">
        <v>0</v>
      </c>
      <c r="G493" s="25" t="s">
        <v>1156</v>
      </c>
      <c r="H493" s="25" t="s">
        <v>1156</v>
      </c>
      <c r="I493" s="86"/>
      <c r="J493" s="23"/>
      <c r="K493" s="263" cm="1">
        <f t="array" ref="K493">Scope3_Equations.VEERG_15_10_1_1__1_OtherPurchasedGoodsAndServices(E493,IF(J493="kg / amount unit", I493*10^-3, I493))</f>
        <v>0</v>
      </c>
      <c r="L493" s="44"/>
      <c r="M493" s="23"/>
      <c r="N493" s="44"/>
    </row>
    <row r="494" spans="4:14" x14ac:dyDescent="0.25">
      <c r="D494" s="25">
        <v>0</v>
      </c>
      <c r="E494" s="25">
        <v>0</v>
      </c>
      <c r="F494" s="25">
        <v>0</v>
      </c>
      <c r="G494" s="25" t="s">
        <v>1156</v>
      </c>
      <c r="H494" s="25" t="s">
        <v>1156</v>
      </c>
      <c r="I494" s="86"/>
      <c r="J494" s="23"/>
      <c r="K494" s="263" cm="1">
        <f t="array" ref="K494">Scope3_Equations.VEERG_15_10_1_1__1_OtherPurchasedGoodsAndServices(E494,IF(J494="kg / amount unit", I494*10^-3, I494))</f>
        <v>0</v>
      </c>
      <c r="L494" s="44"/>
      <c r="M494" s="23"/>
      <c r="N494" s="44"/>
    </row>
    <row r="495" spans="4:14" x14ac:dyDescent="0.25">
      <c r="D495" s="25">
        <v>0</v>
      </c>
      <c r="E495" s="25">
        <v>0</v>
      </c>
      <c r="F495" s="25">
        <v>0</v>
      </c>
      <c r="G495" s="25" t="s">
        <v>1156</v>
      </c>
      <c r="H495" s="25" t="s">
        <v>1156</v>
      </c>
      <c r="I495" s="86"/>
      <c r="J495" s="23"/>
      <c r="K495" s="263" cm="1">
        <f t="array" ref="K495">Scope3_Equations.VEERG_15_10_1_1__1_OtherPurchasedGoodsAndServices(E495,IF(J495="kg / amount unit", I495*10^-3, I495))</f>
        <v>0</v>
      </c>
      <c r="L495" s="44"/>
      <c r="M495" s="23"/>
      <c r="N495" s="44"/>
    </row>
    <row r="496" spans="4:14" x14ac:dyDescent="0.25">
      <c r="D496" s="25">
        <v>0</v>
      </c>
      <c r="E496" s="25">
        <v>0</v>
      </c>
      <c r="F496" s="25">
        <v>0</v>
      </c>
      <c r="G496" s="25" t="s">
        <v>1156</v>
      </c>
      <c r="H496" s="25" t="s">
        <v>1156</v>
      </c>
      <c r="I496" s="86"/>
      <c r="J496" s="23"/>
      <c r="K496" s="263" cm="1">
        <f t="array" ref="K496">Scope3_Equations.VEERG_15_10_1_1__1_OtherPurchasedGoodsAndServices(E496,IF(J496="kg / amount unit", I496*10^-3, I496))</f>
        <v>0</v>
      </c>
      <c r="L496" s="44"/>
      <c r="M496" s="23"/>
      <c r="N496" s="44"/>
    </row>
    <row r="497" spans="3:41" x14ac:dyDescent="0.25">
      <c r="D497" s="25">
        <v>0</v>
      </c>
      <c r="E497" s="25">
        <v>0</v>
      </c>
      <c r="F497" s="25">
        <v>0</v>
      </c>
      <c r="G497" s="25" t="s">
        <v>1156</v>
      </c>
      <c r="H497" s="25" t="s">
        <v>1156</v>
      </c>
      <c r="I497" s="86"/>
      <c r="J497" s="23"/>
      <c r="K497" s="263" cm="1">
        <f t="array" ref="K497">Scope3_Equations.VEERG_15_10_1_1__1_OtherPurchasedGoodsAndServices(E497,IF(J497="kg / amount unit", I497*10^-3, I497))</f>
        <v>0</v>
      </c>
      <c r="L497" s="44"/>
      <c r="M497" s="23"/>
      <c r="N497" s="44"/>
    </row>
    <row r="498" spans="3:41" x14ac:dyDescent="0.25">
      <c r="D498" s="25">
        <v>0</v>
      </c>
      <c r="E498" s="25">
        <v>0</v>
      </c>
      <c r="F498" s="25">
        <v>0</v>
      </c>
      <c r="G498" s="25" t="s">
        <v>1156</v>
      </c>
      <c r="H498" s="25" t="s">
        <v>1156</v>
      </c>
      <c r="I498" s="86"/>
      <c r="J498" s="23"/>
      <c r="K498" s="263" cm="1">
        <f t="array" ref="K498">Scope3_Equations.VEERG_15_10_1_1__1_OtherPurchasedGoodsAndServices(E498,IF(J498="kg / amount unit", I498*10^-3, I498))</f>
        <v>0</v>
      </c>
      <c r="L498" s="44"/>
      <c r="M498" s="23"/>
      <c r="N498" s="44"/>
    </row>
    <row r="499" spans="3:41" x14ac:dyDescent="0.25">
      <c r="D499" s="25">
        <v>0</v>
      </c>
      <c r="E499" s="25">
        <v>0</v>
      </c>
      <c r="F499" s="25">
        <v>0</v>
      </c>
      <c r="G499" s="25" t="s">
        <v>1156</v>
      </c>
      <c r="H499" s="25" t="s">
        <v>1156</v>
      </c>
      <c r="I499" s="86"/>
      <c r="J499" s="23"/>
      <c r="K499" s="263" cm="1">
        <f t="array" ref="K499">Scope3_Equations.VEERG_15_10_1_1__1_OtherPurchasedGoodsAndServices(E499,IF(J499="kg / amount unit", I499*10^-3, I499))</f>
        <v>0</v>
      </c>
      <c r="L499" s="44"/>
      <c r="M499" s="23"/>
      <c r="N499" s="44"/>
    </row>
    <row r="501" spans="3:41" ht="20.25" x14ac:dyDescent="0.25">
      <c r="D501" s="264" t="s">
        <v>1069</v>
      </c>
      <c r="E501" s="116" t="s">
        <v>1156</v>
      </c>
      <c r="F501" s="117" t="str">
        <f>$E$155</f>
        <v>t CO2e</v>
      </c>
    </row>
    <row r="502" spans="3:41" ht="20.25" x14ac:dyDescent="0.25">
      <c r="D502" s="264" t="s">
        <v>1072</v>
      </c>
      <c r="E502" s="116">
        <f>SUM(K490:K499)</f>
        <v>4000</v>
      </c>
      <c r="F502" s="117" t="str">
        <f>$E$155</f>
        <v>t CO2e</v>
      </c>
    </row>
    <row r="505" spans="3:41" x14ac:dyDescent="0.25">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c r="AA505" s="114"/>
      <c r="AB505" s="114"/>
      <c r="AC505" s="114"/>
      <c r="AD505" s="114"/>
      <c r="AE505" s="114"/>
      <c r="AF505" s="114"/>
      <c r="AG505" s="114"/>
      <c r="AH505" s="114"/>
      <c r="AI505" s="114"/>
      <c r="AJ505" s="114"/>
      <c r="AK505" s="114"/>
      <c r="AL505" s="114"/>
      <c r="AM505" s="114"/>
      <c r="AN505" s="114"/>
      <c r="AO505" s="114"/>
    </row>
    <row r="506" spans="3:41" ht="23.25" x14ac:dyDescent="0.25">
      <c r="D506" s="2" t="str" cm="1">
        <f t="array" ref="D506">Scope3_Equations.VEERG_15_11_1_1__1_TotalUpstreamEmissionsFromFuel_Title()</f>
        <v>Total upstream emissions from scope 1 fuel consumption</v>
      </c>
    </row>
    <row r="507" spans="3:41" x14ac:dyDescent="0.25">
      <c r="D507" s="27" t="str" cm="1">
        <f t="array" ref="D507">Scope3_Equations.VEERG_15_11_1_1__1_TotalUpstreamEmissionsFromFuel_Source()</f>
        <v>VEERG 2026: 15.11.1.1, Equation (1)</v>
      </c>
    </row>
    <row r="508" spans="3:41" x14ac:dyDescent="0.25">
      <c r="D508" s="100" t="s">
        <v>259</v>
      </c>
      <c r="E508" s="100" t="str">
        <f ca="1">Common_InputFunctions.Utility_DisplayFunctionName(VEERG_15_11_1_1__1_TotalUpstreamEmissionsFromFuel_Result)</f>
        <v>=Scope3_Equations.VEERG_15_11_1_1__1_TotalUpstreamEmissionsFromFuel</v>
      </c>
    </row>
    <row r="512" spans="3:41" x14ac:dyDescent="0.25">
      <c r="D512" s="88" t="s">
        <v>261</v>
      </c>
      <c r="E512" s="1" t="str" cm="1">
        <f t="array" ref="E512">Scope3_Equations.VEERG_15_11_1_1__1_TotalUpstreamEmissionsFromFuel_Variable()</f>
        <v>E</v>
      </c>
    </row>
    <row r="513" spans="3:41" x14ac:dyDescent="0.25">
      <c r="D513" s="88" t="s">
        <v>131</v>
      </c>
      <c r="E513" s="15" t="str" cm="1">
        <f t="array" ref="E513">Scope3_Equations.VEERG_15_11_1_1__1_TotalUpstreamEmissionsFromFuel_Unit()</f>
        <v>t CO2e</v>
      </c>
    </row>
    <row r="515" spans="3:41" x14ac:dyDescent="0.25">
      <c r="D515" s="102" t="str" cm="1">
        <f t="array" ref="D515:E516">_xlfn.CHOOSECOLS(Scope3_Equations.VEERG_15_11_1_1__1_TotalUpstreamEmissionsFromFuel_Arguments(),1,2)</f>
        <v>E_WTTtransq</v>
      </c>
      <c r="E515" s="103" t="str">
        <v>upstream emissions from scope 1 transport fuel use</v>
      </c>
      <c r="F515" s="105"/>
      <c r="G515" s="102" t="str" cm="1">
        <f t="array" ref="G515:H516">_xlfn.CHOOSECOLS(Scope3_Equations.VEERG_15_11_1_1__1_TotalUpstreamEmissionsFromFuel_Arguments(),3,4)</f>
        <v>t CO2e</v>
      </c>
      <c r="H515" s="107" t="str">
        <v>Calculated by 15.11.1.1 (2)</v>
      </c>
      <c r="I515" s="102">
        <f>VEERG_8_1_1_1__1_FuelCombustionTransport_Result</f>
        <v>20.5016</v>
      </c>
    </row>
    <row r="516" spans="3:41" x14ac:dyDescent="0.25">
      <c r="D516" s="102" t="str">
        <v>E_WTTSCq</v>
      </c>
      <c r="E516" s="103" t="str">
        <v>upstream emissions from scope 1 stationary combustion fuel use</v>
      </c>
      <c r="F516" s="105"/>
      <c r="G516" s="102" t="str">
        <v>t CO2e</v>
      </c>
      <c r="H516" s="107" t="str">
        <v>Calculated by 15.11.1.1 (3)</v>
      </c>
      <c r="I516" s="102">
        <f>VEERG_8_2_1_1__1_FuelCombustionStationary_Result</f>
        <v>6.2923999999999998</v>
      </c>
    </row>
    <row r="518" spans="3:41" ht="20.25" x14ac:dyDescent="0.25">
      <c r="D518" s="264" t="s">
        <v>1172</v>
      </c>
      <c r="E518" s="116" cm="1">
        <f t="array" ref="E518">Scope3_Equations.VEERG_15_11_1_1__1_TotalUpstreamEmissionsFromFuel(I515,I516)</f>
        <v>26.794</v>
      </c>
      <c r="F518" s="117" t="str">
        <f>$E$155</f>
        <v>t CO2e</v>
      </c>
    </row>
    <row r="520" spans="3:41" x14ac:dyDescent="0.25">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c r="AA520" s="114"/>
      <c r="AB520" s="114"/>
      <c r="AC520" s="114"/>
      <c r="AD520" s="114"/>
      <c r="AE520" s="114"/>
      <c r="AF520" s="114"/>
      <c r="AG520" s="114"/>
      <c r="AH520" s="114"/>
      <c r="AI520" s="114"/>
      <c r="AJ520" s="114"/>
      <c r="AK520" s="114"/>
      <c r="AL520" s="114"/>
      <c r="AM520" s="114"/>
      <c r="AN520" s="114"/>
      <c r="AO520" s="114"/>
    </row>
    <row r="521" spans="3:41" ht="23.25" x14ac:dyDescent="0.25">
      <c r="D521" s="2" t="str" cm="1">
        <f t="array" ref="D521">Scope3_Equations.VEERG_15_12_1_1__1_UpstreamPurchasedElectricityLocationBased_Title()</f>
        <v>Scope 3 emissions from purchased electricity location based</v>
      </c>
    </row>
    <row r="522" spans="3:41" x14ac:dyDescent="0.25">
      <c r="D522" s="27" t="str" cm="1">
        <f t="array" ref="D522">Scope3_Equations.VEERG_15_12_1_1__1_UpstreamPurchasedElectricityLocationBased_Source()</f>
        <v>VEERG 2026: 15.12.1.1, Equation (1)</v>
      </c>
    </row>
    <row r="523" spans="3:41" x14ac:dyDescent="0.25">
      <c r="D523" s="100" t="s">
        <v>259</v>
      </c>
      <c r="E523" s="100" t="str">
        <f ca="1">Common_InputFunctions.Utility_DisplayFunctionName(VEERG_15_12_1_1__1_UpstreamPurchasedElectricityLocationBased_Result)</f>
        <v>=Scope3_Equations.VEERG_15_12_1_1__1_UpstreamPurchasedElectricityLocationBased</v>
      </c>
    </row>
    <row r="526" spans="3:41" x14ac:dyDescent="0.25">
      <c r="D526" s="88" t="s">
        <v>261</v>
      </c>
      <c r="E526" s="1" t="str" cm="1">
        <f t="array" ref="E526">Scope3_Equations.VEERG_15_12_1_1__1_UpstreamPurchasedElectricityLocationBased_Variable()</f>
        <v>E_3elec</v>
      </c>
    </row>
    <row r="527" spans="3:41" x14ac:dyDescent="0.25">
      <c r="D527" s="88" t="s">
        <v>131</v>
      </c>
      <c r="E527" s="1" t="str" cm="1">
        <f t="array" ref="E527">Scope3_Equations.VEERG_15_12_1_1__1_UpstreamPurchasedElectricityLocationBased_Unit()</f>
        <v>t CO2e</v>
      </c>
    </row>
    <row r="529" spans="3:41" x14ac:dyDescent="0.25">
      <c r="D529" s="102" t="str" cm="1">
        <f t="array" ref="D529:E531">_xlfn.CHOOSECOLS(Scope3_Equations.VEERG_15_12_1_1__1_UpstreamPurchasedElectricityLocationBased_Arguments(),1,2)</f>
        <v>Q_elec</v>
      </c>
      <c r="E529" s="102" t="str">
        <v>amount of electricity purchased from the grid</v>
      </c>
      <c r="F529" s="102"/>
      <c r="G529" s="102" t="str" cm="1">
        <f t="array" ref="G529:H531">_xlfn.CHOOSECOLS(Scope3_Equations.VEERG_15_12_1_1__1_UpstreamPurchasedElectricityLocationBased_Arguments(),3,4)</f>
        <v>kWh</v>
      </c>
      <c r="H529" s="261" t="str">
        <v>Input</v>
      </c>
      <c r="I529" s="103">
        <f>X_Cell_Electricity_Location_AmountPurchasedInkWh</f>
        <v>30000</v>
      </c>
      <c r="J529" s="105"/>
    </row>
    <row r="530" spans="3:41" x14ac:dyDescent="0.25">
      <c r="D530" s="102" t="str">
        <v>EF_3elec</v>
      </c>
      <c r="E530" s="102" t="str">
        <v>scope 3 emission factor for purchased electricity</v>
      </c>
      <c r="F530" s="102"/>
      <c r="G530" s="102" t="str">
        <v>kg CO2e/kWh</v>
      </c>
      <c r="H530" s="107" t="str">
        <v>Constant</v>
      </c>
      <c r="I530" s="103" cm="1">
        <f t="array" ref="I530">Common_InputFunctions.Utility_LookupValueInTableNumber(I531,Table_SourceData_ElectricityEFs[State, Territory or grid description],Table_SourceData_ElectricityEFs[Scope 3 Emission Factors (kg CO2-e/kWh)])</f>
        <v>0.09</v>
      </c>
      <c r="J530" s="105"/>
    </row>
    <row r="531" spans="3:41" x14ac:dyDescent="0.25">
      <c r="D531" s="102" t="str">
        <v>g</v>
      </c>
      <c r="E531" s="103" t="str">
        <v>grid electricity was purchased from</v>
      </c>
      <c r="F531" s="105"/>
      <c r="G531" s="102" t="str">
        <v/>
      </c>
      <c r="H531" s="261" t="str">
        <v>Input</v>
      </c>
      <c r="I531" s="103" t="str">
        <f>X_Cell_Electricity_Location_GridElectricityPurchasedFrom</f>
        <v>Western Australia - North Western Interconnected System (NWIS)</v>
      </c>
      <c r="J531" s="105"/>
    </row>
    <row r="533" spans="3:41" ht="20.25" x14ac:dyDescent="0.25">
      <c r="D533" s="264" t="s">
        <v>1173</v>
      </c>
      <c r="E533" s="116" cm="1">
        <f t="array" ref="E533">Scope3_Equations.VEERG_15_12_1_1__1_UpstreamPurchasedElectricityLocationBased(I529,I530)</f>
        <v>2.7</v>
      </c>
      <c r="F533" s="117" t="str">
        <f>$E$155</f>
        <v>t CO2e</v>
      </c>
    </row>
    <row r="536" spans="3:41" x14ac:dyDescent="0.25">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c r="AA536" s="114"/>
      <c r="AB536" s="114"/>
      <c r="AC536" s="114"/>
      <c r="AD536" s="114"/>
      <c r="AE536" s="114"/>
      <c r="AF536" s="114"/>
      <c r="AG536" s="114"/>
      <c r="AH536" s="114"/>
      <c r="AI536" s="114"/>
      <c r="AJ536" s="114"/>
      <c r="AK536" s="114"/>
      <c r="AL536" s="114"/>
      <c r="AM536" s="114"/>
      <c r="AN536" s="114"/>
      <c r="AO536" s="114"/>
    </row>
    <row r="537" spans="3:41" ht="23.25" x14ac:dyDescent="0.25">
      <c r="D537" s="2" t="str" cm="1">
        <f t="array" ref="D537">Scope3_Equations.VEERG_15_12_1_2__1_UpstreamPurchasedElectricityMarketBased_Title()</f>
        <v>Scope 3 emissions from purchased electricity market based</v>
      </c>
    </row>
    <row r="538" spans="3:41" x14ac:dyDescent="0.25">
      <c r="D538" s="27" t="str" cm="1">
        <f t="array" ref="D538">Scope3_Equations.VEERG_15_12_1_2__1_UpstreamPurchasedElectricityMarketBased_Source()</f>
        <v>VEERG 2026: 15.12.1.2, Equation (1)</v>
      </c>
    </row>
    <row r="539" spans="3:41" x14ac:dyDescent="0.25">
      <c r="D539" s="36"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00" t="s">
        <v>259</v>
      </c>
      <c r="E540" s="100" t="str">
        <f ca="1">Common_InputFunctions.Utility_DisplayFunctionName(VEERG_15_12_1_2__1_UpstreamPurchasedElectricityMarketBasedVariation_Result)</f>
        <v>=Scope3_Equations.VEERG_15_12_1_2__1_UpstreamPurchasedElectricityMarketBasedVariation</v>
      </c>
    </row>
    <row r="544" spans="3:41" x14ac:dyDescent="0.25">
      <c r="D544" s="88" t="s">
        <v>261</v>
      </c>
      <c r="E544" s="1" t="str" cm="1">
        <f t="array" ref="E544">Scope3_Equations.VEERG_15_12_1_2__1_UpstreamPurchasedElectricityMarketBased_Variable()</f>
        <v>E_3elec</v>
      </c>
    </row>
    <row r="545" spans="3:41" x14ac:dyDescent="0.25">
      <c r="D545" s="88" t="s">
        <v>131</v>
      </c>
      <c r="E545" s="1" t="str" cm="1">
        <f t="array" ref="E545">Scope3_Equations.VEERG_15_12_1_2__1_UpstreamPurchasedElectricityMarketBased_Unit()</f>
        <v>t CO2e</v>
      </c>
    </row>
    <row r="547" spans="3:41" x14ac:dyDescent="0.25">
      <c r="D547" s="102" t="str" cm="1">
        <f t="array" ref="D547:E553">_xlfn.CHOOSECOLS(Scope3_Equations.VEERG_15_12_1_2__1_UpstreamPurchasedElectricityMarketBased_Arguments(),1,2)</f>
        <v>Q_elec</v>
      </c>
      <c r="E547" s="103" t="str">
        <v>amount of electricity purchased from the grid</v>
      </c>
      <c r="F547" s="105"/>
      <c r="G547" s="102" t="str" cm="1">
        <f t="array" ref="G547:H553">_xlfn.CHOOSECOLS(Scope3_Equations.VEERG_15_12_1_2__1_UpstreamPurchasedElectricityMarketBased_Arguments(),3,4)</f>
        <v>kWh</v>
      </c>
      <c r="H547" s="261" t="str">
        <v>Input</v>
      </c>
      <c r="I547" s="265">
        <f>X_Cell_Electricity_Market_AmountPurchasedExcludingGreenPower</f>
        <v>30000</v>
      </c>
    </row>
    <row r="548" spans="3:41" x14ac:dyDescent="0.25">
      <c r="D548" s="102" t="str">
        <v>RPP</v>
      </c>
      <c r="E548" s="103" t="str">
        <v>renewable power percentage under LRET for the applicable period</v>
      </c>
      <c r="F548" s="105"/>
      <c r="G548" s="102" t="str">
        <v>fraction</v>
      </c>
      <c r="H548" s="261" t="str">
        <v>Input</v>
      </c>
      <c r="I548" s="190">
        <f>X_Cell_Electricity_Market_RenewablePowerPercentage</f>
        <v>0.1</v>
      </c>
    </row>
    <row r="549" spans="3:41" x14ac:dyDescent="0.25">
      <c r="D549" s="102" t="str">
        <v>JRPP</v>
      </c>
      <c r="E549" s="103" t="str">
        <v>jurisdictional renewable power percentage for the applicable period</v>
      </c>
      <c r="F549" s="105"/>
      <c r="G549" s="102" t="str">
        <v>fraction</v>
      </c>
      <c r="H549" s="261" t="str">
        <v>Input</v>
      </c>
      <c r="I549" s="190">
        <f>X_Cell_Electricity_Market_JurisdictionalRenewablePowerPercentage</f>
        <v>0.1</v>
      </c>
    </row>
    <row r="550" spans="3:41" x14ac:dyDescent="0.25">
      <c r="D550" s="102" t="str">
        <v>REC_surrendered</v>
      </c>
      <c r="E550" s="103" t="str">
        <v>eligible renewable energy certificates voluntarily surrendered</v>
      </c>
      <c r="F550" s="105"/>
      <c r="G550" s="102" t="str">
        <v>MWh</v>
      </c>
      <c r="H550" s="261" t="str">
        <v>Input</v>
      </c>
      <c r="I550" s="102">
        <f>(X_Cell_Electricity_Market_AmountPurchasedGreenPower*10^-3)+X_Cell_TotalElegibleVoluntarilySurrenderedRECs</f>
        <v>10</v>
      </c>
    </row>
    <row r="551" spans="3:41" x14ac:dyDescent="0.25">
      <c r="D551" s="102" t="str">
        <v>REC_onsite</v>
      </c>
      <c r="E551" s="103" t="str">
        <v>eligible renewable energy certificates issued for onsite generated electricity</v>
      </c>
      <c r="F551" s="105"/>
      <c r="G551" s="102" t="str">
        <v>MWh</v>
      </c>
      <c r="H551" s="261" t="str">
        <v>Input</v>
      </c>
      <c r="I551" s="102">
        <f>X_Cell_TotalElegibleRECsForElectricityProducedOnSite</f>
        <v>0</v>
      </c>
    </row>
    <row r="552" spans="3:41" x14ac:dyDescent="0.25">
      <c r="D552" s="102" t="str">
        <v>EF_RMF3elec</v>
      </c>
      <c r="E552" s="103" t="str">
        <v>scope 3 residual mix emission factor for electricity</v>
      </c>
      <c r="F552" s="105"/>
      <c r="G552" s="102" t="str">
        <v>kg CO2e/kWh</v>
      </c>
      <c r="H552" s="107" t="str">
        <v>Constant</v>
      </c>
      <c r="I552" s="102" cm="1">
        <f t="array" ref="I552">Table_SourceData_ElectricityEFsMarketBased[Scope 3 EF (kg CO2-e/kWh)]</f>
        <v>0.1</v>
      </c>
    </row>
    <row r="553" spans="3:41" x14ac:dyDescent="0.25">
      <c r="D553" s="102" t="str">
        <v>i</v>
      </c>
      <c r="E553" s="103" t="str">
        <v>state</v>
      </c>
      <c r="F553" s="105"/>
      <c r="G553" s="102" t="str">
        <v/>
      </c>
      <c r="H553" s="261" t="str">
        <v>Input</v>
      </c>
      <c r="I553" s="102" t="str">
        <f>X_Cell_Site_State</f>
        <v>Western Australia</v>
      </c>
    </row>
    <row r="555" spans="3:41" ht="20.25" x14ac:dyDescent="0.25">
      <c r="D555" s="264" t="s">
        <v>1173</v>
      </c>
      <c r="E555" s="116" cm="1">
        <f t="array" ref="E555">Scope3_Equations.VEERG_15_12_1_2__1_UpstreamPurchasedElectricityMarketBasedVariation(I547,I548,I549,I550,I551,I552)</f>
        <v>1.4000000000000001</v>
      </c>
      <c r="F555" s="117" t="str">
        <f>$E$155</f>
        <v>t CO2e</v>
      </c>
    </row>
    <row r="558" spans="3:41" x14ac:dyDescent="0.25">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c r="AA558" s="114"/>
      <c r="AB558" s="114"/>
      <c r="AC558" s="114"/>
      <c r="AD558" s="114"/>
      <c r="AE558" s="114"/>
      <c r="AF558" s="114"/>
      <c r="AG558" s="114"/>
      <c r="AH558" s="114"/>
      <c r="AI558" s="114"/>
      <c r="AJ558" s="114"/>
      <c r="AK558" s="114"/>
      <c r="AL558" s="114"/>
      <c r="AM558" s="114"/>
      <c r="AN558" s="114"/>
      <c r="AO558" s="114"/>
    </row>
    <row r="559" spans="3:41" ht="23.25" x14ac:dyDescent="0.25">
      <c r="D559" s="2" t="str" cm="1">
        <f t="array" ref="D559">Scope3_Equations.VEERG_15_13_1_1__1_EmissionsFromManureSentOffSite_Title()</f>
        <v>Emissions from manure sent off site applied to soils in another farming system or enterprise</v>
      </c>
    </row>
    <row r="560" spans="3:41" x14ac:dyDescent="0.25">
      <c r="D560" s="27" t="str" cm="1">
        <f t="array" ref="D560">Scope3_Equations.VEERG_15_13_1_1__1_EmissionsFromManureSentOffSite_Source()</f>
        <v>VEERG 2026: 15.13.1.1, Equation (1)</v>
      </c>
    </row>
    <row r="561" spans="4:18" x14ac:dyDescent="0.25">
      <c r="D561" s="100" t="s">
        <v>259</v>
      </c>
      <c r="E561" s="100" t="str" cm="1">
        <f t="array" aca="1" ref="E561" ca="1">Common_InputFunctions.Utility_DisplayFunctionName(E573)</f>
        <v>=Scope3_Equations.VEERG_15_13_1_1__1_EmissionsFromManureSentOffSite</v>
      </c>
    </row>
    <row r="564" spans="4:18" x14ac:dyDescent="0.25">
      <c r="D564" s="88" t="s">
        <v>261</v>
      </c>
      <c r="E564" s="1" t="str" cm="1">
        <f t="array" ref="E564">Scope3_Equations.VEERG_15_13_1_1__1_EmissionsFromManureSentOffSite_Variable()</f>
        <v>E</v>
      </c>
    </row>
    <row r="565" spans="4:18" x14ac:dyDescent="0.25">
      <c r="D565" s="88" t="s">
        <v>131</v>
      </c>
      <c r="E565" s="15" t="str" cm="1">
        <f t="array" ref="E565">Scope3_Equations.VEERG_15_13_1_1__1_EmissionsFromManureSentOffSite_Unit()</f>
        <v>t N2O</v>
      </c>
    </row>
    <row r="567" spans="4:18" x14ac:dyDescent="0.25">
      <c r="D567" s="35" t="s">
        <v>148</v>
      </c>
      <c r="L567" s="35" t="s">
        <v>149</v>
      </c>
    </row>
    <row r="569" spans="4:18" x14ac:dyDescent="0.25">
      <c r="D569" s="102" t="str" cm="1">
        <f t="array" ref="D569:E571">_xlfn.CHOOSECOLS(Scope3_Equations.VEERG_15_13_1_1__1_EmissionsFromManureSentOffSite_Arguments(),1,2)</f>
        <v>E_N2O</v>
      </c>
      <c r="E569" s="103" t="str">
        <v>direct nitrous oxide emissions from application of manure to soils outside of scope 1 boundary</v>
      </c>
      <c r="F569" s="104"/>
      <c r="G569" s="105"/>
      <c r="H569" s="102" t="str" cm="1">
        <f t="array" ref="H569:I571">_xlfn.CHOOSECOLS(Scope3_Equations.VEERG_15_13_1_1__1_EmissionsFromManureSentOffSite_Arguments(),3,4)</f>
        <v>t N2O</v>
      </c>
      <c r="I569" s="107" t="str">
        <v>Calculated</v>
      </c>
      <c r="J569" s="102">
        <f>VEERG_5_2_1_1__1_OrganicFertiliserApplicationN2OEmissions_Result_Method1</f>
        <v>7.8571428571428577E-3</v>
      </c>
      <c r="L569" s="102" t="str" cm="1">
        <f t="array" ref="L569:M571">_xlfn.CHOOSECOLS(Scope3_Equations.VEERG_15_13_1_1__1_EmissionsFromManureSentOffSite_Arguments(),1,2)</f>
        <v>E_N2O</v>
      </c>
      <c r="M569" s="103" t="str">
        <v>direct nitrous oxide emissions from application of manure to soils outside of scope 1 boundary</v>
      </c>
      <c r="N569" s="104"/>
      <c r="O569" s="105"/>
      <c r="P569" s="102" t="str" cm="1">
        <f t="array" ref="P569:Q571">_xlfn.CHOOSECOLS(Scope3_Equations.VEERG_15_13_1_1__1_EmissionsFromManureSentOffSite_Arguments(),3,4)</f>
        <v>t N2O</v>
      </c>
      <c r="Q569" s="107" t="str">
        <v>Calculated</v>
      </c>
      <c r="R569" s="102">
        <f>VEERG_5_2_1_1__1_OrganicFertiliserApplicationN2OEmissions_Result_Method2</f>
        <v>1.5714285714285715E-2</v>
      </c>
    </row>
    <row r="570" spans="4:18" x14ac:dyDescent="0.25">
      <c r="D570" s="102" t="str">
        <v>E_ad</v>
      </c>
      <c r="E570" s="103" t="str">
        <v>nitrous oxide emissions from atmospheric deposition of manure to soils</v>
      </c>
      <c r="F570" s="104"/>
      <c r="G570" s="105"/>
      <c r="H570" s="102" t="str">
        <v>t N2O</v>
      </c>
      <c r="I570" s="107" t="str">
        <v>Calculated</v>
      </c>
      <c r="J570" s="102">
        <f>VEERG_5_4_1_3__1_OrganicFertiliserAtmosphericDepositionN2OEmissions_Result_Method1</f>
        <v>2.31E-3</v>
      </c>
      <c r="L570" s="102" t="str">
        <v>E_ad</v>
      </c>
      <c r="M570" s="103" t="str">
        <v>nitrous oxide emissions from atmospheric deposition of manure to soils</v>
      </c>
      <c r="N570" s="104"/>
      <c r="O570" s="105"/>
      <c r="P570" s="102" t="str">
        <v>t N2O</v>
      </c>
      <c r="Q570" s="107" t="str">
        <v>Calculated</v>
      </c>
      <c r="R570" s="102">
        <f>VEERG_5_4_1_3__1_OrganicFertiliserAtmosphericDepositionN2OEmissions_Result_Method2</f>
        <v>4.62E-3</v>
      </c>
    </row>
    <row r="571" spans="4:18" x14ac:dyDescent="0.25">
      <c r="D571" s="102" t="str">
        <v>E_leach</v>
      </c>
      <c r="E571" s="103" t="str">
        <v>nitrous oxide emissions from nitrogen leaching and runoff of manure to soils</v>
      </c>
      <c r="F571" s="104"/>
      <c r="G571" s="105"/>
      <c r="H571" s="102" t="str">
        <v>t N2O</v>
      </c>
      <c r="I571" s="107" t="str">
        <v>Calculated</v>
      </c>
      <c r="J571" s="102">
        <f>VEERG_5_5_1_1__1_FertiliserLeachingAndRunoffN2OEmissions_Result_Method1</f>
        <v>4.1485714285714277E-3</v>
      </c>
      <c r="L571" s="102" t="str">
        <v>E_leach</v>
      </c>
      <c r="M571" s="103" t="str">
        <v>nitrous oxide emissions from nitrogen leaching and runoff of manure to soils</v>
      </c>
      <c r="N571" s="104"/>
      <c r="O571" s="105"/>
      <c r="P571" s="102" t="str">
        <v>t N2O</v>
      </c>
      <c r="Q571" s="107" t="str">
        <v>Calculated</v>
      </c>
      <c r="R571" s="102">
        <f>VEERG_5_5_1_1__1_FertiliserLeachingAndRunoffN2OEmissions_Result_Method2</f>
        <v>8.2971428571428554E-3</v>
      </c>
    </row>
    <row r="573" spans="4:18" ht="20.25" x14ac:dyDescent="0.25">
      <c r="D573" s="264" t="s">
        <v>1173</v>
      </c>
      <c r="E573" s="116" cm="1">
        <f t="array" ref="E573">Scope3_Equations.VEERG_15_13_1_1__1_EmissionsFromManureSentOffSite(J569,J570,J571)</f>
        <v>1.4315714285714286E-2</v>
      </c>
      <c r="F573" s="117" t="str">
        <f>$E$565</f>
        <v>t N2O</v>
      </c>
      <c r="L573" s="264" t="s">
        <v>1173</v>
      </c>
      <c r="M573" s="116" cm="1">
        <f t="array" ref="M573">Scope3_Equations.VEERG_15_13_1_1__1_EmissionsFromManureSentOffSite(R569,R570,R571)</f>
        <v>2.8631428571428572E-2</v>
      </c>
      <c r="N573" s="117" t="str">
        <f>$E$565</f>
        <v>t N2O</v>
      </c>
    </row>
    <row r="575" spans="4:18" x14ac:dyDescent="0.25">
      <c r="D575" s="118" t="str" cm="1">
        <f t="array" ref="D575:E576">Common_Equations.Common_ConvertN2OToCO2e_Arguments()</f>
        <v>EN2O</v>
      </c>
      <c r="E575" s="119" t="str">
        <v>Nitrous oxide emissions (t N2O)</v>
      </c>
      <c r="F575" s="120"/>
      <c r="G575" s="25">
        <f>E573</f>
        <v>1.4315714285714286E-2</v>
      </c>
      <c r="L575" s="118" t="str" cm="1">
        <f t="array" ref="L575:M576">Common_Equations.Common_ConvertN2OToCO2e_Arguments()</f>
        <v>EN2O</v>
      </c>
      <c r="M575" s="119" t="str">
        <v>Nitrous oxide emissions (t N2O)</v>
      </c>
      <c r="N575" s="120"/>
      <c r="O575" s="25">
        <f>M573</f>
        <v>2.8631428571428572E-2</v>
      </c>
    </row>
    <row r="576" spans="4:18" x14ac:dyDescent="0.25">
      <c r="D576" s="118" t="str">
        <v>GWPN2O</v>
      </c>
      <c r="E576" s="119" t="str">
        <v>Global warming potential for nitrous oxide (t CO2-e / t N2O)</v>
      </c>
      <c r="F576" s="120"/>
      <c r="G576" s="25">
        <f>Common_InputFunctions.Utility_LookupValueInTableNumber("N2O",Table_GWPData[Gas],Table_GWPData[CO2-e factor])</f>
        <v>265</v>
      </c>
      <c r="L576" s="118" t="str">
        <v>GWPN2O</v>
      </c>
      <c r="M576" s="119" t="str">
        <v>Global warming potential for nitrous oxide (t CO2-e / t N2O)</v>
      </c>
      <c r="N576" s="120"/>
      <c r="O576" s="25">
        <f>Common_InputFunctions.Utility_LookupValueInTableNumber("N2O",Table_GWPData[Gas],Table_GWPData[CO2-e factor])</f>
        <v>265</v>
      </c>
    </row>
    <row r="578" spans="3:41" ht="18.75" x14ac:dyDescent="0.25">
      <c r="D578" s="114" t="s">
        <v>323</v>
      </c>
      <c r="E578" s="114" cm="1">
        <f t="array" ref="E578">Common_Equations.Common_ConvertN2OToCO2e(G575,G576)</f>
        <v>3.7936642857142857</v>
      </c>
      <c r="F578" s="121" t="str" cm="1">
        <f t="array" ref="F578">Common_Equations.Common_ConvertN2OToCO2e_Unit()</f>
        <v>t CO2e</v>
      </c>
      <c r="L578" s="114" t="s">
        <v>323</v>
      </c>
      <c r="M578" s="114" cm="1">
        <f t="array" ref="M578">Common_Equations.Common_ConvertN2OToCO2e(O575,O576)</f>
        <v>7.5873285714285714</v>
      </c>
      <c r="N578" s="121" t="str" cm="1">
        <f t="array" ref="N578">Common_Equations.Common_ConvertN2OToCO2e_Unit()</f>
        <v>t CO2e</v>
      </c>
    </row>
    <row r="581" spans="3:41" x14ac:dyDescent="0.25">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c r="AA581" s="114"/>
      <c r="AB581" s="114"/>
      <c r="AC581" s="114"/>
      <c r="AD581" s="114"/>
      <c r="AE581" s="114"/>
      <c r="AF581" s="114"/>
      <c r="AG581" s="114"/>
      <c r="AH581" s="114"/>
      <c r="AI581" s="114"/>
      <c r="AJ581" s="114"/>
      <c r="AK581" s="114"/>
      <c r="AL581" s="114"/>
      <c r="AM581" s="114"/>
      <c r="AN581" s="114"/>
      <c r="AO581" s="114"/>
    </row>
    <row r="582" spans="3:41" ht="23.25" x14ac:dyDescent="0.25">
      <c r="D582" s="2" t="str" cm="1">
        <f t="array" ref="D582">Scope3_Equations.VEERG_15_13_1_3__1_EmissionsFromSolidWasteTreatmentFacility_Title()</f>
        <v>Emissions from solid waste sent to a treatment facility</v>
      </c>
    </row>
    <row r="583" spans="3:41" x14ac:dyDescent="0.25">
      <c r="D583" s="27" t="str" cm="1">
        <f t="array" ref="D583">Scope3_Equations.VEERG_15_13_1_3__1_EmissionsFromSolidWasteTreatmentFacility_Source()</f>
        <v>VEERG 2026: 15.13.1.3</v>
      </c>
    </row>
    <row r="585" spans="3:41" x14ac:dyDescent="0.25">
      <c r="D585" s="88" t="s">
        <v>261</v>
      </c>
      <c r="E585" s="1" t="str" cm="1">
        <f t="array" ref="E585">Scope3_Equations.VEERG_15_13_1_3__1_EmissionsFromSolidWasteTreatmentFacility_Variable()</f>
        <v>E</v>
      </c>
    </row>
    <row r="586" spans="3:41" x14ac:dyDescent="0.25">
      <c r="D586" s="88" t="s">
        <v>131</v>
      </c>
      <c r="E586" s="15" t="str" cm="1">
        <f t="array" ref="E586">Scope3_Equations.VEERG_15_13_1_3__1_EmissionsFromSolidWasteTreatmentFacility_Unit()</f>
        <v>t CO2e</v>
      </c>
    </row>
    <row r="588" spans="3:41" ht="20.25" x14ac:dyDescent="0.25">
      <c r="D588" s="264" t="s">
        <v>1173</v>
      </c>
      <c r="E588" s="116">
        <f>VEERG_10_1_1_1__1_EmissionsFromWasteManagement_Scope3_Result_Method1</f>
        <v>441.15000000000003</v>
      </c>
      <c r="F588" s="117" t="str">
        <f>E586</f>
        <v>t CO2e</v>
      </c>
    </row>
    <row r="591" spans="3:41" x14ac:dyDescent="0.25">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c r="AA591" s="114"/>
      <c r="AB591" s="114"/>
      <c r="AC591" s="114"/>
      <c r="AD591" s="114"/>
      <c r="AE591" s="114"/>
      <c r="AF591" s="114"/>
      <c r="AG591" s="114"/>
      <c r="AH591" s="114"/>
      <c r="AI591" s="114"/>
      <c r="AJ591" s="114"/>
      <c r="AK591" s="114"/>
      <c r="AL591" s="114"/>
      <c r="AM591" s="114"/>
      <c r="AN591" s="114"/>
      <c r="AO591" s="114"/>
    </row>
    <row r="592" spans="3:41" ht="23.25" x14ac:dyDescent="0.25">
      <c r="D592" s="2" t="str" cm="1">
        <f t="array" ref="D592">Scope3_Equations.VEERG_15_14_1_1__1_EmbeddedEmissionsFromUpstreamFreight_Title()</f>
        <v>Embedded emissions from upstream freight</v>
      </c>
    </row>
    <row r="593" spans="4:13" x14ac:dyDescent="0.25">
      <c r="D593" s="27" t="str" cm="1">
        <f t="array" ref="D593">Scope3_Equations.VEERG_15_14_1_1__1_EmbeddedEmissionsFromUpstreamFreight_Source()</f>
        <v>VEERG 2026: 15.14.1.1, Equation (1)</v>
      </c>
    </row>
    <row r="594" spans="4:13" x14ac:dyDescent="0.25">
      <c r="D594" s="100" t="s">
        <v>259</v>
      </c>
      <c r="E594" s="100" t="str" cm="1">
        <f t="array" aca="1" ref="E594" ca="1">Common_InputFunctions.Utility_DisplayFunctionName(J609)</f>
        <v>=Scope3_Equations.VEERG_15_14_1_1__1_EmbeddedEmissionsFromUpstreamFreight</v>
      </c>
    </row>
    <row r="598" spans="4:13" x14ac:dyDescent="0.25">
      <c r="D598" s="88" t="s">
        <v>261</v>
      </c>
      <c r="E598" s="1" t="str" cm="1">
        <f t="array" ref="E598">Scope3_Equations.VEERG_15_14_1_1__1_EmbeddedEmissionsFromUpstreamFreight_Variable()</f>
        <v>E</v>
      </c>
    </row>
    <row r="599" spans="4:13" x14ac:dyDescent="0.25">
      <c r="D599" s="88" t="s">
        <v>131</v>
      </c>
      <c r="E599" s="15" t="str" cm="1">
        <f t="array" ref="E599">Scope3_Equations.VEERG_15_14_1_1__1_EmbeddedEmissionsFromUpstreamFreight_Unit()</f>
        <v>t CO2e</v>
      </c>
    </row>
    <row r="601" spans="4:13" x14ac:dyDescent="0.25">
      <c r="D601" s="102" t="str" cm="1">
        <f t="array" ref="D601:E604">_xlfn.CHOOSECOLS(Scope3_Equations.VEERG_15_14_1_1__1_EmbeddedEmissionsFromUpstreamFreight_Arguments(),1,2)</f>
        <v>W_f</v>
      </c>
      <c r="E601" s="103" t="str">
        <v>total mass of goods transported per freight type f</v>
      </c>
      <c r="F601" s="105"/>
      <c r="G601" s="102" t="str" cm="1">
        <f t="array" ref="G601:H604">_xlfn.CHOOSECOLS(Scope3_Equations.VEERG_15_14_1_1__1_EmbeddedEmissionsFromUpstreamFreight_Arguments(),3,4)</f>
        <v>t</v>
      </c>
      <c r="H601" s="261" t="str">
        <v>Input</v>
      </c>
    </row>
    <row r="602" spans="4:13" x14ac:dyDescent="0.25">
      <c r="D602" s="102" t="str">
        <v>D_f</v>
      </c>
      <c r="E602" s="103" t="str">
        <v>total distance transported per freight type f</v>
      </c>
      <c r="F602" s="105"/>
      <c r="G602" s="102" t="str">
        <v>km</v>
      </c>
      <c r="H602" s="261" t="str">
        <v>Input</v>
      </c>
    </row>
    <row r="603" spans="4:13" x14ac:dyDescent="0.25">
      <c r="D603" s="102" t="str">
        <v>EF_f</v>
      </c>
      <c r="E603" s="103" t="str">
        <v>emission factor for freight type f</v>
      </c>
      <c r="F603" s="105"/>
      <c r="G603" s="102" t="str">
        <v>t CO2e/(t km)</v>
      </c>
      <c r="H603" s="107" t="str">
        <v>Constant</v>
      </c>
    </row>
    <row r="604" spans="4:13" x14ac:dyDescent="0.25">
      <c r="D604" s="102" t="str">
        <v>f</v>
      </c>
      <c r="E604" s="103" t="str">
        <v>freight type</v>
      </c>
      <c r="F604" s="105"/>
      <c r="G604" s="102" t="str">
        <v/>
      </c>
      <c r="H604" s="261" t="str">
        <v>Input</v>
      </c>
    </row>
    <row r="606" spans="4:13" ht="18.75" x14ac:dyDescent="0.25">
      <c r="D606" s="246" t="s">
        <v>1040</v>
      </c>
    </row>
    <row r="608" spans="4:13" ht="17.25" x14ac:dyDescent="0.25">
      <c r="D608" s="112" t="s">
        <v>1174</v>
      </c>
      <c r="E608" s="112" t="s">
        <v>1175</v>
      </c>
      <c r="F608" s="112" t="s">
        <v>1176</v>
      </c>
      <c r="G608" s="111" t="s">
        <v>1177</v>
      </c>
      <c r="H608" s="111" t="s">
        <v>1069</v>
      </c>
      <c r="I608" s="112" t="s">
        <v>1117</v>
      </c>
      <c r="J608" s="111" t="s">
        <v>1072</v>
      </c>
      <c r="K608" s="112" t="s">
        <v>1073</v>
      </c>
      <c r="L608" s="112" t="s">
        <v>1074</v>
      </c>
      <c r="M608" s="112" t="s">
        <v>1075</v>
      </c>
    </row>
    <row r="609" spans="4:13" x14ac:dyDescent="0.25">
      <c r="D609" s="25" t="str" cm="1">
        <f t="array" ref="D609:D618">IFERROR(INDEX(Table_Input_FreightIncoming[Route name], _xlfn.SEQUENCE(10)), "")</f>
        <v>Melbourne depot to farm depot weekly</v>
      </c>
      <c r="E609" s="25" cm="1">
        <f t="array" ref="E609:E618">IFERROR(INDEX(Table_Input_FreightIncoming[Average weight of freight per trip (t)], _xlfn.SEQUENCE(10)), "")</f>
        <v>10</v>
      </c>
      <c r="F609" s="25" cm="1">
        <f t="array" ref="F609:F618">IFERROR(INDEX(Table_Input_FreightIncoming[Route distance (km)], _xlfn.SEQUENCE(10))*INDEX(Table_Input_FreightIncoming[Number of trips taken], _xlfn.SEQUENCE(10)), "")</f>
        <v>51272</v>
      </c>
      <c r="G609" s="25" t="s">
        <v>1156</v>
      </c>
      <c r="H609" s="25" t="s">
        <v>1156</v>
      </c>
      <c r="I609" s="86">
        <v>10</v>
      </c>
      <c r="J609" s="25" cm="1">
        <f t="array" ref="J609">Scope3_Equations.VEERG_15_14_1_1__1_EmbeddedEmissionsFromUpstreamFreight(E609,F609,I609)</f>
        <v>5127200</v>
      </c>
      <c r="K609" s="44"/>
      <c r="L609" s="23"/>
      <c r="M609" s="44"/>
    </row>
    <row r="610" spans="4:13" x14ac:dyDescent="0.25">
      <c r="D610" s="25" t="str">
        <v>Fertiliser supplier to farm</v>
      </c>
      <c r="E610" s="25">
        <v>10</v>
      </c>
      <c r="F610" s="25">
        <v>390</v>
      </c>
      <c r="G610" s="25" t="s">
        <v>1156</v>
      </c>
      <c r="H610" s="25" t="s">
        <v>1156</v>
      </c>
      <c r="I610" s="86">
        <v>5</v>
      </c>
      <c r="J610" s="25" cm="1">
        <f t="array" ref="J610">Scope3_Equations.VEERG_15_14_1_1__1_EmbeddedEmissionsFromUpstreamFreight(E610,F610,I610)</f>
        <v>19500</v>
      </c>
      <c r="K610" s="44"/>
      <c r="L610" s="23"/>
      <c r="M610" s="44"/>
    </row>
    <row r="611" spans="4:13" x14ac:dyDescent="0.25">
      <c r="D611" s="25">
        <v>0</v>
      </c>
      <c r="E611" s="25">
        <v>0</v>
      </c>
      <c r="F611" s="25">
        <v>0</v>
      </c>
      <c r="G611" s="25" t="s">
        <v>1156</v>
      </c>
      <c r="H611" s="25" t="s">
        <v>1156</v>
      </c>
      <c r="I611" s="86"/>
      <c r="J611" s="25" cm="1">
        <f t="array" ref="J611">Scope3_Equations.VEERG_15_14_1_1__1_EmbeddedEmissionsFromUpstreamFreight(E611,F611,I611)</f>
        <v>0</v>
      </c>
      <c r="K611" s="44"/>
      <c r="L611" s="23"/>
      <c r="M611" s="44"/>
    </row>
    <row r="612" spans="4:13" x14ac:dyDescent="0.25">
      <c r="D612" s="25">
        <v>0</v>
      </c>
      <c r="E612" s="25">
        <v>0</v>
      </c>
      <c r="F612" s="25">
        <v>0</v>
      </c>
      <c r="G612" s="25" t="s">
        <v>1156</v>
      </c>
      <c r="H612" s="25" t="s">
        <v>1156</v>
      </c>
      <c r="I612" s="86"/>
      <c r="J612" s="25" cm="1">
        <f t="array" ref="J612">Scope3_Equations.VEERG_15_14_1_1__1_EmbeddedEmissionsFromUpstreamFreight(E612,F612,I612)</f>
        <v>0</v>
      </c>
      <c r="K612" s="44"/>
      <c r="L612" s="23"/>
      <c r="M612" s="44"/>
    </row>
    <row r="613" spans="4:13" x14ac:dyDescent="0.25">
      <c r="D613" s="25">
        <v>0</v>
      </c>
      <c r="E613" s="25">
        <v>0</v>
      </c>
      <c r="F613" s="25">
        <v>0</v>
      </c>
      <c r="G613" s="25" t="s">
        <v>1156</v>
      </c>
      <c r="H613" s="25" t="s">
        <v>1156</v>
      </c>
      <c r="I613" s="86"/>
      <c r="J613" s="25" cm="1">
        <f t="array" ref="J613">Scope3_Equations.VEERG_15_14_1_1__1_EmbeddedEmissionsFromUpstreamFreight(E613,F613,I613)</f>
        <v>0</v>
      </c>
      <c r="K613" s="44"/>
      <c r="L613" s="23"/>
      <c r="M613" s="44"/>
    </row>
    <row r="614" spans="4:13" x14ac:dyDescent="0.25">
      <c r="D614" s="25">
        <v>0</v>
      </c>
      <c r="E614" s="25">
        <v>0</v>
      </c>
      <c r="F614" s="25">
        <v>0</v>
      </c>
      <c r="G614" s="25" t="s">
        <v>1156</v>
      </c>
      <c r="H614" s="25" t="s">
        <v>1156</v>
      </c>
      <c r="I614" s="86"/>
      <c r="J614" s="25" cm="1">
        <f t="array" ref="J614">Scope3_Equations.VEERG_15_14_1_1__1_EmbeddedEmissionsFromUpstreamFreight(E614,F614,I614)</f>
        <v>0</v>
      </c>
      <c r="K614" s="44"/>
      <c r="L614" s="23"/>
      <c r="M614" s="44"/>
    </row>
    <row r="615" spans="4:13" x14ac:dyDescent="0.25">
      <c r="D615" s="25">
        <v>0</v>
      </c>
      <c r="E615" s="25">
        <v>0</v>
      </c>
      <c r="F615" s="25">
        <v>0</v>
      </c>
      <c r="G615" s="25" t="s">
        <v>1156</v>
      </c>
      <c r="H615" s="25" t="s">
        <v>1156</v>
      </c>
      <c r="I615" s="86"/>
      <c r="J615" s="25" cm="1">
        <f t="array" ref="J615">Scope3_Equations.VEERG_15_14_1_1__1_EmbeddedEmissionsFromUpstreamFreight(E615,F615,I615)</f>
        <v>0</v>
      </c>
      <c r="K615" s="44"/>
      <c r="L615" s="23"/>
      <c r="M615" s="44"/>
    </row>
    <row r="616" spans="4:13" x14ac:dyDescent="0.25">
      <c r="D616" s="25">
        <v>0</v>
      </c>
      <c r="E616" s="25">
        <v>0</v>
      </c>
      <c r="F616" s="25">
        <v>0</v>
      </c>
      <c r="G616" s="25" t="s">
        <v>1156</v>
      </c>
      <c r="H616" s="25" t="s">
        <v>1156</v>
      </c>
      <c r="I616" s="86"/>
      <c r="J616" s="25" cm="1">
        <f t="array" ref="J616">Scope3_Equations.VEERG_15_14_1_1__1_EmbeddedEmissionsFromUpstreamFreight(E616,F616,I616)</f>
        <v>0</v>
      </c>
      <c r="K616" s="44"/>
      <c r="L616" s="23"/>
      <c r="M616" s="44"/>
    </row>
    <row r="617" spans="4:13" x14ac:dyDescent="0.25">
      <c r="D617" s="25">
        <v>0</v>
      </c>
      <c r="E617" s="25">
        <v>0</v>
      </c>
      <c r="F617" s="25">
        <v>0</v>
      </c>
      <c r="G617" s="25" t="s">
        <v>1156</v>
      </c>
      <c r="H617" s="25" t="s">
        <v>1156</v>
      </c>
      <c r="I617" s="86"/>
      <c r="J617" s="25" cm="1">
        <f t="array" ref="J617">Scope3_Equations.VEERG_15_14_1_1__1_EmbeddedEmissionsFromUpstreamFreight(E617,F617,I617)</f>
        <v>0</v>
      </c>
      <c r="K617" s="44"/>
      <c r="L617" s="23"/>
      <c r="M617" s="44"/>
    </row>
    <row r="618" spans="4:13" x14ac:dyDescent="0.25">
      <c r="D618" s="25">
        <v>0</v>
      </c>
      <c r="E618" s="25">
        <v>0</v>
      </c>
      <c r="F618" s="25">
        <v>0</v>
      </c>
      <c r="G618" s="25" t="s">
        <v>1156</v>
      </c>
      <c r="H618" s="25" t="s">
        <v>1156</v>
      </c>
      <c r="I618" s="86"/>
      <c r="J618" s="25" cm="1">
        <f t="array" ref="J618">Scope3_Equations.VEERG_15_14_1_1__1_EmbeddedEmissionsFromUpstreamFreight(E618,F618,I618)</f>
        <v>0</v>
      </c>
      <c r="K618" s="44"/>
      <c r="L618" s="23"/>
      <c r="M618" s="44"/>
    </row>
    <row r="620" spans="4:13" x14ac:dyDescent="0.25">
      <c r="D620" s="122" t="s">
        <v>1178</v>
      </c>
      <c r="E620" s="114" t="s">
        <v>1156</v>
      </c>
      <c r="F620" s="121" t="str">
        <f>$E$104</f>
        <v>t CO2e</v>
      </c>
    </row>
    <row r="621" spans="4:13" x14ac:dyDescent="0.25">
      <c r="D621" s="122" t="s">
        <v>1179</v>
      </c>
      <c r="E621" s="114">
        <f>SUM(J609:J618)</f>
        <v>5146700</v>
      </c>
      <c r="F621" s="121" t="str">
        <f>$E$104</f>
        <v>t CO2e</v>
      </c>
    </row>
    <row r="624" spans="4:13" ht="18.75" x14ac:dyDescent="0.25">
      <c r="D624" s="246" t="s">
        <v>1050</v>
      </c>
    </row>
    <row r="626" spans="4:13" ht="17.25" x14ac:dyDescent="0.25">
      <c r="D626" s="112" t="s">
        <v>1174</v>
      </c>
      <c r="E626" s="112" t="s">
        <v>1175</v>
      </c>
      <c r="F626" s="112" t="s">
        <v>1176</v>
      </c>
      <c r="G626" s="111" t="s">
        <v>1177</v>
      </c>
      <c r="H626" s="111" t="s">
        <v>1069</v>
      </c>
      <c r="I626" s="112" t="s">
        <v>1117</v>
      </c>
      <c r="J626" s="111" t="s">
        <v>1072</v>
      </c>
      <c r="K626" s="112" t="s">
        <v>1073</v>
      </c>
      <c r="L626" s="112" t="s">
        <v>1074</v>
      </c>
      <c r="M626" s="112" t="s">
        <v>1075</v>
      </c>
    </row>
    <row r="627" spans="4:13" x14ac:dyDescent="0.25">
      <c r="D627" s="25" t="str" cm="1">
        <f t="array" ref="D627:D636">IFERROR(INDEX(Table_Input_FreightOutgoing[Route name], _xlfn.SEQUENCE(10)), "")</f>
        <v>Farm to bulk handler</v>
      </c>
      <c r="E627" s="25" cm="1">
        <f t="array" ref="E627:E636">IFERROR(INDEX(Table_Input_FreightOutgoing[Average weight of freight per trip (t)], _xlfn.SEQUENCE(10)), "")</f>
        <v>20</v>
      </c>
      <c r="F627" s="25" cm="1">
        <f t="array" ref="F627:F636">IFERROR(INDEX(Table_Input_FreightOutgoing[Route distance (km)], _xlfn.SEQUENCE(10))*INDEX(Table_Input_FreightOutgoing[Number of trips taken], _xlfn.SEQUENCE(10)), "")</f>
        <v>3380</v>
      </c>
      <c r="G627" s="25" t="s">
        <v>1156</v>
      </c>
      <c r="H627" s="25" t="s">
        <v>1156</v>
      </c>
      <c r="I627" s="86">
        <v>6.4</v>
      </c>
      <c r="J627" s="25" cm="1">
        <f t="array" ref="J627">Scope3_Equations.VEERG_15_14_1_1__1_EmbeddedEmissionsFromUpstreamFreight(E627,F627,I627)</f>
        <v>432640</v>
      </c>
      <c r="K627" s="44"/>
      <c r="L627" s="23"/>
      <c r="M627" s="44"/>
    </row>
    <row r="628" spans="4:13" x14ac:dyDescent="0.25">
      <c r="D628" s="25">
        <v>0</v>
      </c>
      <c r="E628" s="25">
        <v>0</v>
      </c>
      <c r="F628" s="25">
        <v>0</v>
      </c>
      <c r="G628" s="25" t="s">
        <v>1156</v>
      </c>
      <c r="H628" s="25" t="s">
        <v>1156</v>
      </c>
      <c r="I628" s="86"/>
      <c r="J628" s="25" cm="1">
        <f t="array" ref="J628">Scope3_Equations.VEERG_15_14_1_1__1_EmbeddedEmissionsFromUpstreamFreight(E628,F628,I628)</f>
        <v>0</v>
      </c>
      <c r="K628" s="44"/>
      <c r="L628" s="23"/>
      <c r="M628" s="44"/>
    </row>
    <row r="629" spans="4:13" x14ac:dyDescent="0.25">
      <c r="D629" s="25">
        <v>0</v>
      </c>
      <c r="E629" s="25">
        <v>0</v>
      </c>
      <c r="F629" s="25">
        <v>0</v>
      </c>
      <c r="G629" s="25" t="s">
        <v>1156</v>
      </c>
      <c r="H629" s="25" t="s">
        <v>1156</v>
      </c>
      <c r="I629" s="86"/>
      <c r="J629" s="25" cm="1">
        <f t="array" ref="J629">Scope3_Equations.VEERG_15_14_1_1__1_EmbeddedEmissionsFromUpstreamFreight(E629,F629,I629)</f>
        <v>0</v>
      </c>
      <c r="K629" s="44"/>
      <c r="L629" s="23"/>
      <c r="M629" s="44"/>
    </row>
    <row r="630" spans="4:13" x14ac:dyDescent="0.25">
      <c r="D630" s="25">
        <v>0</v>
      </c>
      <c r="E630" s="25">
        <v>0</v>
      </c>
      <c r="F630" s="25">
        <v>0</v>
      </c>
      <c r="G630" s="25" t="s">
        <v>1156</v>
      </c>
      <c r="H630" s="25" t="s">
        <v>1156</v>
      </c>
      <c r="I630" s="86"/>
      <c r="J630" s="25" cm="1">
        <f t="array" ref="J630">Scope3_Equations.VEERG_15_14_1_1__1_EmbeddedEmissionsFromUpstreamFreight(E630,F630,I630)</f>
        <v>0</v>
      </c>
      <c r="K630" s="44"/>
      <c r="L630" s="23"/>
      <c r="M630" s="44"/>
    </row>
    <row r="631" spans="4:13" x14ac:dyDescent="0.25">
      <c r="D631" s="25">
        <v>0</v>
      </c>
      <c r="E631" s="25">
        <v>0</v>
      </c>
      <c r="F631" s="25">
        <v>0</v>
      </c>
      <c r="G631" s="25" t="s">
        <v>1156</v>
      </c>
      <c r="H631" s="25" t="s">
        <v>1156</v>
      </c>
      <c r="I631" s="86"/>
      <c r="J631" s="25" cm="1">
        <f t="array" ref="J631">Scope3_Equations.VEERG_15_14_1_1__1_EmbeddedEmissionsFromUpstreamFreight(E631,F631,I631)</f>
        <v>0</v>
      </c>
      <c r="K631" s="44"/>
      <c r="L631" s="23"/>
      <c r="M631" s="44"/>
    </row>
    <row r="632" spans="4:13" x14ac:dyDescent="0.25">
      <c r="D632" s="25">
        <v>0</v>
      </c>
      <c r="E632" s="25">
        <v>0</v>
      </c>
      <c r="F632" s="25">
        <v>0</v>
      </c>
      <c r="G632" s="25" t="s">
        <v>1156</v>
      </c>
      <c r="H632" s="25" t="s">
        <v>1156</v>
      </c>
      <c r="I632" s="86"/>
      <c r="J632" s="25" cm="1">
        <f t="array" ref="J632">Scope3_Equations.VEERG_15_14_1_1__1_EmbeddedEmissionsFromUpstreamFreight(E632,F632,I632)</f>
        <v>0</v>
      </c>
      <c r="K632" s="44"/>
      <c r="L632" s="23"/>
      <c r="M632" s="44"/>
    </row>
    <row r="633" spans="4:13" x14ac:dyDescent="0.25">
      <c r="D633" s="25">
        <v>0</v>
      </c>
      <c r="E633" s="25">
        <v>0</v>
      </c>
      <c r="F633" s="25">
        <v>0</v>
      </c>
      <c r="G633" s="25" t="s">
        <v>1156</v>
      </c>
      <c r="H633" s="25" t="s">
        <v>1156</v>
      </c>
      <c r="I633" s="86"/>
      <c r="J633" s="25" cm="1">
        <f t="array" ref="J633">Scope3_Equations.VEERG_15_14_1_1__1_EmbeddedEmissionsFromUpstreamFreight(E633,F633,I633)</f>
        <v>0</v>
      </c>
      <c r="K633" s="44"/>
      <c r="L633" s="23"/>
      <c r="M633" s="44"/>
    </row>
    <row r="634" spans="4:13" x14ac:dyDescent="0.25">
      <c r="D634" s="25">
        <v>0</v>
      </c>
      <c r="E634" s="25">
        <v>0</v>
      </c>
      <c r="F634" s="25">
        <v>0</v>
      </c>
      <c r="G634" s="25" t="s">
        <v>1156</v>
      </c>
      <c r="H634" s="25" t="s">
        <v>1156</v>
      </c>
      <c r="I634" s="86"/>
      <c r="J634" s="25" cm="1">
        <f t="array" ref="J634">Scope3_Equations.VEERG_15_14_1_1__1_EmbeddedEmissionsFromUpstreamFreight(E634,F634,I634)</f>
        <v>0</v>
      </c>
      <c r="K634" s="44"/>
      <c r="L634" s="23"/>
      <c r="M634" s="44"/>
    </row>
    <row r="635" spans="4:13" x14ac:dyDescent="0.25">
      <c r="D635" s="25">
        <v>0</v>
      </c>
      <c r="E635" s="25">
        <v>0</v>
      </c>
      <c r="F635" s="25">
        <v>0</v>
      </c>
      <c r="G635" s="25" t="s">
        <v>1156</v>
      </c>
      <c r="H635" s="25" t="s">
        <v>1156</v>
      </c>
      <c r="I635" s="86"/>
      <c r="J635" s="25" cm="1">
        <f t="array" ref="J635">Scope3_Equations.VEERG_15_14_1_1__1_EmbeddedEmissionsFromUpstreamFreight(E635,F635,I635)</f>
        <v>0</v>
      </c>
      <c r="K635" s="44"/>
      <c r="L635" s="23"/>
      <c r="M635" s="44"/>
    </row>
    <row r="636" spans="4:13" x14ac:dyDescent="0.25">
      <c r="D636" s="25">
        <v>0</v>
      </c>
      <c r="E636" s="25">
        <v>0</v>
      </c>
      <c r="F636" s="25">
        <v>0</v>
      </c>
      <c r="G636" s="25" t="s">
        <v>1156</v>
      </c>
      <c r="H636" s="25" t="s">
        <v>1156</v>
      </c>
      <c r="I636" s="86"/>
      <c r="J636" s="25" cm="1">
        <f t="array" ref="J636">Scope3_Equations.VEERG_15_14_1_1__1_EmbeddedEmissionsFromUpstreamFreight(E636,F636,I636)</f>
        <v>0</v>
      </c>
      <c r="K636" s="44"/>
      <c r="L636" s="23"/>
      <c r="M636" s="44"/>
    </row>
    <row r="638" spans="4:13" x14ac:dyDescent="0.25">
      <c r="D638" s="122" t="s">
        <v>1180</v>
      </c>
      <c r="E638" s="114" t="s">
        <v>1156</v>
      </c>
      <c r="F638" s="121" t="str">
        <f>$E$104</f>
        <v>t CO2e</v>
      </c>
    </row>
    <row r="639" spans="4:13" x14ac:dyDescent="0.25">
      <c r="D639" s="122" t="s">
        <v>1181</v>
      </c>
      <c r="E639" s="114">
        <f>SUM(J627:J636)</f>
        <v>432640</v>
      </c>
      <c r="F639" s="121" t="str">
        <f>$E$104</f>
        <v>t CO2e</v>
      </c>
    </row>
    <row r="641" spans="4:6" ht="20.25" x14ac:dyDescent="0.25">
      <c r="D641" s="115" t="s">
        <v>1069</v>
      </c>
      <c r="E641" s="116" t="s">
        <v>1156</v>
      </c>
      <c r="F641" s="117" t="str">
        <f>$E$104</f>
        <v>t CO2e</v>
      </c>
    </row>
    <row r="642" spans="4:6" ht="20.25" x14ac:dyDescent="0.25">
      <c r="D642" s="115" t="s">
        <v>1072</v>
      </c>
      <c r="E642" s="116">
        <f>VEERG_15_14_1_1__1_EmbeddedEmissionsFromUpstreamFreight_Incoming_Result_Method2+VEERG_15_14_1_1__1_EmbeddedEmissionsFromUpstreamFreight_Outgoing_Result_Method2</f>
        <v>5579340</v>
      </c>
      <c r="F642" s="117" t="str">
        <f>$E$104</f>
        <v>t CO2e</v>
      </c>
    </row>
  </sheetData>
  <dataValidations count="2">
    <dataValidation type="list" allowBlank="1" showInputMessage="1" showErrorMessage="1" sqref="J490:J499" xr:uid="{1F03ADA8-8DF7-4EC9-A297-9C7E3B7383E7}">
      <formula1>"kg / amount unit, t / amount unit"</formula1>
    </dataValidation>
    <dataValidation type="list" allowBlank="1" showInputMessage="1" showErrorMessage="1" sqref="L42:L51 L61:L70 L79:L88 L430:L439 L448:L457 K119:K128 L367:L376 K136:K139 K162:K164 O23:O32 M221:M231 L305:L314 K273:K282 N336:N345 M490:M499 M237:M251 M399:M408 K466:K470 K479:K483 L609:L618 L627:L636" xr:uid="{D8D0D59D-3FA5-4461-80DF-9FBFE76494BC}">
      <formula1>INDIRECT("Table_SourceData_DataScores_Scope3[Data source]")</formula1>
    </dataValidation>
  </dataValidation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200A-F079-4027-B66B-4FB3A43005E2}">
  <sheetPr>
    <tabColor theme="9" tint="-0.249977111117893"/>
  </sheetPr>
  <dimension ref="A1:U160"/>
  <sheetViews>
    <sheetView showGridLines="0" topLeftCell="C61"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10" width="35" style="1" customWidth="1"/>
    <col min="11" max="11" width="5.28515625" style="1" customWidth="1"/>
    <col min="12" max="12" width="5.28515625" style="244" customWidth="1"/>
    <col min="13" max="13" width="5.28515625" style="1" customWidth="1"/>
    <col min="14" max="20" width="35" style="1" customWidth="1"/>
    <col min="21" max="21" width="5.28515625" style="1" customWidth="1"/>
    <col min="22" max="16384" width="9.140625" style="244"/>
  </cols>
  <sheetData>
    <row r="1" spans="1:21" ht="30" customHeight="1" x14ac:dyDescent="0.35">
      <c r="A1" s="16" t="e" vm="1">
        <v>#VALUE!</v>
      </c>
      <c r="C1" s="31" t="s">
        <v>1182</v>
      </c>
      <c r="D1" s="31"/>
      <c r="E1" s="31"/>
      <c r="F1" s="31"/>
      <c r="G1" s="31"/>
      <c r="H1" s="31"/>
      <c r="I1" s="31"/>
      <c r="J1" s="31"/>
      <c r="K1" s="31"/>
      <c r="M1" s="31"/>
      <c r="N1" s="31"/>
      <c r="O1" s="31"/>
      <c r="P1" s="31"/>
      <c r="Q1" s="31"/>
      <c r="R1" s="31"/>
      <c r="S1" s="31"/>
      <c r="T1" s="31"/>
      <c r="U1" s="3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33"/>
      <c r="D3" s="33" t="s">
        <v>148</v>
      </c>
      <c r="E3" s="33"/>
      <c r="F3" s="33"/>
      <c r="G3" s="33"/>
      <c r="H3" s="33"/>
      <c r="I3" s="33"/>
      <c r="J3" s="33"/>
      <c r="K3" s="33"/>
      <c r="M3" s="33"/>
      <c r="N3" s="33" t="s">
        <v>149</v>
      </c>
      <c r="O3" s="33"/>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27" t="str" cm="1">
        <f t="array" ref="D6">Fertiliser_Equations_OrganicN2O.VEERG_5_2_1_1__1_OrganicFertiliserApplicationN2OEmissions_Source()</f>
        <v>VEERG 2026: 5.2.1.1, Equation (1)</v>
      </c>
      <c r="N6" s="27" t="str" cm="1">
        <f t="array" ref="N6">Fertiliser_Equations_OrganicN2O.VEERG_5_2_1_1__1_OrganicFertiliserApplicationN2OEmissions_Source()</f>
        <v>VEERG 2026: 5.2.1.1, Equation (1)</v>
      </c>
    </row>
    <row r="7" spans="1:21" ht="20.100000000000001" customHeight="1" x14ac:dyDescent="0.25">
      <c r="A7"/>
      <c r="D7" s="100" t="s">
        <v>259</v>
      </c>
      <c r="E7" s="100" t="str">
        <f ca="1">Common_InputFunctions.Utility_DisplayFunctionName(VEERG_5_2_1_1__1_OrganicFertiliserApplicationN2OEmissions_Result_Method1)</f>
        <v>=Fertiliser_Equations_OrganicN2O.VEERG_5_2_1_1__1_OrganicFertiliserApplicationN2OEmissions</v>
      </c>
      <c r="N7" s="100" t="s">
        <v>259</v>
      </c>
      <c r="O7" s="100"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261</v>
      </c>
      <c r="E10" s="1" t="str" cm="1">
        <f t="array" ref="E10">Fertiliser_Equations_OrganicN2O.VEERG_5_2_1_1__1_OrganicFertiliserApplicationN2OEmissions_Variable()</f>
        <v>E_N2O</v>
      </c>
      <c r="N10" s="88" t="s">
        <v>261</v>
      </c>
      <c r="O10" s="1" t="str" cm="1">
        <f t="array" ref="O10">Fertiliser_Equations_OrganicN2O.VEERG_5_2_1_1__1_OrganicFertiliserApplicationN2OEmissions_Variable()</f>
        <v>E_N2O</v>
      </c>
    </row>
    <row r="11" spans="1:21" ht="20.100000000000001" customHeight="1" x14ac:dyDescent="0.25">
      <c r="A11" s="5" t="str">
        <f>HYPERLINK("#'Input - Pasture Beef'!A1", "Pasture Beef")</f>
        <v>Pasture Beef</v>
      </c>
      <c r="D11" s="88" t="s">
        <v>131</v>
      </c>
      <c r="E11" s="15" t="str" cm="1">
        <f t="array" ref="E11">Fertiliser_Equations_OrganicN2O.VEERG_5_2_1_1__1_OrganicFertiliserApplicationN2OEmissions_Unit()</f>
        <v>t N2O</v>
      </c>
      <c r="N11" s="88" t="s">
        <v>131</v>
      </c>
      <c r="O11" s="15" t="str" cm="1">
        <f t="array" ref="O11">Fertiliser_Equations_OrganicN2O.VEERG_5_2_1_1__1_OrganicFertiliserApplicationN2OEmissions_Unit()</f>
        <v>t N2O</v>
      </c>
    </row>
    <row r="12" spans="1:21" ht="20.100000000000001" customHeight="1" x14ac:dyDescent="0.25">
      <c r="A12" s="5" t="str">
        <f>HYPERLINK("#'Input - Pasture Beef (Enteric)'!A1", "Pasture Beef (Enteric)")</f>
        <v>Pasture Beef (Enteric)</v>
      </c>
    </row>
    <row r="13" spans="1:21" ht="20.100000000000001" customHeight="1" x14ac:dyDescent="0.25">
      <c r="A13" s="5" t="str">
        <f>HYPERLINK("#'Input - Livestock sales'!A1", "Livestock sales")</f>
        <v>Livestock sales</v>
      </c>
      <c r="D13" s="102" t="str" cm="1">
        <f t="array" ref="D13:E17">_xlfn.CHOOSECOLS(Fertiliser_Equations_OrganicN2O.VEERG_5_2_1_1__1_OrganicFertiliserApplicationN2OEmissions_Arguments(), 1, 2)</f>
        <v>MNSoil_jf</v>
      </c>
      <c r="E13" s="103" t="str">
        <v>mass of nitrogen in organic fertiliser type f applied to production system j</v>
      </c>
      <c r="F13" s="104"/>
      <c r="G13" s="105"/>
      <c r="H13" s="102" t="str" cm="1">
        <f t="array" ref="H13:I17">_xlfn.CHOOSECOLS(Fertiliser_Equations_OrganicN2O.VEERG_5_2_1_1__1_OrganicFertiliserApplicationN2OEmissions_Arguments(), 3,4)</f>
        <v>kg N</v>
      </c>
      <c r="I13" s="107" t="str">
        <v>Calculated from 5.2.1.1 (2)</v>
      </c>
      <c r="J13" s="102">
        <f>X_Cell_ManureSentOffsite_MassNitrogenManure_Method1</f>
        <v>1000</v>
      </c>
      <c r="N13" s="102" t="str" cm="1">
        <f t="array" ref="N13:O17">_xlfn.CHOOSECOLS(Fertiliser_Equations_OrganicN2O.VEERG_5_2_1_1__1_OrganicFertiliserApplicationN2OEmissions_Arguments(), 1, 2)</f>
        <v>MNSoil_jf</v>
      </c>
      <c r="O13" s="103" t="str">
        <v>mass of nitrogen in organic fertiliser type f applied to production system j</v>
      </c>
      <c r="P13" s="104"/>
      <c r="Q13" s="105"/>
      <c r="R13" s="102" t="str" cm="1">
        <f t="array" ref="R13:S17">_xlfn.CHOOSECOLS(Fertiliser_Equations_OrganicN2O.VEERG_5_2_1_1__1_OrganicFertiliserApplicationN2OEmissions_Arguments(), 3,4)</f>
        <v>kg N</v>
      </c>
      <c r="S13" s="107" t="str">
        <v>Calculated from 5.2.1.1 (2)</v>
      </c>
      <c r="T13" s="102">
        <f>X_Cell_ManureSentOffsite_MassNitrogenManure_Method2</f>
        <v>2000</v>
      </c>
    </row>
    <row r="14" spans="1:21" ht="20.100000000000001" customHeight="1" x14ac:dyDescent="0.25">
      <c r="A14" s="5" t="str">
        <f>HYPERLINK("#'Input - Beef cattle purchases'!A1", "Beef cattle purchases")</f>
        <v>Beef cattle purchases</v>
      </c>
      <c r="D14" s="102" t="str">
        <v>EF_N2Oi</v>
      </c>
      <c r="E14" s="103" t="str">
        <v>emission factor for direct nitrous oxide emissions from organic fertiliser applied to soils and aquatic systems in climate zone i</v>
      </c>
      <c r="F14" s="104"/>
      <c r="G14" s="105"/>
      <c r="H14" s="102" t="str">
        <v>kg N2O-N/kg N</v>
      </c>
      <c r="I14" s="107" t="str">
        <v>Lookup</v>
      </c>
      <c r="J14" s="102">
        <f>Common_InputFunctions.Utility_LookupValueInTableNumber(J17, Table_SourceData_Common_EFOrganicFertCropResidues[Climate Zone],Table_SourceData_Common_EFOrganicFertCropResidues[EFNi &amp; EFN2Oi])</f>
        <v>5.0000000000000001E-3</v>
      </c>
      <c r="N14" s="102" t="str">
        <v>EF_N2Oi</v>
      </c>
      <c r="O14" s="103" t="str">
        <v>emission factor for direct nitrous oxide emissions from organic fertiliser applied to soils and aquatic systems in climate zone i</v>
      </c>
      <c r="P14" s="104"/>
      <c r="Q14" s="105"/>
      <c r="R14" s="102" t="str">
        <v>kg N2O-N/kg N</v>
      </c>
      <c r="S14" s="107" t="str">
        <v>Lookup</v>
      </c>
      <c r="T14" s="102"/>
    </row>
    <row r="15" spans="1:21" ht="20.100000000000001" customHeight="1" x14ac:dyDescent="0.25">
      <c r="A15" s="5" t="str">
        <f>HYPERLINK("#'Input - Pasture'!A1", "Pasture")</f>
        <v>Pasture</v>
      </c>
      <c r="D15" s="102" t="str">
        <v>C_N2O</v>
      </c>
      <c r="E15" s="103" t="str">
        <v>factor to convert elemental mass of nitrous oxide to molecular mass</v>
      </c>
      <c r="F15" s="104"/>
      <c r="G15" s="105"/>
      <c r="H15" s="102" t="str">
        <v/>
      </c>
      <c r="I15" s="107" t="str">
        <v>Constant</v>
      </c>
      <c r="J15" s="102">
        <f>Common_InputFunctions.Utility_LookupValueInTableNumber("N2O",Table_GasToMolecularConversionFactor[Gas],Table_GasToMolecularConversionFactor[Conversion factor combined])</f>
        <v>1.5714285714285714</v>
      </c>
      <c r="N15" s="102" t="str">
        <v>C_N2O</v>
      </c>
      <c r="O15" s="103" t="str">
        <v>factor to convert elemental mass of nitrous oxide to molecular mass</v>
      </c>
      <c r="P15" s="104"/>
      <c r="Q15" s="105"/>
      <c r="R15" s="102" t="str">
        <v/>
      </c>
      <c r="S15" s="107" t="str">
        <v>Constant</v>
      </c>
      <c r="T15" s="102"/>
    </row>
    <row r="16" spans="1:21" ht="20.100000000000001" customHeight="1" x14ac:dyDescent="0.25">
      <c r="A16" s="5" t="str">
        <f>HYPERLINK("#'Input - Fert Prod System'!A1", "Fert Prod System")</f>
        <v>Fert Prod System</v>
      </c>
      <c r="D16" s="102" t="str">
        <v>j</v>
      </c>
      <c r="E16" s="103" t="str">
        <v>Production system</v>
      </c>
      <c r="F16" s="104"/>
      <c r="G16" s="105"/>
      <c r="H16" s="102" t="str">
        <v/>
      </c>
      <c r="I16" s="261" t="str">
        <v>Input</v>
      </c>
      <c r="J16" s="102" t="str">
        <f>X_Cell_ManureSentOffsite_ManureProductionSystem</f>
        <v>Crop</v>
      </c>
      <c r="N16" s="102" t="str">
        <v>j</v>
      </c>
      <c r="O16" s="103" t="str">
        <v>Production system</v>
      </c>
      <c r="P16" s="104"/>
      <c r="Q16" s="105"/>
      <c r="R16" s="102" t="str">
        <v/>
      </c>
      <c r="S16" s="261" t="str">
        <v>Input</v>
      </c>
      <c r="T16" s="102"/>
    </row>
    <row r="17" spans="1:20" ht="20.100000000000001" customHeight="1" x14ac:dyDescent="0.25">
      <c r="A17" s="5" t="str">
        <f>HYPERLINK("#'Input - Fertiliser'!A1", "Fertiliser")</f>
        <v>Fertiliser</v>
      </c>
      <c r="D17" s="102" t="str">
        <v>i</v>
      </c>
      <c r="E17" s="103" t="str">
        <v>Wet or dry climate zone</v>
      </c>
      <c r="F17" s="104"/>
      <c r="G17" s="105"/>
      <c r="H17" s="102" t="str">
        <v/>
      </c>
      <c r="I17" s="261" t="str">
        <v>Input</v>
      </c>
      <c r="J17" s="102" t="str">
        <f>X_Cell_Site_WetOrDryClimateZone</f>
        <v>Dry climate zone</v>
      </c>
      <c r="N17" s="102" t="str">
        <v>i</v>
      </c>
      <c r="O17" s="103" t="str">
        <v>Wet or dry climate zone</v>
      </c>
      <c r="P17" s="104"/>
      <c r="Q17" s="105"/>
      <c r="R17" s="102" t="str">
        <v/>
      </c>
      <c r="S17" s="261" t="str">
        <v>Input</v>
      </c>
      <c r="T17" s="102"/>
    </row>
    <row r="18" spans="1:20" ht="20.100000000000001" customHeight="1" x14ac:dyDescent="0.25">
      <c r="A18" s="5" t="str">
        <f>HYPERLINK("#'Input - Fuel'!A1", "Fuel")</f>
        <v>Fuel</v>
      </c>
    </row>
    <row r="19" spans="1:20" ht="20.100000000000001" customHeight="1" x14ac:dyDescent="0.25">
      <c r="A19" s="5" t="str">
        <f>HYPERLINK("#'Input - Electricity'!A1", "Electricity")</f>
        <v>Electricity</v>
      </c>
      <c r="D19" s="115" t="s">
        <v>562</v>
      </c>
      <c r="E19" s="116" cm="1">
        <f t="array" ref="E19">Fertiliser_Equations_OrganicN2O.VEERG_5_2_1_1__1_OrganicFertiliserApplicationN2OEmissions(J13,J14,J15)</f>
        <v>7.8571428571428577E-3</v>
      </c>
      <c r="F19" s="117" t="str">
        <f>$E$11</f>
        <v>t N2O</v>
      </c>
      <c r="N19" s="115" t="s">
        <v>562</v>
      </c>
      <c r="O19" s="116" cm="1">
        <f t="array" ref="O19">Fertiliser_Equations_OrganicN2O.VEERG_5_2_1_1__1_OrganicFertiliserApplicationN2OEmissions(T13,J14,J15)</f>
        <v>1.5714285714285715E-2</v>
      </c>
      <c r="P19" s="117" t="str">
        <f>$E$11</f>
        <v>t N2O</v>
      </c>
    </row>
    <row r="20" spans="1:20" ht="20.100000000000001" customHeight="1" x14ac:dyDescent="0.25">
      <c r="A20" s="5" t="str">
        <f>HYPERLINK("#'Input - Farm Inputs'!A1", "Farm Inputs")</f>
        <v>Farm Inputs</v>
      </c>
    </row>
    <row r="21" spans="1:20" ht="20.100000000000001" customHeight="1" x14ac:dyDescent="0.25">
      <c r="A21" s="5" t="str">
        <f>HYPERLINK("#'Input - Freight'!A1", "Freight")</f>
        <v>Freight</v>
      </c>
    </row>
    <row r="22" spans="1:20" ht="20.100000000000001" customHeight="1" x14ac:dyDescent="0.25">
      <c r="A22" s="5" t="str">
        <f>HYPERLINK("#'Input - Manure sent off-site'!A1", "Manure sent off-site")</f>
        <v>Manure sent off-site</v>
      </c>
    </row>
    <row r="23" spans="1:20" ht="20.100000000000001" customHeight="1" x14ac:dyDescent="0.25">
      <c r="A23" s="5" t="str">
        <f>HYPERLINK("#'Input - Solid waste'!A1", "Solid waste")</f>
        <v>Solid waste</v>
      </c>
    </row>
    <row r="24" spans="1:20" ht="20.100000000000001" customHeight="1" x14ac:dyDescent="0.25">
      <c r="A24"/>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c r="D25" s="27" t="str" cm="1">
        <f t="array" ref="D25">Fertiliser_Equations_AtmosphericDeposition.VEERG_5_4_1_3__2_MassOfNitrogenVolatilisedFromOrganicFertiliser_Source()</f>
        <v>VEERG 2026: 5.4.1.3, Equation (2)</v>
      </c>
      <c r="N25" s="27" t="str" cm="1">
        <f t="array" ref="N25">Fertiliser_Equations_AtmosphericDeposition.VEERG_5_4_1_3__2_MassOfNitrogenVolatilisedFromOrganicFertiliser_Source()</f>
        <v>VEERG 2026: 5.4.1.3, Equation (2)</v>
      </c>
    </row>
    <row r="26" spans="1:20" ht="20.100000000000001" customHeight="1" x14ac:dyDescent="0.25">
      <c r="A26" s="6" t="s">
        <v>2</v>
      </c>
      <c r="D26" s="100" t="s">
        <v>259</v>
      </c>
      <c r="E26" s="100" t="str" cm="1">
        <f t="array" aca="1" ref="E26" ca="1">Common_InputFunctions.Utility_DisplayFunctionName(E35)</f>
        <v>=Fertiliser_Equations_AtmosphericDeposition.VEERG_5_4_1_3__2_MassOfNitrogenVolatilisedFromOrganicFertiliser</v>
      </c>
      <c r="N26" s="100" t="s">
        <v>259</v>
      </c>
      <c r="O26" s="100" t="str" cm="1">
        <f t="array" aca="1" ref="O26" ca="1">Common_InputFunctions.Utility_DisplayFunctionName(O35)</f>
        <v>=Fertiliser_Equations_AtmosphericDeposition.VEERG_5_4_1_3__2_MassOfNitrogenVolatilisedFromOrganicFertiliser</v>
      </c>
    </row>
    <row r="27" spans="1:20" ht="20.100000000000001" customHeight="1" x14ac:dyDescent="0.25">
      <c r="A27" s="5" t="str">
        <f>HYPERLINK("#'3.2.1.1-2 Enteric Methane'!A1", "3.2.1.1-2 Enteric methane")</f>
        <v>3.2.1.1-2 Enteric methane</v>
      </c>
    </row>
    <row r="28" spans="1:20" ht="20.100000000000001" customHeight="1" x14ac:dyDescent="0.25">
      <c r="A28" s="5" t="str">
        <f>HYPERLINK("#'4.2.1.1-2 Methane'!A1", "4.2.1.1-2 Manure methane")</f>
        <v>4.2.1.1-2 Manure methane</v>
      </c>
    </row>
    <row r="29" spans="1:20" ht="20.100000000000001" customHeight="1" x14ac:dyDescent="0.25">
      <c r="A29" s="5" t="str">
        <f>HYPERLINK("#'4.2.1.3-4 Soil direct N20'!A1", "4.2.1.3-4 Soil direct N2O")</f>
        <v>4.2.1.3-4 Soil direct N2O</v>
      </c>
      <c r="D29" s="88" t="s">
        <v>261</v>
      </c>
      <c r="E29" s="1" t="str" cm="1">
        <f t="array" ref="E29">Fertiliser_Equations_AtmosphericDeposition.VEERG_5_4_1_3__2_MassOfNitrogenVolatilisedFromOrganicFertiliser_Variable()</f>
        <v>M_volorganicjf</v>
      </c>
      <c r="N29" s="88" t="s">
        <v>261</v>
      </c>
      <c r="O29" s="1" t="str" cm="1">
        <f t="array" ref="O29">Fertiliser_Equations_AtmosphericDeposition.VEERG_5_4_1_3__2_MassOfNitrogenVolatilisedFromOrganicFertiliser_Variable()</f>
        <v>M_volorganicjf</v>
      </c>
    </row>
    <row r="30" spans="1:20" ht="20.100000000000001" customHeight="1" x14ac:dyDescent="0.25">
      <c r="A30" s="5" t="str">
        <f>HYPERLINK("#'4.2.1.5-6 Soil Atmos Dep'!A1", "4.2.1.5-6 Soil atm. deposition")</f>
        <v>4.2.1.5-6 Soil atm. deposition</v>
      </c>
      <c r="D30" s="88" t="s">
        <v>131</v>
      </c>
      <c r="E30" s="15" t="str" cm="1">
        <f t="array" ref="E30">Fertiliser_Equations_AtmosphericDeposition.VEERG_5_4_1_3__2_MassOfNitrogenVolatilisedFromOrganicFertiliser_Unit()</f>
        <v>kg N</v>
      </c>
      <c r="N30" s="88" t="s">
        <v>131</v>
      </c>
      <c r="O30" s="15" t="str" cm="1">
        <f t="array" ref="O30">Fertiliser_Equations_AtmosphericDeposition.VEERG_5_4_1_3__2_MassOfNitrogenVolatilisedFromOrganicFertiliser_Unit()</f>
        <v>kg N</v>
      </c>
    </row>
    <row r="31" spans="1:20" ht="20.100000000000001" customHeight="1" x14ac:dyDescent="0.25">
      <c r="A31" s="5" t="str">
        <f>HYPERLINK("#'4.2.1.7-8 Soil leach runoff'!A1", "4.2.1.7-8 Soil leach &amp; runoff")</f>
        <v>4.2.1.7-8 Soil leach &amp; runoff</v>
      </c>
    </row>
    <row r="32" spans="1:20" ht="20.100000000000001" customHeight="1" x14ac:dyDescent="0.25">
      <c r="A32" s="5" t="str">
        <f>HYPERLINK("#'5.1.1.1-2 Inorganic fert N2O'!A1", "5.1.1.1-2 Inorganic fert N2O")</f>
        <v>5.1.1.1-2 Inorganic fert N2O</v>
      </c>
      <c r="D32" s="102" t="str" cm="1">
        <f t="array" ref="D32:E33">_xlfn.CHOOSECOLS(Fertiliser_Equations_AtmosphericDeposition.VEERG_5_4_1_3__2_MassOfNitrogenVolatilisedFromOrganicFertiliser_Arguments(), 1, 2)</f>
        <v>MNSoil_jf</v>
      </c>
      <c r="E32" s="102" t="str">
        <v>mass of nitrogen in organic fertiliser type f applied to production system j</v>
      </c>
      <c r="F32" s="102"/>
      <c r="G32" s="102" t="str" cm="1">
        <f t="array" ref="G32:H33">_xlfn.CHOOSECOLS(Fertiliser_Equations_AtmosphericDeposition.VEERG_5_4_1_3__2_MassOfNitrogenVolatilisedFromOrganicFertiliser_Arguments(), 3,4)</f>
        <v>kg N</v>
      </c>
      <c r="H32" s="107" t="str">
        <v>Calculated from 5.2.1.1 (2)</v>
      </c>
      <c r="I32" s="102">
        <f>X_Cell_ManureSentOffsite_MassNitrogenManure_Method1</f>
        <v>1000</v>
      </c>
      <c r="N32" s="102" t="str" cm="1">
        <f t="array" ref="N32:O33">_xlfn.CHOOSECOLS(Fertiliser_Equations_AtmosphericDeposition.VEERG_5_4_1_3__2_MassOfNitrogenVolatilisedFromOrganicFertiliser_Arguments(), 1, 2)</f>
        <v>MNSoil_jf</v>
      </c>
      <c r="O32" s="102" t="str">
        <v>mass of nitrogen in organic fertiliser type f applied to production system j</v>
      </c>
      <c r="P32" s="102"/>
      <c r="Q32" s="102" t="str" cm="1">
        <f t="array" ref="Q32:R33">_xlfn.CHOOSECOLS(Fertiliser_Equations_AtmosphericDeposition.VEERG_5_4_1_3__2_MassOfNitrogenVolatilisedFromOrganicFertiliser_Arguments(), 3,4)</f>
        <v>kg N</v>
      </c>
      <c r="R32" s="107" t="str">
        <v>Calculated from 5.2.1.1 (2)</v>
      </c>
      <c r="S32" s="102">
        <f>X_Cell_ManureSentOffsite_MassNitrogenManure_Method2</f>
        <v>2000</v>
      </c>
    </row>
    <row r="33" spans="1:19" ht="20.100000000000001" customHeight="1" x14ac:dyDescent="0.25">
      <c r="A33" s="5" t="str">
        <f>HYPERLINK("#'5.1.1.3-4 Inorganic fert CO2'!A1", "5.1.1.3-4 Inorganic fert CO2")</f>
        <v>5.1.1.3-4 Inorganic fert CO2</v>
      </c>
      <c r="D33" s="102" t="str">
        <v>FracGASM_soil</v>
      </c>
      <c r="E33" s="102" t="str">
        <v>fraction of organic fertiliser N that volatilises</v>
      </c>
      <c r="F33" s="102"/>
      <c r="G33" s="102" t="str">
        <v>(kg NH3-N + NOx-N)/kg N</v>
      </c>
      <c r="H33" s="107" t="str">
        <v>Constant</v>
      </c>
      <c r="I33" s="102">
        <f>Fertiliser_FracGASMSoil_Data</f>
        <v>0.21</v>
      </c>
      <c r="N33" s="102" t="str">
        <v>FracGASM_soil</v>
      </c>
      <c r="O33" s="102" t="str">
        <v>fraction of organic fertiliser N that volatilises</v>
      </c>
      <c r="P33" s="102"/>
      <c r="Q33" s="102" t="str">
        <v>(kg NH3-N + NOx-N)/kg N</v>
      </c>
      <c r="R33" s="107" t="str">
        <v>Constant</v>
      </c>
      <c r="S33" s="102"/>
    </row>
    <row r="34" spans="1:19" ht="20.100000000000001" customHeight="1" x14ac:dyDescent="0.25">
      <c r="A34" s="5" t="str">
        <f>HYPERLINK("#'5.2.1.1-2 Organic Fert N2O'!A1", "5.2.1.1-2 Organic fert N2O")</f>
        <v>5.2.1.1-2 Organic fert N2O</v>
      </c>
    </row>
    <row r="35" spans="1:19" ht="20.100000000000001" customHeight="1" x14ac:dyDescent="0.25">
      <c r="A35" s="5" t="str">
        <f>HYPERLINK("#'5.3.1.1-2 Lime CO2'!A1", "5.3.1.1-2 Lime CO2")</f>
        <v>5.3.1.1-2 Lime CO2</v>
      </c>
      <c r="D35" s="122" t="s">
        <v>1183</v>
      </c>
      <c r="E35" s="114" cm="1">
        <f t="array" ref="E35">Fertiliser_Equations_AtmosphericDeposition.VEERG_5_4_1_3__2_MassOfNitrogenVolatilisedFromOrganicFertiliser(I32,I33)</f>
        <v>210</v>
      </c>
      <c r="F35" s="121" t="str">
        <f>E30</f>
        <v>kg N</v>
      </c>
      <c r="N35" s="122" t="s">
        <v>1183</v>
      </c>
      <c r="O35" s="114" cm="1">
        <f t="array" ref="O35">Fertiliser_Equations_AtmosphericDeposition.VEERG_5_4_1_3__2_MassOfNitrogenVolatilisedFromOrganicFertiliser(S32,I33)</f>
        <v>420</v>
      </c>
      <c r="P35" s="121" t="str">
        <f>O30</f>
        <v>kg N</v>
      </c>
    </row>
    <row r="36" spans="1:19" ht="20.100000000000001" customHeight="1" x14ac:dyDescent="0.25">
      <c r="A36" s="5" t="str">
        <f>HYPERLINK("#'5.4.1.1-4 Atmos deposition'!A1", "5.4.1.1-4 Atmos. deposition")</f>
        <v>5.4.1.1-4 Atmos. deposition</v>
      </c>
    </row>
    <row r="37" spans="1:19" ht="20.100000000000001" customHeight="1" x14ac:dyDescent="0.25">
      <c r="A37" s="5" t="str">
        <f>HYPERLINK("#'5.5.1.1-2 Leaching and runoff'!A1", "5.5.1.1-2 Leaching &amp; runoff")</f>
        <v>5.5.1.1-2 Leaching &amp; runoff</v>
      </c>
    </row>
    <row r="38" spans="1:19" ht="20.100000000000001" customHeight="1" x14ac:dyDescent="0.25">
      <c r="A38" s="5" t="str">
        <f>HYPERLINK("#'6.2.1.1-2 Pasture residue N2O'!A1", "6.2.1.1-2 Pasture residue N2O")</f>
        <v>6.2.1.1-2 Pasture residue N2O</v>
      </c>
    </row>
    <row r="39" spans="1:19" ht="20.100000000000001" customHeight="1" x14ac:dyDescent="0.25">
      <c r="A39" s="5" t="str">
        <f>HYPERLINK("#'6.3.1.1-2 Leach runoff pasture'!A1", "6.3.1.1-2 Leach &amp; runoff (pasture)")</f>
        <v>6.3.1.1-2 Leach &amp; runoff (pasture)</v>
      </c>
    </row>
    <row r="40" spans="1:19" ht="20.100000000000001" customHeight="1" x14ac:dyDescent="0.25">
      <c r="A40" s="5" t="str">
        <f>HYPERLINK("#'8.1.1.1-2 Transport fuel'!A1", "8.1.1.1-2 Transport fuel")</f>
        <v>8.1.1.1-2 Transport fuel</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HYPERLINK("#'8.2.1.1-2 Stationary fuel'!A1", "8.2.1.1-2 Stationary fuel")</f>
        <v>8.2.1.1-2 Stationary fuel</v>
      </c>
      <c r="D41" s="27" t="str" cm="1">
        <f t="array" ref="D41">Fertiliser_Equations_AtmosphericDeposition.VEERG_5_4_1_3__1_OrganicFertiliserAtmosphericDepositionN2OEmissions_Source()</f>
        <v>VEERG 2026: 5.4.1.3, Equation (1)</v>
      </c>
      <c r="N41" s="27" t="str" cm="1">
        <f t="array" ref="N41">Fertiliser_Equations_AtmosphericDeposition.VEERG_5_4_1_3__1_OrganicFertiliserAtmosphericDepositionN2OEmissions_Source()</f>
        <v>VEERG 2026: 5.4.1.3, Equation (1)</v>
      </c>
    </row>
    <row r="42" spans="1:19" ht="20.100000000000001" customHeight="1" x14ac:dyDescent="0.25">
      <c r="A42" s="5" t="str">
        <f>HYPERLINK("#'14.1.1-2 Purchased electricity'!A1", "14.1.1-2 Purchased electricity")</f>
        <v>14.1.1-2 Purchased electricity</v>
      </c>
      <c r="D42" s="100" t="s">
        <v>259</v>
      </c>
      <c r="E42" s="100" t="str">
        <f ca="1">Common_InputFunctions.Utility_DisplayFunctionName(VEERG_5_4_1_3__1_OrganicFertiliserAtmosphericDepositionN2OEmissions_Result_Method1)</f>
        <v>=Fertiliser_Equations_AtmosphericDeposition.VEERG_5_4_1_3__1_OrganicFertiliserAtmosphericDepositionN2OEmissions</v>
      </c>
      <c r="N42" s="100" t="s">
        <v>259</v>
      </c>
      <c r="O42" s="100"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HYPERLINK("#'15 Scope 3'!A1", "15 Scope 3")</f>
        <v>15 Scope 3</v>
      </c>
    </row>
    <row r="44" spans="1:19" ht="20.100000000000001" customHeight="1" x14ac:dyDescent="0.25">
      <c r="A44" s="101" t="str">
        <f>HYPERLINK("#'Calcs - Manure sent off-site'!A1", "Calcs - Manure sent off-site")</f>
        <v>Calcs - Manure sent off-site</v>
      </c>
    </row>
    <row r="45" spans="1:19" ht="20.100000000000001" customHeight="1" x14ac:dyDescent="0.25">
      <c r="A45" s="5" t="str">
        <f>HYPERLINK("#'10.1.1-2 Solid waste treatment'!A1", "10.1.1-2 Solid waste treatment")</f>
        <v>10.1.1-2 Solid waste treatment</v>
      </c>
      <c r="D45" s="88" t="s">
        <v>261</v>
      </c>
      <c r="E45" s="1" t="str" cm="1">
        <f t="array" ref="E45">Fertiliser_Equations_AtmosphericDeposition.VEERG_5_4_1_3__1_OrganicFertiliserAtmosphericDepositionN2OEmissions_Variable()</f>
        <v>E_adorganic</v>
      </c>
      <c r="N45" s="88" t="s">
        <v>261</v>
      </c>
      <c r="O45" s="1" t="str" cm="1">
        <f t="array" ref="O45">Fertiliser_Equations_AtmosphericDeposition.VEERG_5_4_1_3__1_OrganicFertiliserAtmosphericDepositionN2OEmissions_Variable()</f>
        <v>E_adorganic</v>
      </c>
    </row>
    <row r="46" spans="1:19" ht="20.100000000000001" customHeight="1" x14ac:dyDescent="0.25">
      <c r="A46"/>
      <c r="D46" s="88" t="s">
        <v>131</v>
      </c>
      <c r="E46" s="15" t="str" cm="1">
        <f t="array" ref="E46">Fertiliser_Equations_AtmosphericDeposition.VEERG_5_4_1_3__1_OrganicFertiliserAtmosphericDepositionN2OEmissions_Unit()</f>
        <v>t N2O</v>
      </c>
      <c r="N46" s="88" t="s">
        <v>131</v>
      </c>
      <c r="O46" s="15" t="str" cm="1">
        <f t="array" ref="O46">Fertiliser_Equations_AtmosphericDeposition.VEERG_5_4_1_3__1_OrganicFertiliserAtmosphericDepositionN2OEmissions_Unit()</f>
        <v>t N2O</v>
      </c>
    </row>
    <row r="47" spans="1:19" ht="20.100000000000001" customHeight="1" x14ac:dyDescent="0.25">
      <c r="A47"/>
    </row>
    <row r="48" spans="1:19" ht="20.100000000000001" customHeight="1" x14ac:dyDescent="0.25">
      <c r="A48" s="97" t="s">
        <v>1</v>
      </c>
      <c r="D48" s="102" t="str" cm="1">
        <f t="array" ref="D48:E53">_xlfn.CHOOSECOLS(Fertiliser_Equations_AtmosphericDeposition.VEERG_5_4_1_3__1_OrganicFertiliserAtmosphericDepositionN2OEmissions_Arguments(), 1, 2)</f>
        <v>M_volorganicjf</v>
      </c>
      <c r="E48" s="103" t="str">
        <v>mass of nitrogen volatilised from organic fertiliser applied to production system</v>
      </c>
      <c r="F48" s="105"/>
      <c r="G48" s="102" t="str" cm="1">
        <f t="array" ref="G48:H53">_xlfn.CHOOSECOLS(Fertiliser_Equations_AtmosphericDeposition.VEERG_5_4_1_3__1_OrganicFertiliserAtmosphericDepositionN2OEmissions_Arguments(), 3,4)</f>
        <v>kg N</v>
      </c>
      <c r="H48" s="107" t="str">
        <v>Calculated from 5.4.1.3 (2)</v>
      </c>
      <c r="I48" s="102">
        <f>E35</f>
        <v>210</v>
      </c>
      <c r="N48" s="102" t="str" cm="1">
        <f t="array" ref="N48:O53">_xlfn.CHOOSECOLS(Fertiliser_Equations_AtmosphericDeposition.VEERG_5_4_1_3__1_OrganicFertiliserAtmosphericDepositionN2OEmissions_Arguments(), 1, 2)</f>
        <v>M_volorganicjf</v>
      </c>
      <c r="O48" s="103" t="str">
        <v>mass of nitrogen volatilised from organic fertiliser applied to production system</v>
      </c>
      <c r="P48" s="105"/>
      <c r="Q48" s="102" t="str" cm="1">
        <f t="array" ref="Q48:R53">_xlfn.CHOOSECOLS(Fertiliser_Equations_AtmosphericDeposition.VEERG_5_4_1_3__1_OrganicFertiliserAtmosphericDepositionN2OEmissions_Arguments(), 3,4)</f>
        <v>kg N</v>
      </c>
      <c r="R48" s="107" t="str">
        <v>Calculated from 5.4.1.3 (2)</v>
      </c>
      <c r="S48" s="102">
        <f>O35</f>
        <v>420</v>
      </c>
    </row>
    <row r="49" spans="1:19" ht="20.100000000000001" customHeight="1" x14ac:dyDescent="0.25">
      <c r="A49" s="5" t="str">
        <f>HYPERLINK("#'Constants - Pasture Beef'!A1", "Constants - Pasture Beef")</f>
        <v>Constants - Pasture Beef</v>
      </c>
      <c r="D49" s="102" t="str">
        <v>EF_N2Oj</v>
      </c>
      <c r="E49" s="103" t="str">
        <v>emission factor for atmospheric deposition in production system j</v>
      </c>
      <c r="F49" s="105"/>
      <c r="G49" s="102" t="str">
        <v>kg N2O-N/kg N</v>
      </c>
      <c r="H49" s="107" t="str">
        <v>Constant</v>
      </c>
      <c r="I49" s="102">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02" t="str">
        <v>EF_N2Oj</v>
      </c>
      <c r="O49" s="103" t="str">
        <v>emission factor for atmospheric deposition in production system j</v>
      </c>
      <c r="P49" s="105"/>
      <c r="Q49" s="102" t="str">
        <v>kg N2O-N/kg N</v>
      </c>
      <c r="R49" s="107" t="str">
        <v>Constant</v>
      </c>
      <c r="S49" s="102"/>
    </row>
    <row r="50" spans="1:19" ht="20.100000000000001" customHeight="1" x14ac:dyDescent="0.25">
      <c r="A50" s="5" t="str">
        <f>HYPERLINK("#'Constants - Ag Residue'!A1", "Constants - Ag residue")</f>
        <v>Constants - Ag residue</v>
      </c>
      <c r="D50" s="102" t="str">
        <v>C_N2O</v>
      </c>
      <c r="E50" s="103" t="str">
        <v>factor to convert elemental mass of nitrous oxide to molecular mass</v>
      </c>
      <c r="F50" s="105"/>
      <c r="G50" s="102" t="str">
        <v/>
      </c>
      <c r="H50" s="107" t="str">
        <v>Constant</v>
      </c>
      <c r="I50" s="118">
        <f>Common_InputFunctions.Utility_LookupValueInTableNumber("N2O",Table_GasToMolecularConversionFactor[Gas],Table_GasToMolecularConversionFactor[Conversion factor combined])</f>
        <v>1.5714285714285714</v>
      </c>
      <c r="N50" s="102" t="str">
        <v>C_N2O</v>
      </c>
      <c r="O50" s="103" t="str">
        <v>factor to convert elemental mass of nitrous oxide to molecular mass</v>
      </c>
      <c r="P50" s="105"/>
      <c r="Q50" s="102" t="str">
        <v/>
      </c>
      <c r="R50" s="107" t="str">
        <v>Constant</v>
      </c>
      <c r="S50" s="118"/>
    </row>
    <row r="51" spans="1:19" ht="20.100000000000001" customHeight="1" x14ac:dyDescent="0.25">
      <c r="A51" s="5" t="str">
        <f>HYPERLINK("#'Constants - Common Livestock'!A1", "Constants - Common Livestock")</f>
        <v>Constants - Common Livestock</v>
      </c>
      <c r="D51" s="102" t="str">
        <v>j</v>
      </c>
      <c r="E51" s="103" t="str">
        <v>Production system</v>
      </c>
      <c r="F51" s="105"/>
      <c r="G51" s="102" t="str">
        <v/>
      </c>
      <c r="H51" s="261" t="str">
        <v>Input</v>
      </c>
      <c r="I51" s="102" t="str">
        <f>X_Cell_ManureSentOffsite_ManureProductionSystem</f>
        <v>Crop</v>
      </c>
      <c r="N51" s="102" t="str">
        <v>j</v>
      </c>
      <c r="O51" s="103" t="str">
        <v>Production system</v>
      </c>
      <c r="P51" s="105"/>
      <c r="Q51" s="102" t="str">
        <v/>
      </c>
      <c r="R51" s="261" t="str">
        <v>Input</v>
      </c>
      <c r="S51" s="102"/>
    </row>
    <row r="52" spans="1:19" ht="20.100000000000001" customHeight="1" x14ac:dyDescent="0.25">
      <c r="A52" s="5" t="str">
        <f>HYPERLINK("#'Constants - Electricity'!A1", "Constants - Electricity")</f>
        <v>Constants - Electricity</v>
      </c>
      <c r="D52" s="102" t="str">
        <v>ir</v>
      </c>
      <c r="E52" s="103" t="str">
        <v>irrigation method</v>
      </c>
      <c r="F52" s="105"/>
      <c r="G52" s="102" t="str">
        <v/>
      </c>
      <c r="H52" s="261" t="str">
        <v>Input</v>
      </c>
      <c r="I52" s="102" t="str">
        <f>X_Cell_ManureSentOffsite_ManureIrrigationMethod</f>
        <v>Sprinkler irrigation</v>
      </c>
      <c r="N52" s="102" t="str">
        <v>ir</v>
      </c>
      <c r="O52" s="103" t="str">
        <v>irrigation method</v>
      </c>
      <c r="P52" s="105"/>
      <c r="Q52" s="102" t="str">
        <v/>
      </c>
      <c r="R52" s="261" t="str">
        <v>Input</v>
      </c>
      <c r="S52" s="102"/>
    </row>
    <row r="53" spans="1:19" ht="20.100000000000001" customHeight="1" x14ac:dyDescent="0.25">
      <c r="A53" s="5" t="str">
        <f>HYPERLINK("#'Constants - Fertiliser'!A1", "Constants - Fertiliser")</f>
        <v>Constants - Fertiliser</v>
      </c>
      <c r="D53" s="102" t="str">
        <v>r</v>
      </c>
      <c r="E53" s="103" t="str">
        <v>rainfall region</v>
      </c>
      <c r="F53" s="105"/>
      <c r="G53" s="102" t="str">
        <v/>
      </c>
      <c r="H53" s="261" t="str">
        <v>Input</v>
      </c>
      <c r="I53" s="102" t="str">
        <f>X_Cell_Site_RainfallZone</f>
        <v>High rainfall</v>
      </c>
      <c r="N53" s="102" t="str">
        <v>r</v>
      </c>
      <c r="O53" s="103" t="str">
        <v>rainfall region</v>
      </c>
      <c r="P53" s="105"/>
      <c r="Q53" s="102" t="str">
        <v/>
      </c>
      <c r="R53" s="261" t="str">
        <v>Input</v>
      </c>
      <c r="S53" s="102"/>
    </row>
    <row r="54" spans="1:19" ht="20.100000000000001" customHeight="1" x14ac:dyDescent="0.25">
      <c r="A54" s="5" t="str">
        <f>HYPERLINK("#'Constants - Fuel'!A1", "Constants - Fuel")</f>
        <v>Constants - Fuel</v>
      </c>
    </row>
    <row r="55" spans="1:19" ht="20.100000000000001" customHeight="1" x14ac:dyDescent="0.25">
      <c r="A55" s="5" t="str">
        <f>HYPERLINK("#'Constants - Scope 3'!A1", "Constants - Scope 3")</f>
        <v>Constants - Scope 3</v>
      </c>
      <c r="D55" s="115" t="s">
        <v>600</v>
      </c>
      <c r="E55" s="116" cm="1">
        <f t="array" ref="E55">Fertiliser_Equations_AtmosphericDeposition.VEERG_5_4_1_3__1_OrganicFertiliserAtmosphericDepositionN2OEmissions(I48,I49,I50)</f>
        <v>2.31E-3</v>
      </c>
      <c r="F55" s="117" t="str">
        <f>$E$46</f>
        <v>t N2O</v>
      </c>
      <c r="N55" s="115" t="s">
        <v>600</v>
      </c>
      <c r="O55" s="116" cm="1">
        <f t="array" ref="O55">Fertiliser_Equations_AtmosphericDeposition.VEERG_5_4_1_3__1_OrganicFertiliserAtmosphericDepositionN2OEmissions(S48,I49,I50)</f>
        <v>4.62E-3</v>
      </c>
      <c r="P55" s="117" t="str">
        <f>$E$46</f>
        <v>t N2O</v>
      </c>
    </row>
    <row r="56" spans="1:19" ht="20.100000000000001" customHeight="1" x14ac:dyDescent="0.25">
      <c r="A56" s="5" t="str">
        <f>HYPERLINK("#'Constants - Common'!A1", "Constants - Common")</f>
        <v>Constants - Common</v>
      </c>
    </row>
    <row r="57" spans="1:19" ht="20.100000000000001" customHeight="1" x14ac:dyDescent="0.25">
      <c r="A57" s="5" t="str">
        <f>HYPERLINK("#'Acknowledgements'!A1", "Acknowledgements")</f>
        <v>Acknowledgements</v>
      </c>
    </row>
    <row r="58" spans="1:19" ht="20.100000000000001" customHeight="1" x14ac:dyDescent="0.25">
      <c r="A58" s="5" t="str">
        <f>HYPERLINK("#'Constants - Solid Waste'!A1", "Constants - Solid Waste")</f>
        <v>Constants - Solid Waste</v>
      </c>
    </row>
    <row r="59" spans="1:19" ht="20.100000000000001" customHeight="1" x14ac:dyDescent="0.25">
      <c r="A59"/>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c r="D60" s="27" t="str" cm="1">
        <f t="array" ref="D60">Fertiliser_Equations_LeachingAndRunoff.VEERG_5_5_1_1__3_MassOfNitrogenLeachedFromOrganicFertiliser_Source()</f>
        <v>VEERG 2026: 5.5, Equation (3)</v>
      </c>
      <c r="N60" s="27" t="str" cm="1">
        <f t="array" ref="N60">Fertiliser_Equations_LeachingAndRunoff.VEERG_5_5_1_1__3_MassOfNitrogenLeachedFromOrganicFertiliser_Source()</f>
        <v>VEERG 2026: 5.5, Equation (3)</v>
      </c>
    </row>
    <row r="61" spans="1:19" ht="20.100000000000001" customHeight="1" x14ac:dyDescent="0.25">
      <c r="A61"/>
      <c r="D61" s="100" t="s">
        <v>259</v>
      </c>
      <c r="E61" s="100" t="str" cm="1">
        <f t="array" aca="1" ref="E61" ca="1">Common_InputFunctions.Utility_DisplayFunctionName(E74)</f>
        <v>=Fertiliser_Equations_LeachingAndRunoff.VEERG_5_5_1_1__3_MassOfNitrogenLeachedFromOrganicFertiliser</v>
      </c>
      <c r="N61" s="100" t="s">
        <v>259</v>
      </c>
      <c r="O61" s="100"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88" t="s">
        <v>261</v>
      </c>
      <c r="E64" s="1" t="str" cm="1">
        <f t="array" ref="E64">Fertiliser_Equations_LeachingAndRunoff.VEERG_5_5_1_1__3_MassOfNitrogenLeachedFromOrganicFertiliser_Variable()</f>
        <v>M_leachorganicj</v>
      </c>
      <c r="N64" s="88" t="s">
        <v>261</v>
      </c>
      <c r="O64" s="1" t="str" cm="1">
        <f t="array" ref="O64">Fertiliser_Equations_LeachingAndRunoff.VEERG_5_5_1_1__3_MassOfNitrogenLeachedFromOrganicFertiliser_Variable()</f>
        <v>M_leachorganicj</v>
      </c>
    </row>
    <row r="65" spans="1:19" ht="20.100000000000001" customHeight="1" x14ac:dyDescent="0.25">
      <c r="A65"/>
      <c r="D65" s="88" t="s">
        <v>131</v>
      </c>
      <c r="E65" s="15" t="str" cm="1">
        <f t="array" ref="E65">Fertiliser_Equations_LeachingAndRunoff.VEERG_5_5_1_1__3_MassOfNitrogenLeachedFromOrganicFertiliser_Unit()</f>
        <v>kg N</v>
      </c>
      <c r="N65" s="88" t="s">
        <v>131</v>
      </c>
      <c r="O65" s="15"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02" t="str" cm="1">
        <f t="array" ref="D67:E72">_xlfn.CHOOSECOLS(Fertiliser_Equations_LeachingAndRunoff.VEERG_5_5_1_1__3_MassOfNitrogenLeachedFromOrganicFertiliser_Arguments(), 1, 2)</f>
        <v>MNSoil_jf</v>
      </c>
      <c r="E67" s="103" t="str">
        <v>mass of nitrogen in organic fertiliser</v>
      </c>
      <c r="F67" s="105"/>
      <c r="G67" s="102" t="str" cm="1">
        <f t="array" ref="G67:H72">_xlfn.CHOOSECOLS(Fertiliser_Equations_LeachingAndRunoff.VEERG_5_5_1_1__3_MassOfNitrogenLeachedFromOrganicFertiliser_Arguments(), 3,4)</f>
        <v>kg N</v>
      </c>
      <c r="H67" s="107" t="str">
        <v>Calculated from 5.2.1.1 (2)</v>
      </c>
      <c r="I67" s="102">
        <f>X_Cell_ManureSentOffsite_MassNitrogenManure_Method1</f>
        <v>1000</v>
      </c>
      <c r="N67" s="102" t="str" cm="1">
        <f t="array" ref="N67:O72">_xlfn.CHOOSECOLS(Fertiliser_Equations_LeachingAndRunoff.VEERG_5_5_1_1__3_MassOfNitrogenLeachedFromOrganicFertiliser_Arguments(), 1, 2)</f>
        <v>MNSoil_jf</v>
      </c>
      <c r="O67" s="103" t="str">
        <v>mass of nitrogen in organic fertiliser</v>
      </c>
      <c r="P67" s="105"/>
      <c r="Q67" s="102" t="str" cm="1">
        <f t="array" ref="Q67:R72">_xlfn.CHOOSECOLS(Fertiliser_Equations_LeachingAndRunoff.VEERG_5_5_1_1__3_MassOfNitrogenLeachedFromOrganicFertiliser_Arguments(), 3,4)</f>
        <v>kg N</v>
      </c>
      <c r="R67" s="107" t="str">
        <v>Calculated from 5.2.1.1 (2)</v>
      </c>
      <c r="S67" s="102">
        <f>X_Cell_ManureSentOffsite_MassNitrogenManure_Method2</f>
        <v>2000</v>
      </c>
    </row>
    <row r="68" spans="1:19" ht="20.100000000000001" customHeight="1" x14ac:dyDescent="0.25">
      <c r="A68"/>
      <c r="D68" s="102" t="str">
        <v>FracWETj</v>
      </c>
      <c r="E68" s="103" t="str">
        <v>fraction of N available for leaching and runoff</v>
      </c>
      <c r="F68" s="105"/>
      <c r="G68" s="102" t="str">
        <v>fraction</v>
      </c>
      <c r="H68" s="107" t="str">
        <v>Constant</v>
      </c>
      <c r="I68" s="102">
        <f>Common_InputFunctions.CommonCropping_GetFracWET(I70,I72,#REF!,#REF!,Table_SourceData_FracWETIrrigation[Irrigation type i],Table_SourceData_FracWETIrrigation[FracWET])</f>
        <v>1</v>
      </c>
      <c r="N68" s="102" t="str">
        <v>FracWETj</v>
      </c>
      <c r="O68" s="103" t="str">
        <v>fraction of N available for leaching and runoff</v>
      </c>
      <c r="P68" s="105"/>
      <c r="Q68" s="102" t="str">
        <v>fraction</v>
      </c>
      <c r="R68" s="107" t="str">
        <v>Constant</v>
      </c>
      <c r="S68" s="102"/>
    </row>
    <row r="69" spans="1:19" ht="20.100000000000001" customHeight="1" x14ac:dyDescent="0.25">
      <c r="A69"/>
      <c r="D69" s="102" t="str">
        <v>FracLEACH</v>
      </c>
      <c r="E69" s="103" t="str">
        <v>fraction of N that is lost through leaching and runoff</v>
      </c>
      <c r="F69" s="105"/>
      <c r="G69" s="102" t="str">
        <v>fraction</v>
      </c>
      <c r="H69" s="107" t="str">
        <v>Constant</v>
      </c>
      <c r="I69" s="102">
        <f>Fertiliser_FracLEACH_Data</f>
        <v>0.24</v>
      </c>
      <c r="N69" s="102" t="str">
        <v>FracLEACH</v>
      </c>
      <c r="O69" s="103" t="str">
        <v>fraction of N that is lost through leaching and runoff</v>
      </c>
      <c r="P69" s="105"/>
      <c r="Q69" s="102" t="str">
        <v>fraction</v>
      </c>
      <c r="R69" s="107" t="str">
        <v>Constant</v>
      </c>
      <c r="S69" s="102"/>
    </row>
    <row r="70" spans="1:19" ht="20.100000000000001" customHeight="1" x14ac:dyDescent="0.25">
      <c r="A70"/>
      <c r="D70" s="102" t="str">
        <v>z</v>
      </c>
      <c r="E70" s="103" t="str">
        <v>location in leaching zone</v>
      </c>
      <c r="F70" s="105"/>
      <c r="G70" s="102" t="str">
        <v/>
      </c>
      <c r="H70" s="261" t="str">
        <v>Input</v>
      </c>
      <c r="I70" s="102" t="str">
        <f>X_Cell_Site_LeachingZone</f>
        <v>NO - Not in leaching zone</v>
      </c>
      <c r="N70" s="102" t="str">
        <v>z</v>
      </c>
      <c r="O70" s="103" t="str">
        <v>location in leaching zone</v>
      </c>
      <c r="P70" s="105"/>
      <c r="Q70" s="102" t="str">
        <v/>
      </c>
      <c r="R70" s="261" t="str">
        <v>Input</v>
      </c>
      <c r="S70" s="102"/>
    </row>
    <row r="71" spans="1:19" ht="20.100000000000001" customHeight="1" x14ac:dyDescent="0.25">
      <c r="A71"/>
      <c r="D71" s="102" t="str">
        <v>j</v>
      </c>
      <c r="E71" s="103" t="str">
        <v>production system</v>
      </c>
      <c r="F71" s="105"/>
      <c r="G71" s="102" t="str">
        <v/>
      </c>
      <c r="H71" s="261" t="str">
        <v>Input</v>
      </c>
      <c r="I71" s="102" t="str">
        <f>X_Cell_ManureSentOffsite_ManureProductionSystem</f>
        <v>Crop</v>
      </c>
      <c r="N71" s="102" t="str">
        <v>j</v>
      </c>
      <c r="O71" s="103" t="str">
        <v>production system</v>
      </c>
      <c r="P71" s="105"/>
      <c r="Q71" s="102" t="str">
        <v/>
      </c>
      <c r="R71" s="261" t="str">
        <v>Input</v>
      </c>
      <c r="S71" s="102"/>
    </row>
    <row r="72" spans="1:19" ht="20.100000000000001" customHeight="1" x14ac:dyDescent="0.25">
      <c r="A72"/>
      <c r="D72" s="102" t="str">
        <v>ir</v>
      </c>
      <c r="E72" s="103" t="str">
        <v>irrigation method</v>
      </c>
      <c r="F72" s="105"/>
      <c r="G72" s="102" t="str">
        <v/>
      </c>
      <c r="H72" s="261" t="str">
        <v>Input</v>
      </c>
      <c r="I72" s="102" t="str">
        <f>X_Cell_ManureSentOffsite_ManureIrrigationMethod</f>
        <v>Sprinkler irrigation</v>
      </c>
      <c r="N72" s="102" t="str">
        <v>ir</v>
      </c>
      <c r="O72" s="103" t="str">
        <v>irrigation method</v>
      </c>
      <c r="P72" s="105"/>
      <c r="Q72" s="102" t="str">
        <v/>
      </c>
      <c r="R72" s="261" t="str">
        <v>Input</v>
      </c>
      <c r="S72" s="102"/>
    </row>
    <row r="73" spans="1:19" ht="20.100000000000001" customHeight="1" x14ac:dyDescent="0.25">
      <c r="A73"/>
    </row>
    <row r="74" spans="1:19" ht="20.100000000000001" customHeight="1" x14ac:dyDescent="0.25">
      <c r="A74"/>
      <c r="D74" s="122" t="s">
        <v>1184</v>
      </c>
      <c r="E74" s="114" cm="1">
        <f t="array" ref="E74">Fertiliser_Equations_LeachingAndRunoff.VEERG_5_5_1_1__3_MassOfNitrogenLeachedFromOrganicFertiliser(I67,I68,I69)</f>
        <v>240</v>
      </c>
      <c r="F74" s="121" t="str">
        <f>$E$65</f>
        <v>kg N</v>
      </c>
      <c r="N74" s="122" t="s">
        <v>1184</v>
      </c>
      <c r="O74" s="114" cm="1">
        <f t="array" ref="O74">Fertiliser_Equations_LeachingAndRunoff.VEERG_5_5_1_1__3_MassOfNitrogenLeachedFromOrganicFertiliser(S67,I68,I69)</f>
        <v>480</v>
      </c>
      <c r="P74" s="121"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27" t="str" cm="1">
        <f t="array" ref="D78">Fertiliser_Equations_LeachingAndRunoff.VEERG_5_5_1_1__1_FertiliserLeachingAndRunoffN2OEmissions_Source()</f>
        <v>VEERG 2026: 5.5, Equation (1)</v>
      </c>
      <c r="N78" s="27" t="str" cm="1">
        <f t="array" ref="N78">Fertiliser_Equations_LeachingAndRunoff.VEERG_5_5_1_1__1_FertiliserLeachingAndRunoffN2OEmissions_Source()</f>
        <v>VEERG 2026: 5.5, Equation (1)</v>
      </c>
    </row>
    <row r="79" spans="1:19" ht="20.100000000000001" customHeight="1" x14ac:dyDescent="0.25">
      <c r="A79"/>
      <c r="D79" s="100" t="s">
        <v>259</v>
      </c>
      <c r="E79" s="100" t="str">
        <f ca="1">Common_InputFunctions.Utility_DisplayFunctionName(VEERG_5_5_1_1__1_FertiliserLeachingAndRunoffN2OEmissions_Result_Method1)</f>
        <v>=Fertiliser_Equations_LeachingAndRunoff.VEERG_5_5_1_1__1_FertiliserLeachingAndRunoffN2OEmissions</v>
      </c>
      <c r="N79" s="100" t="s">
        <v>259</v>
      </c>
      <c r="O79" s="100"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88" t="s">
        <v>261</v>
      </c>
      <c r="E82" s="1" t="str" cm="1">
        <f t="array" ref="E82">Fertiliser_Equations_LeachingAndRunoff.VEERG_5_5_1_1__1_FertiliserLeachingAndRunoffN2OEmissions_Variable()</f>
        <v>E_fertleach</v>
      </c>
      <c r="N82" s="88" t="s">
        <v>261</v>
      </c>
      <c r="O82" s="1" t="str" cm="1">
        <f t="array" ref="O82">Fertiliser_Equations_LeachingAndRunoff.VEERG_5_5_1_1__1_FertiliserLeachingAndRunoffN2OEmissions_Variable()</f>
        <v>E_fertleach</v>
      </c>
    </row>
    <row r="83" spans="1:20" x14ac:dyDescent="0.25">
      <c r="A83"/>
      <c r="D83" s="88" t="s">
        <v>131</v>
      </c>
      <c r="E83" s="15" t="str" cm="1">
        <f t="array" ref="E83">Fertiliser_Equations_LeachingAndRunoff.VEERG_5_5_1_1__1_FertiliserLeachingAndRunoffN2OEmissions_Unit()</f>
        <v>t N2O</v>
      </c>
      <c r="N83" s="88" t="s">
        <v>131</v>
      </c>
      <c r="O83" s="15" t="str" cm="1">
        <f t="array" ref="O83">Fertiliser_Equations_LeachingAndRunoff.VEERG_5_5_1_1__1_FertiliserLeachingAndRunoffN2OEmissions_Unit()</f>
        <v>t N2O</v>
      </c>
    </row>
    <row r="84" spans="1:20" x14ac:dyDescent="0.25">
      <c r="A84"/>
    </row>
    <row r="85" spans="1:20" x14ac:dyDescent="0.25">
      <c r="A85"/>
      <c r="D85" s="102" t="str" cm="1">
        <f t="array" ref="D85:E88">_xlfn.CHOOSECOLS(Fertiliser_Equations_LeachingAndRunoff.VEERG_5_5_1_1__1_FertiliserLeachingAndRunoffN2OEmissions_Arguments(), 1, 2)</f>
        <v>M_leachinorganicj</v>
      </c>
      <c r="E85" s="103" t="str">
        <v>mass of nitrogen lost through leaching and runoff from inorganic fertiliser application in production system j</v>
      </c>
      <c r="F85" s="104"/>
      <c r="G85" s="105"/>
      <c r="H85" s="102" t="str" cm="1">
        <f t="array" ref="H85:I88">_xlfn.CHOOSECOLS(Fertiliser_Equations_LeachingAndRunoff.VEERG_5_5_1_1__1_FertiliserLeachingAndRunoffN2OEmissions_Arguments(), 3,4)</f>
        <v>kg N</v>
      </c>
      <c r="I85" s="107" t="str">
        <v>Calculated from 5.5.1.1 (2)</v>
      </c>
      <c r="J85" s="102">
        <v>0</v>
      </c>
      <c r="N85" s="102" t="str" cm="1">
        <f t="array" ref="N85:O88">_xlfn.CHOOSECOLS(Fertiliser_Equations_LeachingAndRunoff.VEERG_5_5_1_1__1_FertiliserLeachingAndRunoffN2OEmissions_Arguments(), 1, 2)</f>
        <v>M_leachinorganicj</v>
      </c>
      <c r="O85" s="103" t="str">
        <v>mass of nitrogen lost through leaching and runoff from inorganic fertiliser application in production system j</v>
      </c>
      <c r="P85" s="104"/>
      <c r="Q85" s="105"/>
      <c r="R85" s="102" t="str" cm="1">
        <f t="array" ref="R85:S88">_xlfn.CHOOSECOLS(Fertiliser_Equations_LeachingAndRunoff.VEERG_5_5_1_1__1_FertiliserLeachingAndRunoffN2OEmissions_Arguments(), 3,4)</f>
        <v>kg N</v>
      </c>
      <c r="S85" s="107" t="str">
        <v>Calculated from 5.5.1.1 (2)</v>
      </c>
      <c r="T85" s="102"/>
    </row>
    <row r="86" spans="1:20" x14ac:dyDescent="0.25">
      <c r="A86"/>
      <c r="D86" s="102" t="str">
        <v>M_leachorganicj</v>
      </c>
      <c r="E86" s="103" t="str">
        <v>mass of nitrogen lost through leaching and runoff from organic fertiliser application</v>
      </c>
      <c r="F86" s="104"/>
      <c r="G86" s="105"/>
      <c r="H86" s="102" t="str">
        <v>kg N</v>
      </c>
      <c r="I86" s="107" t="str">
        <v>Calculated from 5.5.1.1 (3)</v>
      </c>
      <c r="J86" s="102">
        <f>E74</f>
        <v>240</v>
      </c>
      <c r="N86" s="102" t="str">
        <v>M_leachorganicj</v>
      </c>
      <c r="O86" s="103" t="str">
        <v>mass of nitrogen lost through leaching and runoff from organic fertiliser application</v>
      </c>
      <c r="P86" s="104"/>
      <c r="Q86" s="105"/>
      <c r="R86" s="102" t="str">
        <v>kg N</v>
      </c>
      <c r="S86" s="107" t="str">
        <v>Calculated from 5.5.1.1 (3)</v>
      </c>
      <c r="T86" s="102">
        <f>O74</f>
        <v>480</v>
      </c>
    </row>
    <row r="87" spans="1:20" x14ac:dyDescent="0.25">
      <c r="A87"/>
      <c r="D87" s="102" t="str">
        <v>EF_leach</v>
      </c>
      <c r="E87" s="103" t="str">
        <v>emission factor for nitrogen leaching and runoff</v>
      </c>
      <c r="F87" s="104"/>
      <c r="G87" s="105"/>
      <c r="H87" s="102" t="str">
        <v>kg N2O-N/kg N</v>
      </c>
      <c r="I87" s="107" t="str">
        <v>Constant</v>
      </c>
      <c r="J87" s="102">
        <f>Fertiliser_EFLeach_Data</f>
        <v>1.0999999999999999E-2</v>
      </c>
      <c r="N87" s="102" t="str">
        <v>EF_leach</v>
      </c>
      <c r="O87" s="103" t="str">
        <v>emission factor for nitrogen leaching and runoff</v>
      </c>
      <c r="P87" s="104"/>
      <c r="Q87" s="105"/>
      <c r="R87" s="102" t="str">
        <v>kg N2O-N/kg N</v>
      </c>
      <c r="S87" s="107" t="str">
        <v>Constant</v>
      </c>
      <c r="T87" s="102"/>
    </row>
    <row r="88" spans="1:20" x14ac:dyDescent="0.25">
      <c r="A88"/>
      <c r="D88" s="102" t="str">
        <v>C_N2O</v>
      </c>
      <c r="E88" s="103" t="str">
        <v>factor to convert elemental mass of nitrous oxide to molecular mass</v>
      </c>
      <c r="F88" s="104"/>
      <c r="G88" s="105"/>
      <c r="H88" s="102" t="str">
        <v/>
      </c>
      <c r="I88" s="107" t="str">
        <v>Constant</v>
      </c>
      <c r="J88" s="118">
        <f>Common_InputFunctions.Utility_LookupValueInTableNumber("N2O",Table_GasToMolecularConversionFactor[Gas],Table_GasToMolecularConversionFactor[Conversion factor combined])</f>
        <v>1.5714285714285714</v>
      </c>
      <c r="N88" s="102" t="str">
        <v>C_N2O</v>
      </c>
      <c r="O88" s="103" t="str">
        <v>factor to convert elemental mass of nitrous oxide to molecular mass</v>
      </c>
      <c r="P88" s="104"/>
      <c r="Q88" s="105"/>
      <c r="R88" s="102" t="str">
        <v/>
      </c>
      <c r="S88" s="107" t="str">
        <v>Constant</v>
      </c>
      <c r="T88" s="118"/>
    </row>
    <row r="89" spans="1:20" x14ac:dyDescent="0.25">
      <c r="A89"/>
    </row>
    <row r="90" spans="1:20" ht="23.25" x14ac:dyDescent="0.25">
      <c r="A90"/>
      <c r="D90" s="115" t="s">
        <v>617</v>
      </c>
      <c r="E90" s="116" cm="1">
        <f t="array" ref="E90">Fertiliser_Equations_LeachingAndRunoff.VEERG_5_5_1_1__1_FertiliserLeachingAndRunoffN2OEmissions(J85,J86,J87,J88)</f>
        <v>4.1485714285714277E-3</v>
      </c>
      <c r="F90" s="117" t="str">
        <f>$E$83</f>
        <v>t N2O</v>
      </c>
      <c r="N90" s="115" t="s">
        <v>617</v>
      </c>
      <c r="O90" s="116" cm="1">
        <f t="array" ref="O90">Fertiliser_Equations_LeachingAndRunoff.VEERG_5_5_1_1__1_FertiliserLeachingAndRunoffN2OEmissions(J85,T86,J87,J88)</f>
        <v>8.2971428571428554E-3</v>
      </c>
      <c r="P90" s="117"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B104-6D79-4B50-86F5-95F76F1BB384}">
  <dimension ref="A1:V483"/>
  <sheetViews>
    <sheetView showGridLines="0" topLeftCell="A436"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370</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HYPERLINK("#'Overview'!A1", "Overview")</f>
        <v>Overview</v>
      </c>
      <c r="M4" s="8"/>
    </row>
    <row r="5" spans="1:21" ht="20.100000000000001" customHeight="1" x14ac:dyDescent="0.25">
      <c r="A5" s="5" t="str">
        <f>HYPERLINK("#'Results'!A1", "Results")</f>
        <v>Results</v>
      </c>
      <c r="D5" s="2" t="s">
        <v>371</v>
      </c>
      <c r="G5" s="2" t="s">
        <v>372</v>
      </c>
      <c r="M5" s="1" t="s">
        <v>373</v>
      </c>
      <c r="O5" s="1" t="s">
        <v>374</v>
      </c>
      <c r="Q5" s="1" t="s">
        <v>375</v>
      </c>
      <c r="S5" s="1" t="s">
        <v>376</v>
      </c>
    </row>
    <row r="6" spans="1:21" ht="20.100000000000001" customHeight="1" x14ac:dyDescent="0.25">
      <c r="M6" s="1"/>
    </row>
    <row r="7" spans="1:21" ht="20.100000000000001" customHeight="1" x14ac:dyDescent="0.25">
      <c r="D7" s="30" t="s">
        <v>188</v>
      </c>
      <c r="G7" s="30" t="s">
        <v>73</v>
      </c>
      <c r="M7" t="s">
        <v>377</v>
      </c>
      <c r="O7" s="30" t="s">
        <v>377</v>
      </c>
      <c r="Q7" s="30" t="s">
        <v>377</v>
      </c>
      <c r="S7" s="30" t="s">
        <v>377</v>
      </c>
    </row>
    <row r="8" spans="1:21" ht="20.100000000000001" customHeight="1" x14ac:dyDescent="0.25">
      <c r="A8" s="7" t="s">
        <v>0</v>
      </c>
      <c r="D8" s="30" t="str">
        <f>'Constants - Common'!$F$187</f>
        <v>Pasture</v>
      </c>
      <c r="G8" s="30" t="s">
        <v>378</v>
      </c>
      <c r="M8" s="30" t="s">
        <v>205</v>
      </c>
      <c r="O8" s="30" t="s">
        <v>379</v>
      </c>
      <c r="Q8" s="30" t="s">
        <v>380</v>
      </c>
      <c r="S8" s="30" t="s">
        <v>381</v>
      </c>
    </row>
    <row r="9" spans="1:21" ht="20.100000000000001" customHeight="1" x14ac:dyDescent="0.25">
      <c r="A9" s="5" t="str">
        <f>HYPERLINK("#'Input - Enterprise'!A1", "Enterprise")</f>
        <v>Enterprise</v>
      </c>
      <c r="D9" s="1" t="str">
        <f>'Constants - Common'!$F$188</f>
        <v>Crop</v>
      </c>
      <c r="G9" s="30" t="s">
        <v>382</v>
      </c>
      <c r="M9" s="30" t="s">
        <v>383</v>
      </c>
      <c r="O9" s="30" t="s">
        <v>384</v>
      </c>
      <c r="Q9" s="30" t="s">
        <v>385</v>
      </c>
    </row>
    <row r="10" spans="1:21" ht="20.100000000000001" customHeight="1" x14ac:dyDescent="0.25">
      <c r="A10" s="5" t="str">
        <f>HYPERLINK("#'Input - Site'!A1", "Site")</f>
        <v>Site</v>
      </c>
      <c r="G10" s="1" t="s">
        <v>242</v>
      </c>
      <c r="M10" s="30" t="s">
        <v>386</v>
      </c>
      <c r="O10" s="30" t="s">
        <v>387</v>
      </c>
      <c r="Q10" s="30" t="s">
        <v>388</v>
      </c>
      <c r="S10" s="1" t="s">
        <v>389</v>
      </c>
    </row>
    <row r="11" spans="1:21" ht="20.100000000000001" customHeight="1" x14ac:dyDescent="0.25">
      <c r="A11" s="5" t="str">
        <f>HYPERLINK("#'Input - Pasture Beef'!A1", "Pasture Beef")</f>
        <v>Pasture Beef</v>
      </c>
      <c r="G11" s="1" t="s">
        <v>390</v>
      </c>
      <c r="M11" s="1"/>
      <c r="Q11" s="30" t="s">
        <v>391</v>
      </c>
    </row>
    <row r="12" spans="1:21" ht="20.100000000000001" customHeight="1" x14ac:dyDescent="0.25">
      <c r="A12" s="5" t="str">
        <f>HYPERLINK("#'Input - Pasture Beef (Enteric)'!A1", "Pasture Beef (Enteric)")</f>
        <v>Pasture Beef (Enteric)</v>
      </c>
      <c r="G12" s="1" t="s">
        <v>392</v>
      </c>
      <c r="M12" s="1"/>
      <c r="S12" s="30" t="s">
        <v>377</v>
      </c>
    </row>
    <row r="13" spans="1:21" ht="20.100000000000001" customHeight="1" x14ac:dyDescent="0.25">
      <c r="A13" s="5" t="str">
        <f>HYPERLINK("#'Input - Livestock sales'!A1", "Livestock sales")</f>
        <v>Livestock sales</v>
      </c>
      <c r="M13" s="1"/>
      <c r="S13" s="30" t="s">
        <v>381</v>
      </c>
    </row>
    <row r="14" spans="1:21" ht="20.100000000000001" customHeight="1" x14ac:dyDescent="0.25">
      <c r="A14" s="5" t="str">
        <f>HYPERLINK("#'Input - Beef cattle purchases'!A1", "Beef cattle purchases")</f>
        <v>Beef cattle purchases</v>
      </c>
      <c r="D14" s="2" t="str" cm="1">
        <f t="array" ref="D14">SourceData_PastureBeef.SourceData_PastureBeef_Liveweight_Title()</f>
        <v>Beef pasture cattle - Liveweight (kg) (Wjkl)</v>
      </c>
      <c r="M14" s="1"/>
    </row>
    <row r="15" spans="1:21" ht="20.100000000000001" customHeight="1" x14ac:dyDescent="0.25">
      <c r="A15" s="5" t="str">
        <f>HYPERLINK("#'Input - Pasture'!A1", "Pasture")</f>
        <v>Pasture</v>
      </c>
      <c r="D15" s="27" t="str" cm="1">
        <f t="array" ref="D15">SourceData_PastureBeef.SourceData_PastureBeef_Liveweight_Source()</f>
        <v>VEERG 2026: Table A.1.2.1</v>
      </c>
      <c r="M15" s="1"/>
      <c r="S15" s="1" t="s">
        <v>393</v>
      </c>
    </row>
    <row r="16" spans="1:21" ht="20.100000000000001" customHeight="1" x14ac:dyDescent="0.25">
      <c r="A16" s="5" t="str">
        <f>HYPERLINK("#'Input - Fert Prod System'!A1", "Fert Prod System")</f>
        <v>Fert Prod System</v>
      </c>
      <c r="D16" s="1" t="str" cm="1">
        <f t="array" ref="D16">SourceData_PastureBeef.SourceData_PastureBeef_Liveweight_Variable()</f>
        <v>Wjkl</v>
      </c>
      <c r="M16" s="1"/>
    </row>
    <row r="17" spans="1:19" ht="20.100000000000001" customHeight="1" x14ac:dyDescent="0.25">
      <c r="A17" s="5" t="str">
        <f>HYPERLINK("#'Input - Fertiliser'!A1", "Fertiliser")</f>
        <v>Fertiliser</v>
      </c>
      <c r="D17" s="15" t="str" cm="1">
        <f t="array" ref="D17">SourceData_PastureBeef.SourceData_PastureBeef_Liveweight_Unit()</f>
        <v>kg</v>
      </c>
      <c r="M17" s="1"/>
      <c r="O17" s="1" t="s">
        <v>394</v>
      </c>
      <c r="S17" s="30" t="s">
        <v>377</v>
      </c>
    </row>
    <row r="18" spans="1:19" ht="20.100000000000001" customHeight="1" x14ac:dyDescent="0.25">
      <c r="A18" s="5" t="str">
        <f>HYPERLINK("#'Input - Fuel'!A1", "Fuel")</f>
        <v>Fuel</v>
      </c>
      <c r="D18" s="30" t="s">
        <v>108</v>
      </c>
      <c r="E18" s="30" t="s">
        <v>377</v>
      </c>
      <c r="F18" s="30" t="s">
        <v>77</v>
      </c>
      <c r="G18" s="30" t="s">
        <v>395</v>
      </c>
      <c r="H18" s="30" t="s">
        <v>396</v>
      </c>
      <c r="I18" s="30" t="s">
        <v>397</v>
      </c>
      <c r="J18" s="30" t="s">
        <v>398</v>
      </c>
      <c r="K18" s="30" t="s">
        <v>399</v>
      </c>
      <c r="L18" s="30" t="s">
        <v>400</v>
      </c>
      <c r="M18" s="30" t="s">
        <v>401</v>
      </c>
      <c r="O18" s="30" t="s">
        <v>402</v>
      </c>
      <c r="S18" s="30" t="s">
        <v>381</v>
      </c>
    </row>
    <row r="19" spans="1:19" ht="20.100000000000001" customHeight="1" x14ac:dyDescent="0.25">
      <c r="A19" s="5" t="str">
        <f>HYPERLINK("#'Input - Electricity'!A1", "Electricity")</f>
        <v>Electricity</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t="s">
        <v>211</v>
      </c>
    </row>
    <row r="20" spans="1:19" ht="20.100000000000001" customHeight="1" x14ac:dyDescent="0.25">
      <c r="A20" s="5" t="str">
        <f>HYPERLINK("#'Input - Farm Inputs'!A1", "Farm Inputs")</f>
        <v>Farm Inputs</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t="s">
        <v>201</v>
      </c>
      <c r="S20" s="1" t="s">
        <v>403</v>
      </c>
    </row>
    <row r="21" spans="1:19" ht="20.100000000000001" customHeight="1" x14ac:dyDescent="0.25">
      <c r="A21" s="5" t="str">
        <f>HYPERLINK("#'Input - Freight'!A1", "Freight")</f>
        <v>Freight</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t="s">
        <v>212</v>
      </c>
    </row>
    <row r="22" spans="1:19" ht="20.100000000000001" customHeight="1" x14ac:dyDescent="0.25">
      <c r="A22" s="5" t="str">
        <f>HYPERLINK("#'Input - Manure sent off-site'!A1", "Manure sent off-site")</f>
        <v>Manure sent off-site</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t="s">
        <v>213</v>
      </c>
      <c r="S22" s="30" t="s">
        <v>377</v>
      </c>
    </row>
    <row r="23" spans="1:19" ht="20.100000000000001" customHeight="1" x14ac:dyDescent="0.25">
      <c r="A23" s="5" t="str">
        <f>HYPERLINK("#'Input - Solid waste'!A1", "Solid waste")</f>
        <v>Solid waste</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t="s">
        <v>214</v>
      </c>
      <c r="S23" s="30" t="s">
        <v>381</v>
      </c>
    </row>
    <row r="24" spans="1:19" ht="20.100000000000001" customHeight="1" x14ac:dyDescent="0.25">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t="s">
        <v>215</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t="s">
        <v>216</v>
      </c>
      <c r="S25" s="1" t="s">
        <v>404</v>
      </c>
    </row>
    <row r="26" spans="1:19" ht="20.100000000000001" customHeight="1" x14ac:dyDescent="0.25">
      <c r="A26" s="6" t="s">
        <v>2</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t="s">
        <v>217</v>
      </c>
    </row>
    <row r="27" spans="1:19" ht="20.100000000000001" customHeight="1" x14ac:dyDescent="0.25">
      <c r="A27" s="5" t="str">
        <f>HYPERLINK("#'3.2.1.1-2 Enteric Methane'!A1", "3.2.1.1-2 Enteric methane")</f>
        <v>3.2.1.1-2 Enteric methane</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t="s">
        <v>218</v>
      </c>
      <c r="S27" s="30" t="s">
        <v>377</v>
      </c>
    </row>
    <row r="28" spans="1:19" ht="20.100000000000001" customHeight="1" x14ac:dyDescent="0.25">
      <c r="A28" s="5" t="str">
        <f>HYPERLINK("#'4.2.1.1-2 Methane'!A1", "4.2.1.1-2 Manure methane")</f>
        <v>4.2.1.1-2 Manure methane</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t="s">
        <v>219</v>
      </c>
      <c r="S28" s="30" t="s">
        <v>381</v>
      </c>
    </row>
    <row r="29" spans="1:19" ht="20.100000000000001" customHeight="1" x14ac:dyDescent="0.25">
      <c r="A29" s="5" t="str">
        <f>HYPERLINK("#'4.2.1.3-4 Soil direct N20'!A1", "4.2.1.3-4 Soil direct N2O")</f>
        <v>4.2.1.3-4 Soil direct N2O</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HYPERLINK("#'4.2.1.5-6 Soil Atmos Dep'!A1", "4.2.1.5-6 Soil atm. deposition")</f>
        <v>4.2.1.5-6 Soil atm. deposition</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HYPERLINK("#'4.2.1.7-8 Soil leach runoff'!A1", "4.2.1.7-8 Soil leach &amp; runoff")</f>
        <v>4.2.1.7-8 Soil leach &amp; runoff</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405</v>
      </c>
    </row>
    <row r="32" spans="1:19" ht="20.100000000000001" customHeight="1" x14ac:dyDescent="0.25">
      <c r="A32" s="5" t="str">
        <f>HYPERLINK("#'5.1.1.1-2 Inorganic fert N2O'!A1", "5.1.1.1-2 Inorganic fert N2O")</f>
        <v>5.1.1.1-2 Inorganic fert N2O</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377</v>
      </c>
      <c r="P32" s="30" t="s">
        <v>406</v>
      </c>
    </row>
    <row r="33" spans="1:16" ht="20.100000000000001" customHeight="1" x14ac:dyDescent="0.25">
      <c r="A33" s="5" t="str">
        <f>HYPERLINK("#'5.1.1.3-4 Inorganic fert CO2'!A1", "5.1.1.3-4 Inorganic fert CO2")</f>
        <v>5.1.1.3-4 Inorganic fert CO2</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407</v>
      </c>
      <c r="P33" s="30" t="s">
        <v>408</v>
      </c>
    </row>
    <row r="34" spans="1:16" ht="20.100000000000001" customHeight="1" x14ac:dyDescent="0.25">
      <c r="A34" s="5" t="str">
        <f>HYPERLINK("#'5.2.1.1-2 Organic Fert N2O'!A1", "5.2.1.1-2 Organic fert N2O")</f>
        <v>5.2.1.1-2 Organic fert N2O</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408</v>
      </c>
      <c r="P34" s="30" t="s">
        <v>408</v>
      </c>
    </row>
    <row r="35" spans="1:16" ht="20.100000000000001" customHeight="1" x14ac:dyDescent="0.25">
      <c r="A35" s="5" t="str">
        <f>HYPERLINK("#'5.3.1.1-2 Lime CO2'!A1", "5.3.1.1-2 Lime CO2")</f>
        <v>5.3.1.1-2 Lime CO2</v>
      </c>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409</v>
      </c>
      <c r="P35" s="30" t="s">
        <v>409</v>
      </c>
    </row>
    <row r="36" spans="1:16" ht="20.100000000000001" customHeight="1" x14ac:dyDescent="0.25">
      <c r="A36" s="5" t="str">
        <f>HYPERLINK("#'5.4.1.1-4 Atmos deposition'!A1", "5.4.1.1-4 Atmos. deposition")</f>
        <v>5.4.1.1-4 Atmos. deposition</v>
      </c>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410</v>
      </c>
      <c r="P36" s="30" t="s">
        <v>410</v>
      </c>
    </row>
    <row r="37" spans="1:16" ht="20.100000000000001" customHeight="1" x14ac:dyDescent="0.25">
      <c r="A37" s="5" t="str">
        <f>HYPERLINK("#'5.5.1.1-2 Leaching and runoff'!A1", "5.5.1.1-2 Leaching &amp; runoff")</f>
        <v>5.5.1.1-2 Leaching &amp; runoff</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411</v>
      </c>
      <c r="P37" s="30" t="s">
        <v>411</v>
      </c>
    </row>
    <row r="38" spans="1:16" ht="20.100000000000001" customHeight="1" x14ac:dyDescent="0.25">
      <c r="A38" s="5" t="str">
        <f>HYPERLINK("#'6.2.1.1-2 Pasture residue N2O'!A1", "6.2.1.1-2 Pasture residue N2O")</f>
        <v>6.2.1.1-2 Pasture residue N2O</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412</v>
      </c>
      <c r="P38" s="30" t="s">
        <v>413</v>
      </c>
    </row>
    <row r="39" spans="1:16" ht="20.100000000000001" customHeight="1" x14ac:dyDescent="0.25">
      <c r="A39" s="5" t="str">
        <f>HYPERLINK("#'6.3.1.1-2 Leach runoff pasture'!A1", "6.3.1.1-2 Leach &amp; runoff (pasture)")</f>
        <v>6.3.1.1-2 Leach &amp; runoff (pasture)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414</v>
      </c>
      <c r="P39" s="30" t="s">
        <v>413</v>
      </c>
    </row>
    <row r="40" spans="1:16" ht="20.100000000000001" customHeight="1" x14ac:dyDescent="0.25">
      <c r="A40" s="5" t="str">
        <f>HYPERLINK("#'8.1.1.1-2 Transport fuel'!A1", "8.1.1.1-2 Transport fuel")</f>
        <v>8.1.1.1-2 Transport fuel</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415</v>
      </c>
      <c r="P40" s="30" t="s">
        <v>413</v>
      </c>
    </row>
    <row r="41" spans="1:16" ht="20.100000000000001" customHeight="1" x14ac:dyDescent="0.25">
      <c r="A41" s="5" t="str">
        <f>HYPERLINK("#'8.2.1.1-2 Stationary fuel'!A1", "8.2.1.1-2 Stationary fuel")</f>
        <v>8.2.1.1-2 Stationary fuel</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416</v>
      </c>
      <c r="P41" s="30" t="s">
        <v>417</v>
      </c>
    </row>
    <row r="42" spans="1:16" ht="20.100000000000001" customHeight="1" x14ac:dyDescent="0.25">
      <c r="A42" s="5" t="str">
        <f>HYPERLINK("#'14.1.1-2 Purchased electricity'!A1", "14.1.1-2 Purchased electricity")</f>
        <v>14.1.1-2 Purchased electricity</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418</v>
      </c>
      <c r="P42" s="30" t="s">
        <v>417</v>
      </c>
    </row>
    <row r="43" spans="1:16" ht="20.100000000000001" customHeight="1" x14ac:dyDescent="0.25">
      <c r="A43" s="5" t="str">
        <f>HYPERLINK("#'15 Scope 3'!A1", "15 Scope 3")</f>
        <v>15 Scope 3</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419</v>
      </c>
      <c r="P43" s="30" t="s">
        <v>417</v>
      </c>
    </row>
    <row r="44" spans="1:16" ht="20.100000000000001" customHeight="1" x14ac:dyDescent="0.25">
      <c r="A44" s="5" t="str">
        <f>HYPERLINK("#'Calcs - Manure sent off-site'!A1", "Calcs - Manure sent off-site")</f>
        <v>Calcs - Manure sent off-site</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420</v>
      </c>
      <c r="P44" s="30" t="s">
        <v>421</v>
      </c>
    </row>
    <row r="45" spans="1:16" ht="20.100000000000001" customHeight="1" x14ac:dyDescent="0.25">
      <c r="A45" s="5" t="str">
        <f>HYPERLINK("#'10.1.1-2 Solid waste treatment'!A1", "10.1.1-2 Solid waste treatment")</f>
        <v>10.1.1-2 Solid waste treatment</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422</v>
      </c>
      <c r="P45" s="30" t="s">
        <v>421</v>
      </c>
    </row>
    <row r="46" spans="1: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423</v>
      </c>
      <c r="P46" s="30" t="s">
        <v>421</v>
      </c>
    </row>
    <row r="47" spans="1:16" ht="20.100000000000001" customHeight="1" x14ac:dyDescent="0.25">
      <c r="M47" s="1"/>
      <c r="O47" s="30" t="s">
        <v>424</v>
      </c>
      <c r="P47" s="30" t="s">
        <v>421</v>
      </c>
    </row>
    <row r="48" spans="1:16" ht="20.100000000000001" customHeight="1" x14ac:dyDescent="0.25">
      <c r="A48" s="97" t="s">
        <v>1</v>
      </c>
      <c r="M48" s="1"/>
      <c r="O48" s="1" t="s">
        <v>425</v>
      </c>
      <c r="P48" s="1" t="s">
        <v>425</v>
      </c>
    </row>
    <row r="49" spans="1:16" ht="20.100000000000001" customHeight="1" x14ac:dyDescent="0.25">
      <c r="A49" s="127" t="str">
        <f>HYPERLINK("#'Constants - Pasture Beef'!A1", "Constants - Pasture Beef")</f>
        <v>Constants - Pasture Beef</v>
      </c>
      <c r="D49" s="2" t="str" cm="1">
        <f t="array" ref="D49">SourceData_PastureBeef.SourceData_PastureBeef_LiveweightNTQLD_Title()</f>
        <v>Beef pasture cattle - Liveweight (kg) (Wjkl) for NT and QLD</v>
      </c>
      <c r="M49" s="1"/>
    </row>
    <row r="50" spans="1:16" ht="20.100000000000001" customHeight="1" x14ac:dyDescent="0.25">
      <c r="A50" s="5" t="str">
        <f>HYPERLINK("#'Constants - Ag Residue'!A1", "Constants - Ag residue")</f>
        <v>Constants - Ag residue</v>
      </c>
      <c r="D50" s="27" t="str" cm="1">
        <f t="array" ref="D50">SourceData_PastureBeef.SourceData_PastureBeef_LiveweightNTQLD_Source()</f>
        <v>VEERG 2026: Table A.1.2.2</v>
      </c>
      <c r="M50" s="1"/>
    </row>
    <row r="51" spans="1:16" ht="20.100000000000001" customHeight="1" x14ac:dyDescent="0.25">
      <c r="A51" s="5" t="str">
        <f>HYPERLINK("#'Constants - Common Livestock'!A1", "Constants - Common Livestock")</f>
        <v>Constants - Common Livestock</v>
      </c>
      <c r="D51" s="1" t="str" cm="1">
        <f t="array" ref="D51">SourceData_PastureBeef.SourceData_PastureBeef_LiveweightNTQLD_Variable()</f>
        <v>Wjkl</v>
      </c>
      <c r="M51" s="1"/>
    </row>
    <row r="52" spans="1:16" ht="20.100000000000001" customHeight="1" x14ac:dyDescent="0.25">
      <c r="A52" s="5" t="str">
        <f>HYPERLINK("#'Constants - Electricity'!A1", "Constants - Electricity")</f>
        <v>Constants - Electricity</v>
      </c>
      <c r="D52" s="15" t="str" cm="1">
        <f t="array" ref="D52">SourceData_PastureBeef.SourceData_PastureBeef_LiveweightNTQLD_Unit()</f>
        <v>kg</v>
      </c>
      <c r="M52" s="1"/>
    </row>
    <row r="53" spans="1:16" ht="20.100000000000001" customHeight="1" x14ac:dyDescent="0.25">
      <c r="A53" s="5" t="str">
        <f>HYPERLINK("#'Constants - Fertiliser'!A1", "Constants - Fertiliser")</f>
        <v>Constants - Fertiliser</v>
      </c>
      <c r="D53" s="30" t="s">
        <v>108</v>
      </c>
      <c r="E53" s="30" t="s">
        <v>377</v>
      </c>
      <c r="F53" s="30" t="s">
        <v>77</v>
      </c>
      <c r="G53" s="30" t="s">
        <v>426</v>
      </c>
      <c r="H53" s="30" t="s">
        <v>427</v>
      </c>
      <c r="I53" s="30" t="s">
        <v>428</v>
      </c>
      <c r="J53" s="30" t="s">
        <v>429</v>
      </c>
      <c r="K53" s="30" t="s">
        <v>430</v>
      </c>
      <c r="L53" s="30" t="s">
        <v>431</v>
      </c>
      <c r="M53" s="30" t="s">
        <v>432</v>
      </c>
      <c r="N53" s="30" t="s">
        <v>433</v>
      </c>
      <c r="O53" s="30" t="s">
        <v>434</v>
      </c>
      <c r="P53" s="30" t="s">
        <v>435</v>
      </c>
    </row>
    <row r="54" spans="1:16" ht="20.100000000000001" customHeight="1" x14ac:dyDescent="0.25">
      <c r="A54" s="5" t="str">
        <f>HYPERLINK("#'Constants - Fuel'!A1", "Constants - Fuel")</f>
        <v>Constants - Fuel</v>
      </c>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s="5" t="str">
        <f>HYPERLINK("#'Constants - Scope 3'!A1", "Constants - Scope 3")</f>
        <v>Constants - Scope 3</v>
      </c>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s="5" t="str">
        <f>HYPERLINK("#'Constants - Common'!A1", "Constants - Common")</f>
        <v>Constants - Common</v>
      </c>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s="5" t="str">
        <f>HYPERLINK("#'Acknowledgements'!A1", "Acknowledgements")</f>
        <v>Acknowledgements</v>
      </c>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s="5" t="str">
        <f>HYPERLINK("#'Constants - Solid Waste'!A1", "Constants - Solid Waste")</f>
        <v>Constants - Solid Waste</v>
      </c>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436</v>
      </c>
      <c r="M84" s="1"/>
    </row>
    <row r="85" spans="4:22" ht="20.100000000000001" customHeight="1" x14ac:dyDescent="0.25">
      <c r="D85" s="30" t="s">
        <v>108</v>
      </c>
      <c r="E85" s="30" t="s">
        <v>377</v>
      </c>
      <c r="F85" s="30" t="s">
        <v>77</v>
      </c>
      <c r="G85" s="128" t="s">
        <v>211</v>
      </c>
      <c r="H85" s="128" t="s">
        <v>201</v>
      </c>
      <c r="I85" s="128" t="s">
        <v>212</v>
      </c>
      <c r="J85" s="128" t="s">
        <v>213</v>
      </c>
      <c r="K85" s="128" t="s">
        <v>214</v>
      </c>
      <c r="L85" s="128" t="s">
        <v>215</v>
      </c>
      <c r="M85" s="128" t="s">
        <v>216</v>
      </c>
      <c r="N85" s="128" t="s">
        <v>217</v>
      </c>
      <c r="O85" s="128" t="s">
        <v>218</v>
      </c>
      <c r="P85" s="128" t="s">
        <v>219</v>
      </c>
      <c r="V85" s="1"/>
    </row>
    <row r="86" spans="4:22" ht="20.100000000000001" customHeight="1" x14ac:dyDescent="0.25">
      <c r="D86" s="30" t="s">
        <v>407</v>
      </c>
      <c r="E86" s="30" t="s">
        <v>381</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407</v>
      </c>
      <c r="E87" s="30" t="s">
        <v>381</v>
      </c>
      <c r="F87" s="30" t="s">
        <v>221</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407</v>
      </c>
      <c r="E88" s="30" t="s">
        <v>381</v>
      </c>
      <c r="F88" s="30" t="s">
        <v>222</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407</v>
      </c>
      <c r="E89" s="30" t="s">
        <v>381</v>
      </c>
      <c r="F89" s="30" t="s">
        <v>223</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408</v>
      </c>
      <c r="E90" s="30" t="s">
        <v>381</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408</v>
      </c>
      <c r="E91" s="30" t="s">
        <v>381</v>
      </c>
      <c r="F91" s="30" t="s">
        <v>221</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408</v>
      </c>
      <c r="E92" s="30" t="s">
        <v>381</v>
      </c>
      <c r="F92" s="30" t="s">
        <v>222</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408</v>
      </c>
      <c r="E93" s="30" t="s">
        <v>381</v>
      </c>
      <c r="F93" s="30" t="s">
        <v>223</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409</v>
      </c>
      <c r="E94" s="30" t="s">
        <v>381</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409</v>
      </c>
      <c r="E95" s="30" t="s">
        <v>381</v>
      </c>
      <c r="F95" s="30" t="s">
        <v>221</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409</v>
      </c>
      <c r="E96" s="30" t="s">
        <v>381</v>
      </c>
      <c r="F96" s="30" t="s">
        <v>222</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409</v>
      </c>
      <c r="E97" s="30" t="s">
        <v>381</v>
      </c>
      <c r="F97" s="30" t="s">
        <v>223</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410</v>
      </c>
      <c r="E98" s="30" t="s">
        <v>381</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410</v>
      </c>
      <c r="E99" s="30" t="s">
        <v>381</v>
      </c>
      <c r="F99" s="30" t="s">
        <v>221</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410</v>
      </c>
      <c r="E100" s="30" t="s">
        <v>381</v>
      </c>
      <c r="F100" s="30" t="s">
        <v>222</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410</v>
      </c>
      <c r="E101" s="30" t="s">
        <v>381</v>
      </c>
      <c r="F101" s="30" t="s">
        <v>223</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411</v>
      </c>
      <c r="E102" s="30" t="s">
        <v>381</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411</v>
      </c>
      <c r="E103" s="30" t="s">
        <v>381</v>
      </c>
      <c r="F103" s="30" t="s">
        <v>221</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411</v>
      </c>
      <c r="E104" s="30" t="s">
        <v>381</v>
      </c>
      <c r="F104" s="30" t="s">
        <v>222</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411</v>
      </c>
      <c r="E105" s="30" t="s">
        <v>381</v>
      </c>
      <c r="F105" s="30" t="s">
        <v>223</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413</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413</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413</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413</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413</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413</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413</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413</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413</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413</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413</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413</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417</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417</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417</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417</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417</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417</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417</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417</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417</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417</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417</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417</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421</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421</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421</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421</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421</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421</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421</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421</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421</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421</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421</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421</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421</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421</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421</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421</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425</v>
      </c>
      <c r="E146" s="1" t="s">
        <v>381</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425</v>
      </c>
      <c r="E147" s="1" t="s">
        <v>381</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425</v>
      </c>
      <c r="E148" s="1" t="s">
        <v>381</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425</v>
      </c>
      <c r="E149" s="1" t="s">
        <v>381</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108</v>
      </c>
      <c r="E154" s="30" t="s">
        <v>377</v>
      </c>
      <c r="F154" s="30" t="s">
        <v>77</v>
      </c>
      <c r="G154" s="30" t="s">
        <v>426</v>
      </c>
      <c r="H154" s="30" t="s">
        <v>427</v>
      </c>
      <c r="I154" s="30" t="s">
        <v>437</v>
      </c>
      <c r="J154" s="30" t="s">
        <v>398</v>
      </c>
      <c r="K154" s="30" t="s">
        <v>438</v>
      </c>
      <c r="L154" s="30" t="s">
        <v>432</v>
      </c>
      <c r="M154" s="30" t="s">
        <v>439</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108</v>
      </c>
      <c r="E189" s="30" t="s">
        <v>377</v>
      </c>
      <c r="F189" s="30" t="s">
        <v>77</v>
      </c>
      <c r="G189" s="30" t="s">
        <v>426</v>
      </c>
      <c r="H189" s="30" t="s">
        <v>427</v>
      </c>
      <c r="I189" s="30" t="s">
        <v>437</v>
      </c>
      <c r="J189" s="30" t="s">
        <v>398</v>
      </c>
      <c r="K189" s="30" t="s">
        <v>440</v>
      </c>
      <c r="L189" s="30" t="s">
        <v>441</v>
      </c>
      <c r="M189" s="30" t="s">
        <v>432</v>
      </c>
      <c r="N189" s="30" t="s">
        <v>433</v>
      </c>
      <c r="O189" s="30" t="s">
        <v>434</v>
      </c>
      <c r="P189" s="30" t="s">
        <v>435</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436</v>
      </c>
      <c r="M220" s="1"/>
    </row>
    <row r="221" spans="4:16" x14ac:dyDescent="0.25">
      <c r="M221" s="1"/>
    </row>
    <row r="222" spans="4:16" x14ac:dyDescent="0.25">
      <c r="D222" s="30" t="s">
        <v>108</v>
      </c>
      <c r="E222" s="30" t="s">
        <v>377</v>
      </c>
      <c r="F222" s="30" t="s">
        <v>77</v>
      </c>
      <c r="G222" s="128" t="s">
        <v>211</v>
      </c>
      <c r="H222" s="128" t="s">
        <v>201</v>
      </c>
      <c r="I222" s="128" t="s">
        <v>212</v>
      </c>
      <c r="J222" s="128" t="s">
        <v>213</v>
      </c>
      <c r="K222" s="128" t="s">
        <v>214</v>
      </c>
      <c r="L222" s="128" t="s">
        <v>215</v>
      </c>
      <c r="M222" s="128" t="s">
        <v>216</v>
      </c>
      <c r="N222" s="128" t="s">
        <v>217</v>
      </c>
      <c r="O222" s="128" t="s">
        <v>218</v>
      </c>
      <c r="P222" s="128" t="s">
        <v>219</v>
      </c>
    </row>
    <row r="223" spans="4:16" x14ac:dyDescent="0.25">
      <c r="D223" s="30" t="s">
        <v>407</v>
      </c>
      <c r="E223" s="30" t="s">
        <v>381</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407</v>
      </c>
      <c r="E224" s="30" t="s">
        <v>381</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407</v>
      </c>
      <c r="E225" s="30" t="s">
        <v>381</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407</v>
      </c>
      <c r="E226" s="30" t="s">
        <v>381</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408</v>
      </c>
      <c r="E227" s="30" t="s">
        <v>381</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408</v>
      </c>
      <c r="E228" s="30" t="s">
        <v>381</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408</v>
      </c>
      <c r="E229" s="30" t="s">
        <v>381</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408</v>
      </c>
      <c r="E230" s="30" t="s">
        <v>381</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409</v>
      </c>
      <c r="E231" s="30" t="s">
        <v>381</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409</v>
      </c>
      <c r="E232" s="30" t="s">
        <v>381</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409</v>
      </c>
      <c r="E233" s="30" t="s">
        <v>381</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409</v>
      </c>
      <c r="E234" s="30" t="s">
        <v>381</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410</v>
      </c>
      <c r="E235" s="30" t="s">
        <v>381</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410</v>
      </c>
      <c r="E236" s="30" t="s">
        <v>381</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410</v>
      </c>
      <c r="E237" s="30" t="s">
        <v>381</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410</v>
      </c>
      <c r="E238" s="30" t="s">
        <v>381</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411</v>
      </c>
      <c r="E239" s="30" t="s">
        <v>381</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411</v>
      </c>
      <c r="E240" s="30" t="s">
        <v>381</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411</v>
      </c>
      <c r="E241" s="30" t="s">
        <v>381</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411</v>
      </c>
      <c r="E242" s="30" t="s">
        <v>381</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413</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413</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413</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413</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413</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413</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413</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413</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413</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413</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413</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413</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417</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417</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417</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417</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417</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417</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417</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417</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417</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417</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417</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417</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421</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421</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421</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421</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421</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421</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421</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421</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421</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421</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421</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421</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421</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421</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421</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421</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108</v>
      </c>
      <c r="E290" s="30" t="s">
        <v>377</v>
      </c>
      <c r="F290" s="30" t="s">
        <v>220</v>
      </c>
      <c r="G290" s="30" t="s">
        <v>221</v>
      </c>
      <c r="H290" s="30" t="s">
        <v>222</v>
      </c>
      <c r="I290" s="30" t="s">
        <v>223</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108</v>
      </c>
      <c r="E313" s="30" t="s">
        <v>377</v>
      </c>
      <c r="F313" s="30" t="s">
        <v>220</v>
      </c>
      <c r="G313" s="30" t="s">
        <v>221</v>
      </c>
      <c r="H313" s="30" t="s">
        <v>222</v>
      </c>
      <c r="I313" s="30" t="s">
        <v>223</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442</v>
      </c>
      <c r="M333" s="1"/>
    </row>
    <row r="334" spans="4:13" x14ac:dyDescent="0.25">
      <c r="D334" s="30" t="s">
        <v>443</v>
      </c>
      <c r="E334" s="30" t="s">
        <v>77</v>
      </c>
      <c r="F334" s="30" t="s">
        <v>444</v>
      </c>
      <c r="G334" s="30" t="s">
        <v>445</v>
      </c>
      <c r="I334" s="30" t="s">
        <v>443</v>
      </c>
      <c r="J334" s="30" t="s">
        <v>77</v>
      </c>
      <c r="K334" s="30" t="s">
        <v>444</v>
      </c>
      <c r="L334" s="30" t="s">
        <v>445</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244</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272</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244</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272</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108</v>
      </c>
      <c r="E350" s="30" t="s">
        <v>446</v>
      </c>
      <c r="F350" s="30" t="s">
        <v>447</v>
      </c>
      <c r="G350" s="30" t="s">
        <v>428</v>
      </c>
      <c r="H350" s="30" t="s">
        <v>429</v>
      </c>
      <c r="I350" s="30" t="s">
        <v>448</v>
      </c>
      <c r="J350" s="30" t="s">
        <v>432</v>
      </c>
      <c r="K350" s="30" t="s">
        <v>439</v>
      </c>
      <c r="L350" s="30" t="s">
        <v>449</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108</v>
      </c>
      <c r="E361" s="128" t="s">
        <v>211</v>
      </c>
      <c r="F361" s="128" t="s">
        <v>201</v>
      </c>
      <c r="G361" s="128" t="s">
        <v>212</v>
      </c>
      <c r="H361" s="128" t="s">
        <v>213</v>
      </c>
      <c r="I361" s="128" t="s">
        <v>214</v>
      </c>
      <c r="J361" s="128" t="s">
        <v>215</v>
      </c>
      <c r="K361" s="128" t="s">
        <v>216</v>
      </c>
      <c r="L361" s="128" t="s">
        <v>217</v>
      </c>
      <c r="M361" s="128" t="s">
        <v>218</v>
      </c>
      <c r="N361" s="128" t="s">
        <v>219</v>
      </c>
      <c r="O361" s="30" t="s">
        <v>449</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9" t="s">
        <v>450</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108</v>
      </c>
      <c r="E377" s="30" t="s">
        <v>377</v>
      </c>
      <c r="F377" s="30" t="s">
        <v>92</v>
      </c>
      <c r="G377" s="30" t="s">
        <v>451</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108</v>
      </c>
      <c r="E400" s="30" t="s">
        <v>377</v>
      </c>
      <c r="F400" s="30" t="s">
        <v>92</v>
      </c>
      <c r="G400" s="30" t="s">
        <v>451</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ht="15" customHeight="1" x14ac:dyDescent="0.25">
      <c r="D442" s="30" t="s">
        <v>452</v>
      </c>
      <c r="E442" s="30" t="s">
        <v>152</v>
      </c>
      <c r="F442" s="30" t="s">
        <v>453</v>
      </c>
      <c r="G442" s="30" t="s">
        <v>454</v>
      </c>
      <c r="H442" s="30" t="s">
        <v>455</v>
      </c>
      <c r="I442" s="30" t="s">
        <v>456</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8906-DC78-40CC-82A2-BCAF418C346E}">
  <dimension ref="A1:AI235"/>
  <sheetViews>
    <sheetView showGridLines="0" topLeftCell="B16"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897</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Agresidue_SourceData.CropPurposeAndYield_Title()</f>
        <v>Crop purpose and yield</v>
      </c>
    </row>
    <row r="6" spans="1:35" ht="20.100000000000001" customHeight="1" x14ac:dyDescent="0.25"/>
    <row r="7" spans="1:35" ht="20.100000000000001" customHeight="1" x14ac:dyDescent="0.25">
      <c r="D7" s="243" t="s">
        <v>898</v>
      </c>
      <c r="E7" s="243" t="s">
        <v>899</v>
      </c>
      <c r="F7" s="243" t="s">
        <v>900</v>
      </c>
      <c r="G7" s="243" t="s">
        <v>901</v>
      </c>
      <c r="H7" s="243" t="s">
        <v>902</v>
      </c>
      <c r="I7" s="243" t="s">
        <v>903</v>
      </c>
      <c r="J7" s="243" t="s">
        <v>904</v>
      </c>
      <c r="K7" s="243" t="s">
        <v>905</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Beef'!A1", "Pasture Beef")</f>
        <v>Pasture Beef</v>
      </c>
    </row>
    <row r="12" spans="1:35" ht="20.100000000000001" customHeight="1" x14ac:dyDescent="0.25">
      <c r="A12" s="5" t="str">
        <f>HYPERLINK("#'Input - Pasture Beef (Enteric)'!A1", "Pasture Beef (Enteric)")</f>
        <v>Pasture Beef (Enteric)</v>
      </c>
    </row>
    <row r="13" spans="1:35" ht="20.100000000000001" customHeight="1" x14ac:dyDescent="0.25">
      <c r="A13" s="5" t="str">
        <f>HYPERLINK("#'Input - Livestock sales'!A1", "Livestock sales")</f>
        <v>Livestock sales</v>
      </c>
    </row>
    <row r="14" spans="1:35" ht="20.100000000000001" customHeight="1" x14ac:dyDescent="0.25">
      <c r="A14" s="5" t="str">
        <f>HYPERLINK("#'Input - Beef cattle purchases'!A1", "Beef cattle purchases")</f>
        <v>Beef cattle purchases</v>
      </c>
    </row>
    <row r="15" spans="1:35" ht="20.100000000000001" customHeight="1" x14ac:dyDescent="0.25">
      <c r="A15" s="5" t="str">
        <f>HYPERLINK("#'Input - Pasture'!A1", "Pasture")</f>
        <v>Pasture</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 Prod System'!A1", "Fert Prod System")</f>
        <v>Fert Prod System</v>
      </c>
      <c r="D16" s="2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Fertiliser'!A1", "Fertiliser")</f>
        <v>Fertiliser</v>
      </c>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Fuel'!A1", "Fuel")</f>
        <v>Fuel</v>
      </c>
      <c r="D18" s="8"/>
      <c r="E18" s="8"/>
      <c r="F18" s="8"/>
      <c r="G18" s="8"/>
      <c r="H18" s="8"/>
      <c r="I18" s="8"/>
      <c r="J18" s="8"/>
      <c r="K18" s="8"/>
      <c r="L18" s="8"/>
    </row>
    <row r="19" spans="1:14" ht="20.100000000000001" customHeight="1" x14ac:dyDescent="0.25">
      <c r="A19" s="5" t="str">
        <f>HYPERLINK("#'Input - Electricity'!A1", "Electricity")</f>
        <v>Electricity</v>
      </c>
      <c r="D19" t="s">
        <v>189</v>
      </c>
      <c r="E19" t="s">
        <v>906</v>
      </c>
      <c r="F19" t="s">
        <v>907</v>
      </c>
      <c r="G19" t="s">
        <v>908</v>
      </c>
      <c r="H19" t="s">
        <v>909</v>
      </c>
      <c r="I19" t="s">
        <v>910</v>
      </c>
      <c r="J19" t="s">
        <v>911</v>
      </c>
      <c r="K19" t="s">
        <v>912</v>
      </c>
      <c r="L19" t="s">
        <v>913</v>
      </c>
      <c r="N19" s="2" t="s">
        <v>372</v>
      </c>
    </row>
    <row r="20" spans="1:14" ht="20.100000000000001" customHeight="1" x14ac:dyDescent="0.25">
      <c r="A20" s="5" t="str">
        <f>HYPERLINK("#'Input - Farm Inputs'!A1", "Farm Inputs")</f>
        <v>Farm Inputs</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Freight'!A1", "Freight")</f>
        <v>Freight</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73</v>
      </c>
    </row>
    <row r="22" spans="1:14" ht="20.100000000000001" customHeight="1" x14ac:dyDescent="0.25">
      <c r="A22" s="5" t="str">
        <f>HYPERLINK("#'Input - Manure sent off-site'!A1", "Manure sent off-site")</f>
        <v>Manure sent off-site</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378</v>
      </c>
    </row>
    <row r="23" spans="1:14" ht="20.100000000000001" customHeight="1" x14ac:dyDescent="0.25">
      <c r="A23" s="5" t="str">
        <f>HYPERLINK("#'Input - Solid waste'!A1", "Solid waste")</f>
        <v>Solid waste</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382</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242</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390</v>
      </c>
    </row>
    <row r="26" spans="1:14" ht="20.100000000000001" customHeight="1" x14ac:dyDescent="0.25">
      <c r="A26" s="6" t="s">
        <v>2</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392</v>
      </c>
    </row>
    <row r="27" spans="1:14" ht="20.100000000000001" customHeight="1" x14ac:dyDescent="0.25">
      <c r="A27" s="5" t="str">
        <f>HYPERLINK("#'3.2.1.1-2 Enteric Methane'!A1", "3.2.1.1-2 Enteric methane")</f>
        <v>3.2.1.1-2 Enteric methane</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HYPERLINK("#'4.2.1.1-2 Methane'!A1", "4.2.1.1-2 Manure methane")</f>
        <v>4.2.1.1-2 Manure methane</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HYPERLINK("#'4.2.1.3-4 Soil direct N20'!A1", "4.2.1.3-4 Soil direct N2O")</f>
        <v>4.2.1.3-4 Soil direct N2O</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HYPERLINK("#'4.2.1.5-6 Soil Atmos Dep'!A1", "4.2.1.5-6 Soil atm. deposition")</f>
        <v>4.2.1.5-6 Soil atm. deposition</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HYPERLINK("#'4.2.1.7-8 Soil leach runoff'!A1", "4.2.1.7-8 Soil leach &amp; runoff")</f>
        <v>4.2.1.7-8 Soil leach &amp; runoff</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HYPERLINK("#'5.1.1.1-2 Inorganic fert N2O'!A1", "5.1.1.1-2 Inorganic fert N2O")</f>
        <v>5.1.1.1-2 Inorganic fert N2O</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HYPERLINK("#'5.1.1.3-4 Inorganic fert CO2'!A1", "5.1.1.3-4 Inorganic fert CO2")</f>
        <v>5.1.1.3-4 Inorganic fert CO2</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HYPERLINK("#'5.2.1.1-2 Organic Fert N2O'!A1", "5.2.1.1-2 Organic fert N2O")</f>
        <v>5.2.1.1-2 Organic fert N2O</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HYPERLINK("#'5.3.1.1-2 Lime CO2'!A1", "5.3.1.1-2 Lime CO2")</f>
        <v>5.3.1.1-2 Lime CO2</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HYPERLINK("#'5.4.1.1-4 Atmos deposition'!A1", "5.4.1.1-4 Atmos. deposition")</f>
        <v>5.4.1.1-4 Atmos. deposition</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HYPERLINK("#'5.5.1.1-2 Leaching and runoff'!A1", "5.5.1.1-2 Leaching &amp; runoff")</f>
        <v>5.5.1.1-2 Leaching &amp; runoff</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HYPERLINK("#'6.2.1.1-2 Pasture residue N2O'!A1", "6.2.1.1-2 Pasture residue N2O")</f>
        <v>6.2.1.1-2 Pasture residue N2O</v>
      </c>
      <c r="D38" s="8"/>
      <c r="E38" s="8"/>
      <c r="F38" s="8"/>
      <c r="G38" s="8"/>
      <c r="H38" s="8"/>
      <c r="I38" s="8"/>
      <c r="J38" s="8"/>
      <c r="K38" s="8"/>
      <c r="L38" s="8"/>
    </row>
    <row r="39" spans="1:13" ht="20.100000000000001" customHeight="1" x14ac:dyDescent="0.25">
      <c r="A39" s="5" t="str">
        <f>HYPERLINK("#'6.3.1.1-2 Leach runoff pasture'!A1", "6.3.1.1-2 Leach &amp; runoff (pasture)")</f>
        <v>6.3.1.1-2 Leach &amp; runoff (pasture)</v>
      </c>
      <c r="D39" s="8"/>
      <c r="E39" s="8"/>
      <c r="F39" s="8"/>
      <c r="G39" s="8"/>
      <c r="H39" s="8"/>
      <c r="I39" s="8"/>
      <c r="J39" s="8"/>
      <c r="K39" s="8"/>
      <c r="L39" s="8"/>
    </row>
    <row r="40" spans="1:13" ht="20.100000000000001" customHeight="1" x14ac:dyDescent="0.25">
      <c r="A40" s="5" t="str">
        <f>HYPERLINK("#'8.1.1.1-2 Transport fuel'!A1", "8.1.1.1-2 Transport fuel")</f>
        <v>8.1.1.1-2 Transport fuel</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HYPERLINK("#'8.2.1.1-2 Stationary fuel'!A1", "8.2.1.1-2 Stationary fuel")</f>
        <v>8.2.1.1-2 Stationary fuel</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HYPERLINK("#'14.1.1-2 Purchased electricity'!A1", "14.1.1-2 Purchased electricity")</f>
        <v>14.1.1-2 Purchased electricity</v>
      </c>
      <c r="D42" s="27"/>
      <c r="E42" s="35"/>
      <c r="F42" s="35"/>
      <c r="H42" s="8"/>
      <c r="I42" s="8"/>
      <c r="M42" s="35"/>
    </row>
    <row r="43" spans="1:13" ht="20.100000000000001" customHeight="1" x14ac:dyDescent="0.25">
      <c r="A43" s="5" t="str">
        <f>HYPERLINK("#'15 Scope 3'!A1", "15 Scope 3")</f>
        <v>15 Scope 3</v>
      </c>
      <c r="D43" s="182" t="s">
        <v>914</v>
      </c>
      <c r="E43" s="182" t="s">
        <v>915</v>
      </c>
      <c r="F43" s="35"/>
      <c r="H43" s="8"/>
      <c r="I43" s="8"/>
      <c r="M43" s="35"/>
    </row>
    <row r="44" spans="1:13" ht="20.100000000000001" customHeight="1" x14ac:dyDescent="0.25">
      <c r="A44" s="5" t="str">
        <f>HYPERLINK("#'Calcs - Manure sent off-site'!A1", "Calcs - Manure sent off-site")</f>
        <v>Calcs - Manure sent off-site</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HYPERLINK("#'10.1.1-2 Solid waste treatment'!A1", "10.1.1-2 Solid waste treatment")</f>
        <v>10.1.1-2 Solid waste treatment</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H46" s="8"/>
      <c r="I46" s="8"/>
      <c r="M46" s="35"/>
    </row>
    <row r="47" spans="1:13" ht="20.100000000000001" customHeight="1" x14ac:dyDescent="0.25">
      <c r="M47" s="35"/>
    </row>
    <row r="48" spans="1:13" ht="20.100000000000001" customHeight="1" x14ac:dyDescent="0.25">
      <c r="A48" s="97" t="s">
        <v>1</v>
      </c>
      <c r="D48" s="2" t="str" cm="1">
        <f t="array" ref="D48">Agresidue_SourceData.PastureAttributes_Title()</f>
        <v>Table A.2.1.3 Pasture attributes</v>
      </c>
      <c r="K48" s="8"/>
      <c r="L48" s="8"/>
    </row>
    <row r="49" spans="1:12" ht="20.100000000000001" customHeight="1" x14ac:dyDescent="0.25">
      <c r="A49" s="5" t="str">
        <f>HYPERLINK("#'Constants - Pasture Beef'!A1", "Constants - Pasture Beef")</f>
        <v>Constants - Pasture Beef</v>
      </c>
      <c r="D49" s="27" t="str" cm="1">
        <f t="array" ref="D49">Agresidue_SourceData.PastureAttributes_Source()</f>
        <v>VEERG 2026: Table A.2.1.3: Pasture attributes</v>
      </c>
      <c r="K49" s="8"/>
      <c r="L49" s="8"/>
    </row>
    <row r="50" spans="1:12" ht="20.100000000000001" customHeight="1" x14ac:dyDescent="0.25">
      <c r="A50" s="127" t="str">
        <f>HYPERLINK("#'Constants - Ag Residue'!A1", "Constants - Ag residue")</f>
        <v>Constants - Ag residue</v>
      </c>
      <c r="K50" s="8"/>
      <c r="L50" s="8"/>
    </row>
    <row r="51" spans="1:12" ht="20.100000000000001" customHeight="1" x14ac:dyDescent="0.25">
      <c r="A51" s="5" t="str">
        <f>HYPERLINK("#'Constants - Common Livestock'!A1", "Constants - Common Livestock")</f>
        <v>Constants - Common Livestock</v>
      </c>
      <c r="D51" s="30" t="s">
        <v>867</v>
      </c>
      <c r="E51" s="30" t="s">
        <v>916</v>
      </c>
      <c r="F51" s="30" t="s">
        <v>917</v>
      </c>
      <c r="G51" s="30" t="s">
        <v>918</v>
      </c>
      <c r="H51" s="30" t="s">
        <v>919</v>
      </c>
      <c r="I51" s="30" t="s">
        <v>920</v>
      </c>
      <c r="K51" s="8"/>
      <c r="L51" s="8"/>
    </row>
    <row r="52" spans="1:12" ht="20.100000000000001" customHeight="1" x14ac:dyDescent="0.25">
      <c r="A52" s="5" t="str">
        <f>HYPERLINK("#'Constants - Electricity'!A1", "Constants - Electricity")</f>
        <v>Constants - Electricity</v>
      </c>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HYPERLINK("#'Constants - Fertiliser'!A1", "Constants - Fertiliser")</f>
        <v>Constants - Fertiliser</v>
      </c>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HYPERLINK("#'Constants - Fuel'!A1", "Constants - Fuel")</f>
        <v>Constants - Fuel</v>
      </c>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1:12" ht="20.100000000000001" customHeight="1" x14ac:dyDescent="0.25">
      <c r="A55" s="5" t="str">
        <f>HYPERLINK("#'Constants - Scope 3'!A1", "Constants - Scope 3")</f>
        <v>Constants - Scope 3</v>
      </c>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Common'!A1", "Constants - Common")</f>
        <v>Constants - Common</v>
      </c>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1:12" ht="20.100000000000001" customHeight="1" x14ac:dyDescent="0.25">
      <c r="A57" s="5" t="str">
        <f>HYPERLINK("#'Acknowledgements'!A1", "Acknowledgements")</f>
        <v>Acknowledgements</v>
      </c>
      <c r="H57" s="8"/>
    </row>
    <row r="58" spans="1:12" ht="20.100000000000001" customHeight="1" x14ac:dyDescent="0.25">
      <c r="A58" s="5" t="str">
        <f>HYPERLINK("#'Constants - Solid Waste'!A1", "Constants - Solid Waste")</f>
        <v>Constants - Solid Waste</v>
      </c>
    </row>
    <row r="59" spans="1:12" ht="20.100000000000001" customHeight="1" x14ac:dyDescent="0.25">
      <c r="D59" s="2" t="str" cm="1">
        <f t="array" ref="D59">AgResidues_SourceData.BurningOfAgriculturalResiduesEFs_Title()</f>
        <v>Table 5.31 Burning of agricultural residues - EFs</v>
      </c>
    </row>
    <row r="60" spans="1:12" ht="20.100000000000001" customHeight="1" x14ac:dyDescent="0.25">
      <c r="D60" s="2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30" t="s">
        <v>921</v>
      </c>
      <c r="E62" s="30" t="s">
        <v>922</v>
      </c>
      <c r="F62" s="30" t="s">
        <v>923</v>
      </c>
    </row>
    <row r="63" spans="1: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924</v>
      </c>
      <c r="E73" t="s">
        <v>108</v>
      </c>
      <c r="F73" t="s">
        <v>925</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924</v>
      </c>
      <c r="E92" t="s">
        <v>108</v>
      </c>
      <c r="F92" t="s">
        <v>925</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A047-9176-4195-8588-243565FA2AA7}">
  <dimension ref="A1:M65"/>
  <sheetViews>
    <sheetView showGridLines="0" topLeftCell="A12"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1190</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HYPERLINK("#'Overview'!A1", "Overview")</f>
        <v>Overview</v>
      </c>
    </row>
    <row r="5" spans="1:13" ht="20.100000000000001" customHeight="1" x14ac:dyDescent="0.25">
      <c r="A5" s="5" t="str">
        <f>HYPERLINK("#'Results'!A1", "Results")</f>
        <v>Results</v>
      </c>
    </row>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D7" s="35" t="str" cm="1">
        <f t="array" ref="D7">CommonLivestock_SourceData.SourceData_Livestock_Common_SymbolsMMS_Vairable()</f>
        <v>MMS</v>
      </c>
      <c r="E7" s="35"/>
      <c r="F7" s="35"/>
      <c r="G7" s="35"/>
      <c r="H7" s="35"/>
    </row>
    <row r="8" spans="1:13" ht="20.100000000000001" customHeight="1" x14ac:dyDescent="0.25">
      <c r="A8" s="7" t="s">
        <v>0</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Enterprise'!A1", "Enterprise")</f>
        <v>Enterprise</v>
      </c>
      <c r="D9" s="37" t="s">
        <v>1191</v>
      </c>
      <c r="E9" s="30" t="s">
        <v>238</v>
      </c>
      <c r="F9" s="30" t="s">
        <v>1192</v>
      </c>
      <c r="G9" s="35"/>
    </row>
    <row r="10" spans="1:13" ht="20.100000000000001" customHeight="1" x14ac:dyDescent="0.25">
      <c r="A10" s="5" t="str">
        <f>HYPERLINK("#'Input - Site'!A1", "Site")</f>
        <v>Site</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Beef'!A1", "Pasture Beef")</f>
        <v>Pasture Beef</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 Beef (Enteric)'!A1", "Pasture Beef (Enteric)")</f>
        <v>Pasture Beef (Enteric)</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Livestock sales'!A1", "Livestock sales")</f>
        <v>Livestock sales</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Beef cattle purchases'!A1", "Beef cattle purchases")</f>
        <v>Beef cattle purchases</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Pasture'!A1", "Pasture")</f>
        <v>Pasture</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A16" s="5" t="str">
        <f>HYPERLINK("#'Input - Fert Prod System'!A1", "Fert Prod System")</f>
        <v>Fert Prod System</v>
      </c>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A17" s="5" t="str">
        <f>HYPERLINK("#'Input - Fertiliser'!A1", "Fertiliser")</f>
        <v>Fertiliser</v>
      </c>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5" t="str">
        <f>HYPERLINK("#'Input - Fuel'!A1", "Fuel")</f>
        <v>Fuel</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HYPERLINK("#'Input - Electricity'!A1", "Electricity")</f>
        <v>Electricity</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HYPERLINK("#'Input - Farm Inputs'!A1", "Farm Inputs")</f>
        <v>Farm Inputs</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HYPERLINK("#'Input - Freight'!A1", "Freight")</f>
        <v>Freight</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HYPERLINK("#'Input - Manure sent off-site'!A1", "Manure sent off-site")</f>
        <v>Manure sent off-site</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HYPERLINK("#'Input - Solid waste'!A1", "Solid waste")</f>
        <v>Solid waste</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6" t="s">
        <v>2</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HYPERLINK("#'3.2.1.1-2 Enteric Methane'!A1", "3.2.1.1-2 Enteric methane")</f>
        <v>3.2.1.1-2 Enteric methane</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HYPERLINK("#'4.2.1.1-2 Methane'!A1", "4.2.1.1-2 Manure methane")</f>
        <v>4.2.1.1-2 Manure methane</v>
      </c>
      <c r="G28" s="35"/>
      <c r="H28" s="35"/>
    </row>
    <row r="29" spans="1:8" ht="20.100000000000001" customHeight="1" x14ac:dyDescent="0.25">
      <c r="A29" s="5" t="str">
        <f>HYPERLINK("#'4.2.1.3-4 Soil direct N20'!A1", "4.2.1.3-4 Soil direct N2O")</f>
        <v>4.2.1.3-4 Soil direct N2O</v>
      </c>
      <c r="D29" s="2" t="str" cm="1">
        <f t="array" ref="D29">CommonLivestock_SourceData.SourceData_Livestock_Product_BeefCattle_Title()</f>
        <v>Beef cattle products for scope 3</v>
      </c>
    </row>
    <row r="30" spans="1:8" ht="20.100000000000001" customHeight="1" x14ac:dyDescent="0.25">
      <c r="A30" s="5" t="str">
        <f>HYPERLINK("#'4.2.1.5-6 Soil Atmos Dep'!A1", "4.2.1.5-6 Soil atm. deposition")</f>
        <v>4.2.1.5-6 Soil atm. deposition</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HYPERLINK("#'4.2.1.7-8 Soil leach runoff'!A1", "4.2.1.7-8 Soil leach &amp; runoff")</f>
        <v>4.2.1.7-8 Soil leach &amp; runoff</v>
      </c>
      <c r="D31" s="30" t="s">
        <v>152</v>
      </c>
      <c r="E31" s="30" t="s">
        <v>1193</v>
      </c>
      <c r="F31" s="1" t="s">
        <v>1194</v>
      </c>
    </row>
    <row r="32" spans="1:8" ht="20.100000000000001" customHeight="1" x14ac:dyDescent="0.25">
      <c r="A32" s="5" t="str">
        <f>HYPERLINK("#'5.1.1.1-2 Inorganic fert N2O'!A1", "5.1.1.1-2 Inorganic fert N2O")</f>
        <v>5.1.1.1-2 Inorganic fert N2O</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HYPERLINK("#'5.1.1.3-4 Inorganic fert CO2'!A1", "5.1.1.3-4 Inorganic fert CO2")</f>
        <v>5.1.1.3-4 Inorganic fert CO2</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HYPERLINK("#'5.2.1.1-2 Organic Fert N2O'!A1", "5.2.1.1-2 Organic fert N2O")</f>
        <v>5.2.1.1-2 Organic fert N2O</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HYPERLINK("#'5.3.1.1-2 Lime CO2'!A1", "5.3.1.1-2 Lime CO2")</f>
        <v>5.3.1.1-2 Lime CO2</v>
      </c>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HYPERLINK("#'5.4.1.1-4 Atmos deposition'!A1", "5.4.1.1-4 Atmos. deposition")</f>
        <v>5.4.1.1-4 Atmos. deposition</v>
      </c>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HYPERLINK("#'5.5.1.1-2 Leaching and runoff'!A1", "5.5.1.1-2 Leaching &amp; runoff")</f>
        <v>5.5.1.1-2 Leaching &amp; runoff</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HYPERLINK("#'6.2.1.1-2 Pasture residue N2O'!A1", "6.2.1.1-2 Pasture residue N2O")</f>
        <v>6.2.1.1-2 Pasture residue N2O</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HYPERLINK("#'6.3.1.1-2 Leach runoff pasture'!A1", "6.3.1.1-2 Leach &amp; runoff (pasture)")</f>
        <v>6.3.1.1-2 Leach &amp; runoff (pasture)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5" t="str">
        <f>HYPERLINK("#'8.1.1.1-2 Transport fuel'!A1", "8.1.1.1-2 Transport fuel")</f>
        <v>8.1.1.1-2 Transport fuel</v>
      </c>
    </row>
    <row r="41" spans="1:6" ht="20.100000000000001" customHeight="1" x14ac:dyDescent="0.25">
      <c r="A41" s="5" t="str">
        <f>HYPERLINK("#'8.2.1.1-2 Stationary fuel'!A1", "8.2.1.1-2 Stationary fuel")</f>
        <v>8.2.1.1-2 Stationary fuel</v>
      </c>
      <c r="D41" s="2" t="str" cm="1">
        <f t="array" ref="D41">CommonLivestock_SourceData.SourceData_Livestock_Product_Sheep_Title()</f>
        <v>Sheep products for scope 3</v>
      </c>
    </row>
    <row r="42" spans="1:6" ht="20.100000000000001" customHeight="1" x14ac:dyDescent="0.25">
      <c r="A42" s="5" t="str">
        <f>HYPERLINK("#'14.1.1-2 Purchased electricity'!A1", "14.1.1-2 Purchased electricity")</f>
        <v>14.1.1-2 Purchased electricity</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HYPERLINK("#'15 Scope 3'!A1", "15 Scope 3")</f>
        <v>15 Scope 3</v>
      </c>
      <c r="D43" s="30" t="s">
        <v>152</v>
      </c>
      <c r="E43" s="30" t="s">
        <v>1193</v>
      </c>
      <c r="F43" s="1" t="s">
        <v>1195</v>
      </c>
    </row>
    <row r="44" spans="1:6" ht="20.100000000000001" customHeight="1" x14ac:dyDescent="0.25">
      <c r="A44" s="5" t="str">
        <f>HYPERLINK("#'Calcs - Manure sent off-site'!A1", "Calcs - Manure sent off-site")</f>
        <v>Calcs - Manure sent off-site</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HYPERLINK("#'10.1.1-2 Solid waste treatment'!A1", "10.1.1-2 Solid waste treatment")</f>
        <v>10.1.1-2 Solid waste treatment</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s="97" t="s">
        <v>1</v>
      </c>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s="5" t="str">
        <f>HYPERLINK("#'Constants - Pasture Beef'!A1", "Constants - Pasture Beef")</f>
        <v>Constants - Pasture Beef</v>
      </c>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s="5" t="str">
        <f>HYPERLINK("#'Constants - Ag Residue'!A1", "Constants - Ag residue")</f>
        <v>Constants - Ag residue</v>
      </c>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s="127" t="str">
        <f>HYPERLINK("#'Constants - Common Livestock'!A1", "Constants - Common Livestock")</f>
        <v>Constants - Common Livestock</v>
      </c>
    </row>
    <row r="52" spans="1:6" ht="20.100000000000001" customHeight="1" x14ac:dyDescent="0.25">
      <c r="A52" s="5" t="str">
        <f>HYPERLINK("#'Constants - Electricity'!A1", "Constants - Electricity")</f>
        <v>Constants - Electricity</v>
      </c>
      <c r="D52" s="2" t="str" cm="1">
        <f t="array" ref="D52">CommonLivestock_SourceData.SourceData_Livestock_Product_Chickens_Title()</f>
        <v>Chickens products for scope 3</v>
      </c>
    </row>
    <row r="53" spans="1:6" ht="20.100000000000001" customHeight="1" x14ac:dyDescent="0.25">
      <c r="A53" s="5" t="str">
        <f>HYPERLINK("#'Constants - Fertiliser'!A1", "Constants - Fertiliser")</f>
        <v>Constants - Fertiliser</v>
      </c>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s="5" t="str">
        <f>HYPERLINK("#'Constants - Fuel'!A1", "Constants - Fuel")</f>
        <v>Constants - Fuel</v>
      </c>
      <c r="D54" s="30" t="s">
        <v>152</v>
      </c>
      <c r="E54" s="30" t="s">
        <v>1193</v>
      </c>
      <c r="F54" s="1" t="s">
        <v>1196</v>
      </c>
    </row>
    <row r="55" spans="1:6" ht="20.100000000000001" customHeight="1" x14ac:dyDescent="0.25">
      <c r="A55" s="5" t="str">
        <f>HYPERLINK("#'Constants - Scope 3'!A1", "Constants - Scope 3")</f>
        <v>Constants - Scope 3</v>
      </c>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s="5" t="str">
        <f>HYPERLINK("#'Constants - Common'!A1", "Constants - Common")</f>
        <v>Constants - Common</v>
      </c>
    </row>
    <row r="57" spans="1:6" ht="20.100000000000001" customHeight="1" x14ac:dyDescent="0.25">
      <c r="A57" s="5" t="str">
        <f>HYPERLINK("#'Acknowledgements'!A1", "Acknowledgements")</f>
        <v>Acknowledgements</v>
      </c>
      <c r="D57" s="2" t="str" cm="1">
        <f t="array" ref="D57">CommonLivestock_SourceData.SourceData_Livestock_Product_Dairycattle_Title()</f>
        <v>Dairy cattle products for scope 3</v>
      </c>
    </row>
    <row r="58" spans="1:6" ht="20.100000000000001" customHeight="1" x14ac:dyDescent="0.25">
      <c r="A58" s="5" t="str">
        <f>HYPERLINK("#'Constants - Solid Waste'!A1", "Constants - Solid Waste")</f>
        <v>Constants - Solid Waste</v>
      </c>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D59" s="30" t="s">
        <v>152</v>
      </c>
      <c r="E59" s="30" t="s">
        <v>1193</v>
      </c>
      <c r="F59" s="1" t="s">
        <v>1197</v>
      </c>
    </row>
    <row r="60" spans="1: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row r="62" spans="1:6" ht="20.100000000000001" customHeight="1" x14ac:dyDescent="0.25">
      <c r="D62" s="2" t="str" cm="1">
        <f t="array" ref="D62">CommonLivestock_SourceData.SourceData_Livestock_Product_Pigs_Title()</f>
        <v>Pigs products for scope 3</v>
      </c>
    </row>
    <row r="63" spans="1: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D64" s="30" t="s">
        <v>152</v>
      </c>
      <c r="E64" s="30" t="s">
        <v>1193</v>
      </c>
      <c r="F64" s="1" t="s">
        <v>1198</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86DA3-9CC2-469B-B23D-A92B02655502}">
  <dimension ref="A1:AI165"/>
  <sheetViews>
    <sheetView showGridLines="0" topLeftCell="A7"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690</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D7" s="3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91" t="s">
        <v>691</v>
      </c>
      <c r="E9" s="191" t="s">
        <v>692</v>
      </c>
      <c r="F9" s="191" t="s">
        <v>693</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Beef'!A1", "Pasture Beef")</f>
        <v>Pasture Beef</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 Beef (Enteric)'!A1", "Pasture Beef (Enteric)")</f>
        <v>Pasture Beef (Enteric)</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Livestock sales'!A1", "Livestock sales")</f>
        <v>Livestock sales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Beef cattle purchases'!A1", "Beef cattle purchases")</f>
        <v>Beef cattle purchases</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Pasture'!A1", "Pasture")</f>
        <v>Pasture</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 Prod System'!A1", "Fert Prod System")</f>
        <v>Fert Prod System</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Fertiliser'!A1", "Fertiliser")</f>
        <v>Fertiliser</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Fuel'!A1", "Fuel")</f>
        <v>Fuel</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Electricity'!A1", "Electricity")</f>
        <v>Electricity</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Farm Inputs'!A1", "Farm Inputs")</f>
        <v>Farm Inputs</v>
      </c>
    </row>
    <row r="21" spans="1:8" ht="20.100000000000001" customHeight="1" x14ac:dyDescent="0.25">
      <c r="A21" s="5" t="str">
        <f>HYPERLINK("#'Input - Freight'!A1", "Freight")</f>
        <v>Freight</v>
      </c>
      <c r="D21" s="2" t="str" cm="1">
        <f t="array" ref="D21">Electricity_SourceData.Electricity_Scope2Scope3MarketBased_Title()</f>
        <v>Electricity scope 2 and scope 3 market-based emission factors</v>
      </c>
    </row>
    <row r="22" spans="1:8" ht="20.100000000000001" customHeight="1" x14ac:dyDescent="0.25">
      <c r="A22" s="5" t="str">
        <f>HYPERLINK("#'Input - Manure sent off-site'!A1", "Manure sent off-site")</f>
        <v>Manure sent off-site</v>
      </c>
      <c r="D22" s="27" t="str" cm="1">
        <f t="array" ref="D22">Electricity_SourceData.Electricity_Scope2Scope3MarketBased_Source()</f>
        <v>Australian National Greenhouse Accounts Factors 2025 - Table 2a</v>
      </c>
    </row>
    <row r="23" spans="1:8" ht="20.100000000000001" customHeight="1" x14ac:dyDescent="0.25">
      <c r="A23" s="5" t="str">
        <f>HYPERLINK("#'Input - Solid waste'!A1", "Solid waste")</f>
        <v>Solid waste</v>
      </c>
    </row>
    <row r="24" spans="1:8" ht="20.100000000000001" customHeight="1" x14ac:dyDescent="0.25">
      <c r="D24" s="182" t="s">
        <v>691</v>
      </c>
      <c r="E24" s="182" t="s">
        <v>694</v>
      </c>
      <c r="F24" s="182" t="s">
        <v>695</v>
      </c>
      <c r="G24" s="182" t="s">
        <v>696</v>
      </c>
      <c r="H24" s="182" t="s">
        <v>697</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6" t="s">
        <v>2</v>
      </c>
    </row>
    <row r="27" spans="1:8" ht="20.100000000000001" customHeight="1" x14ac:dyDescent="0.25">
      <c r="A27" s="5" t="str">
        <f>HYPERLINK("#'3.2.1.1-2 Enteric Methane'!A1", "3.2.1.1-2 Enteric methane")</f>
        <v>3.2.1.1-2 Enteric methane</v>
      </c>
    </row>
    <row r="28" spans="1:8" ht="20.100000000000001" customHeight="1" x14ac:dyDescent="0.25">
      <c r="A28" s="5" t="str">
        <f>HYPERLINK("#'4.2.1.1-2 Methane'!A1", "4.2.1.1-2 Manure methane")</f>
        <v>4.2.1.1-2 Manure methane</v>
      </c>
    </row>
    <row r="29" spans="1:8" ht="20.100000000000001" customHeight="1" x14ac:dyDescent="0.25">
      <c r="A29" s="5" t="str">
        <f>HYPERLINK("#'4.2.1.3-4 Soil direct N20'!A1", "4.2.1.3-4 Soil direct N2O")</f>
        <v>4.2.1.3-4 Soil direct N2O</v>
      </c>
    </row>
    <row r="30" spans="1:8" ht="20.100000000000001" customHeight="1" x14ac:dyDescent="0.25">
      <c r="A30" s="5" t="str">
        <f>HYPERLINK("#'4.2.1.5-6 Soil Atmos Dep'!A1", "4.2.1.5-6 Soil atm. deposition")</f>
        <v>4.2.1.5-6 Soil atm. deposition</v>
      </c>
    </row>
    <row r="31" spans="1:8" ht="20.100000000000001" customHeight="1" x14ac:dyDescent="0.25">
      <c r="A31" s="5" t="str">
        <f>HYPERLINK("#'4.2.1.7-8 Soil leach runoff'!A1", "4.2.1.7-8 Soil leach &amp; runoff")</f>
        <v>4.2.1.7-8 Soil leach &amp; runoff</v>
      </c>
    </row>
    <row r="32" spans="1:8" ht="20.100000000000001" customHeight="1" x14ac:dyDescent="0.25">
      <c r="A32" s="5" t="str">
        <f>HYPERLINK("#'5.1.1.1-2 Inorganic fert N2O'!A1", "5.1.1.1-2 Inorganic fert N2O")</f>
        <v>5.1.1.1-2 Inorganic fert N2O</v>
      </c>
    </row>
    <row r="33" spans="1:1" ht="20.100000000000001" customHeight="1" x14ac:dyDescent="0.25">
      <c r="A33" s="5" t="str">
        <f>HYPERLINK("#'5.1.1.3-4 Inorganic fert CO2'!A1", "5.1.1.3-4 Inorganic fert CO2")</f>
        <v>5.1.1.3-4 Inorganic fert CO2</v>
      </c>
    </row>
    <row r="34" spans="1:1" ht="20.100000000000001" customHeight="1" x14ac:dyDescent="0.25">
      <c r="A34" s="5" t="str">
        <f>HYPERLINK("#'5.2.1.1-2 Organic Fert N2O'!A1", "5.2.1.1-2 Organic fert N2O")</f>
        <v>5.2.1.1-2 Organic fert N2O</v>
      </c>
    </row>
    <row r="35" spans="1:1" ht="20.100000000000001" customHeight="1" x14ac:dyDescent="0.25">
      <c r="A35" s="5" t="str">
        <f>HYPERLINK("#'5.3.1.1-2 Lime CO2'!A1", "5.3.1.1-2 Lime CO2")</f>
        <v>5.3.1.1-2 Lime CO2</v>
      </c>
    </row>
    <row r="36" spans="1:1" ht="20.100000000000001" customHeight="1" x14ac:dyDescent="0.25">
      <c r="A36" s="5" t="str">
        <f>HYPERLINK("#'5.4.1.1-4 Atmos deposition'!A1", "5.4.1.1-4 Atmos. deposition")</f>
        <v>5.4.1.1-4 Atmos. deposition</v>
      </c>
    </row>
    <row r="37" spans="1:1" ht="20.100000000000001" customHeight="1" x14ac:dyDescent="0.25">
      <c r="A37" s="5" t="str">
        <f>HYPERLINK("#'5.5.1.1-2 Leaching and runoff'!A1", "5.5.1.1-2 Leaching &amp; runoff")</f>
        <v>5.5.1.1-2 Leaching &amp; runoff</v>
      </c>
    </row>
    <row r="38" spans="1:1" ht="20.100000000000001" customHeight="1" x14ac:dyDescent="0.25">
      <c r="A38" s="5" t="str">
        <f>HYPERLINK("#'6.2.1.1-2 Pasture residue N2O'!A1", "6.2.1.1-2 Pasture residue N2O")</f>
        <v>6.2.1.1-2 Pasture residue N2O</v>
      </c>
    </row>
    <row r="39" spans="1:1" ht="20.100000000000001" customHeight="1" x14ac:dyDescent="0.25">
      <c r="A39" s="5" t="str">
        <f>HYPERLINK("#'6.3.1.1-2 Leach runoff pasture'!A1", "6.3.1.1-2 Leach &amp; runoff (pasture)")</f>
        <v>6.3.1.1-2 Leach &amp; runoff (pasture)</v>
      </c>
    </row>
    <row r="40" spans="1:1" ht="20.100000000000001" customHeight="1" x14ac:dyDescent="0.25">
      <c r="A40" s="5" t="str">
        <f>HYPERLINK("#'8.1.1.1-2 Transport fuel'!A1", "8.1.1.1-2 Transport fuel")</f>
        <v>8.1.1.1-2 Transport fuel</v>
      </c>
    </row>
    <row r="41" spans="1:1" ht="20.100000000000001" customHeight="1" x14ac:dyDescent="0.25">
      <c r="A41" s="5" t="str">
        <f>HYPERLINK("#'8.2.1.1-2 Stationary fuel'!A1", "8.2.1.1-2 Stationary fuel")</f>
        <v>8.2.1.1-2 Stationary fuel</v>
      </c>
    </row>
    <row r="42" spans="1:1" ht="20.100000000000001" customHeight="1" x14ac:dyDescent="0.25">
      <c r="A42" s="5" t="str">
        <f>HYPERLINK("#'14.1.1-2 Purchased electricity'!A1", "14.1.1-2 Purchased electricity")</f>
        <v>14.1.1-2 Purchased electricity</v>
      </c>
    </row>
    <row r="43" spans="1:1" ht="20.100000000000001" customHeight="1" x14ac:dyDescent="0.25">
      <c r="A43" s="5" t="str">
        <f>HYPERLINK("#'15 Scope 3'!A1", "15 Scope 3")</f>
        <v>15 Scope 3</v>
      </c>
    </row>
    <row r="44" spans="1:1" ht="20.100000000000001" customHeight="1" x14ac:dyDescent="0.25">
      <c r="A44" s="5" t="str">
        <f>HYPERLINK("#'Calcs - Manure sent off-site'!A1", "Calcs - Manure sent off-site")</f>
        <v>Calcs - Manure sent off-site</v>
      </c>
    </row>
    <row r="45" spans="1:1" ht="20.100000000000001" customHeight="1" x14ac:dyDescent="0.25">
      <c r="A45" s="5" t="str">
        <f>HYPERLINK("#'10.1.1-2 Solid waste treatment'!A1", "10.1.1-2 Solid waste treatment")</f>
        <v>10.1.1-2 Solid waste treatment</v>
      </c>
    </row>
    <row r="46" spans="1:1" ht="20.100000000000001" customHeight="1" x14ac:dyDescent="0.25"/>
    <row r="47" spans="1:1" ht="20.100000000000001" customHeight="1" x14ac:dyDescent="0.25"/>
    <row r="48" spans="1:1"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127"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383EC-F7F6-4445-A034-EB913B0C7BF7}">
  <dimension ref="A1:AI165"/>
  <sheetViews>
    <sheetView showGridLines="0" topLeftCell="A17"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618</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Fertiliser_SourceData.Fertiliser_ChemicalCompoundElements_Title()</f>
        <v>Common inorganic fertilisers</v>
      </c>
      <c r="E5" s="173"/>
      <c r="F5" s="173"/>
      <c r="G5" s="173"/>
      <c r="H5" s="173"/>
      <c r="I5" s="173"/>
      <c r="J5" s="173"/>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36" t="str" cm="1">
        <f t="array" ref="D7:D18">Fertiliser_SourceData.Fertiliser_ChemicalCompoundElements_Variation()</f>
        <v>VARIATION ON SOURCE</v>
      </c>
    </row>
    <row r="8" spans="1:35" ht="20.100000000000001" customHeight="1" x14ac:dyDescent="0.25">
      <c r="A8" s="7" t="s">
        <v>0</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Enterprise'!A1", "Enterprise")</f>
        <v>Enterprise</v>
      </c>
      <c r="D9" s="36" t="str">
        <v>Added extra fertiliser types and generic chemical compounds to allow for custom NPKS blends</v>
      </c>
    </row>
    <row r="10" spans="1:35" ht="20.100000000000001" customHeight="1" x14ac:dyDescent="0.25">
      <c r="A10" s="5" t="str">
        <f>HYPERLINK("#'Input - Site'!A1", "Site")</f>
        <v>Site</v>
      </c>
      <c r="D10" s="36" t="str">
        <v>Added extra 'Scope 3 definition' column to allow mapping with scope 3 data</v>
      </c>
    </row>
    <row r="11" spans="1:35" ht="20.100000000000001" customHeight="1" x14ac:dyDescent="0.25">
      <c r="A11" s="5" t="str">
        <f>HYPERLINK("#'Input - Pasture Beef'!A1", "Pasture Beef")</f>
        <v>Pasture Beef</v>
      </c>
      <c r="D11" s="36" t="str">
        <v>Added 'Source' column</v>
      </c>
    </row>
    <row r="12" spans="1:35" ht="20.100000000000001" customHeight="1" x14ac:dyDescent="0.25">
      <c r="A12" s="5" t="str">
        <f>HYPERLINK("#'Input - Pasture Beef (Enteric)'!A1", "Pasture Beef (Enteric)")</f>
        <v>Pasture Beef (Enteric)</v>
      </c>
      <c r="D12" s="36" t="str">
        <v>Combined data from Table A.2.2.3 and Table A.2.2.4 into one table to aid lookup.</v>
      </c>
    </row>
    <row r="13" spans="1:35" ht="20.100000000000001" customHeight="1" x14ac:dyDescent="0.25">
      <c r="A13" s="5" t="str">
        <f>HYPERLINK("#'Input - Livestock sales'!A1", "Livestock sales")</f>
        <v>Livestock sales</v>
      </c>
      <c r="D13" s="36" t="str">
        <v>Excluded 'References' column</v>
      </c>
    </row>
    <row r="14" spans="1:35" ht="20.100000000000001" customHeight="1" x14ac:dyDescent="0.25">
      <c r="A14" s="5" t="str">
        <f>HYPERLINK("#'Input - Beef cattle purchases'!A1", "Beef cattle purchases")</f>
        <v>Beef cattle purchases</v>
      </c>
      <c r="D14" s="36" t="str">
        <v>Excluded 'Ammonium sulfate' as it is a duplicate of 'Sulphate of ammonia (SOA)'</v>
      </c>
    </row>
    <row r="15" spans="1:35" ht="20.100000000000001" customHeight="1" x14ac:dyDescent="0.25">
      <c r="A15" s="5" t="str">
        <f>HYPERLINK("#'Input - Pasture'!A1", "Pasture")</f>
        <v>Pasture</v>
      </c>
      <c r="D15" s="36" t="str">
        <v>Excluded 'Calcium nitrate' as no scope 3 value available.</v>
      </c>
    </row>
    <row r="16" spans="1:35" ht="20.100000000000001" customHeight="1" x14ac:dyDescent="0.25">
      <c r="A16" s="5" t="str">
        <f>HYPERLINK("#'Input - Fert Prod System'!A1", "Fert Prod System")</f>
        <v>Fert Prod System</v>
      </c>
      <c r="D16" s="36" t="str">
        <v>Set 'Nitrogen - Generic' basis as 'Urea-based fertilisers, as urea is the most commonly used form of nitrogen in Australian fertilisers</v>
      </c>
    </row>
    <row r="17" spans="1:22" ht="20.100000000000001" customHeight="1" x14ac:dyDescent="0.25">
      <c r="A17" s="5" t="str">
        <f>HYPERLINK("#'Input - Fertiliser'!A1", "Fertiliser")</f>
        <v>Fertiliser</v>
      </c>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Fuel'!A1", "Fuel")</f>
        <v>Fuel</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Electricity'!A1", "Electricity")</f>
        <v>Electricity</v>
      </c>
      <c r="D19" t="s">
        <v>536</v>
      </c>
      <c r="E19" t="s">
        <v>619</v>
      </c>
      <c r="F19" t="s">
        <v>620</v>
      </c>
      <c r="G19" t="s">
        <v>594</v>
      </c>
      <c r="H19" t="s">
        <v>621</v>
      </c>
      <c r="I19" t="s">
        <v>622</v>
      </c>
      <c r="K19" s="30" t="s">
        <v>536</v>
      </c>
      <c r="L19" s="30" t="s">
        <v>619</v>
      </c>
      <c r="Q19" s="30" t="s">
        <v>536</v>
      </c>
      <c r="R19" s="30" t="s">
        <v>619</v>
      </c>
      <c r="V19" s="30" t="s">
        <v>622</v>
      </c>
    </row>
    <row r="20" spans="1:22" ht="20.100000000000001" customHeight="1" x14ac:dyDescent="0.25">
      <c r="A20" s="5" t="str">
        <f>HYPERLINK("#'Input - Farm Inputs'!A1", "Farm Inputs")</f>
        <v>Farm Inputs</v>
      </c>
      <c r="D20" s="182" t="str" cm="1">
        <f t="array" ref="D20">Common_InputFunctions.Utility_DisplayArrayInTable(Fertiliser_SourceData.Fertiliser_ChemicalCompoundElements_Data(),Table_Fertiliser_ChemicalCompounds[[#Headers],[Fertiliser type f]], 0)</f>
        <v>Monoammonium phosphate (MAP)</v>
      </c>
      <c r="E20" s="182" cm="1">
        <f t="array" ref="E20">Common_InputFunctions.Utility_DisplayArrayInTable(Fertiliser_SourceData.Fertiliser_ChemicalCompoundElements_Data(),Table_Fertiliser_ChemicalCompounds[[#Headers],[Fertiliser type f]], 0)</f>
        <v>0.1</v>
      </c>
      <c r="F20" s="182" cm="1">
        <f t="array" ref="F20">Common_InputFunctions.Utility_DisplayArrayInTable(Fertiliser_SourceData.Fertiliser_ChemicalCompoundElements_Data(),Table_Fertiliser_ChemicalCompounds[[#Headers],[Fertiliser type f]], 0)</f>
        <v>0</v>
      </c>
      <c r="G20" s="182" t="str" cm="1">
        <f t="array" ref="G20">Common_InputFunctions.Utility_DisplayArrayInTable(Fertiliser_SourceData.Fertiliser_ChemicalCompoundElements_Data(),Table_Fertiliser_ChemicalCompounds[[#Headers],[Fertiliser type f]], 0)</f>
        <v>Ammonium-based fertilisers</v>
      </c>
      <c r="H20" s="182" t="str" cm="1">
        <f t="array" ref="H20">Common_InputFunctions.Utility_DisplayArrayInTable(Fertiliser_SourceData.Fertiliser_ChemicalCompoundElements_Data(),Table_Fertiliser_ChemicalCompounds[[#Headers],[Fertiliser type f]], 0)</f>
        <v>Monoammonium phosphate (MAP)</v>
      </c>
      <c r="I20" s="182"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Freight'!A1", "Freight")</f>
        <v>Freight</v>
      </c>
      <c r="D21" s="182" t="str" cm="1">
        <f t="array" ref="D21">Common_InputFunctions.Utility_DisplayArrayInTable(Fertiliser_SourceData.Fertiliser_ChemicalCompoundElements_Data(),Table_Fertiliser_ChemicalCompounds[[#Headers],[Fertiliser type f]], 0)</f>
        <v>Diammonium phosphate (DAP)</v>
      </c>
      <c r="E21" s="182" cm="1">
        <f t="array" ref="E21">Common_InputFunctions.Utility_DisplayArrayInTable(Fertiliser_SourceData.Fertiliser_ChemicalCompoundElements_Data(),Table_Fertiliser_ChemicalCompounds[[#Headers],[Fertiliser type f]], 0)</f>
        <v>0.18</v>
      </c>
      <c r="F21" s="182" cm="1">
        <f t="array" ref="F21">Common_InputFunctions.Utility_DisplayArrayInTable(Fertiliser_SourceData.Fertiliser_ChemicalCompoundElements_Data(),Table_Fertiliser_ChemicalCompounds[[#Headers],[Fertiliser type f]], 0)</f>
        <v>0</v>
      </c>
      <c r="G21" s="182" t="str" cm="1">
        <f t="array" ref="G21">Common_InputFunctions.Utility_DisplayArrayInTable(Fertiliser_SourceData.Fertiliser_ChemicalCompoundElements_Data(),Table_Fertiliser_ChemicalCompounds[[#Headers],[Fertiliser type f]], 0)</f>
        <v>Ammonium-based fertilisers</v>
      </c>
      <c r="H21" s="182" t="str" cm="1">
        <f t="array" ref="H21">Common_InputFunctions.Utility_DisplayArrayInTable(Fertiliser_SourceData.Fertiliser_ChemicalCompoundElements_Data(),Table_Fertiliser_ChemicalCompounds[[#Headers],[Fertiliser type f]], 0)</f>
        <v>Diammonium phosphate (DAP)</v>
      </c>
      <c r="I21" s="182"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Manure sent off-site'!A1", "Manure sent off-site")</f>
        <v>Manure sent off-site</v>
      </c>
      <c r="D22" s="182" t="str" cm="1">
        <f t="array" ref="D22">Common_InputFunctions.Utility_DisplayArrayInTable(Fertiliser_SourceData.Fertiliser_ChemicalCompoundElements_Data(),Table_Fertiliser_ChemicalCompounds[[#Headers],[Fertiliser type f]], 0)</f>
        <v>Urea</v>
      </c>
      <c r="E22" s="182" cm="1">
        <f t="array" ref="E22">Common_InputFunctions.Utility_DisplayArrayInTable(Fertiliser_SourceData.Fertiliser_ChemicalCompoundElements_Data(),Table_Fertiliser_ChemicalCompounds[[#Headers],[Fertiliser type f]], 0)</f>
        <v>0.46</v>
      </c>
      <c r="F22" s="182" cm="1">
        <f t="array" ref="F22">Common_InputFunctions.Utility_DisplayArrayInTable(Fertiliser_SourceData.Fertiliser_ChemicalCompoundElements_Data(),Table_Fertiliser_ChemicalCompounds[[#Headers],[Fertiliser type f]], 0)</f>
        <v>1</v>
      </c>
      <c r="G22" s="182" t="str" cm="1">
        <f t="array" ref="G22">Common_InputFunctions.Utility_DisplayArrayInTable(Fertiliser_SourceData.Fertiliser_ChemicalCompoundElements_Data(),Table_Fertiliser_ChemicalCompounds[[#Headers],[Fertiliser type f]], 0)</f>
        <v>Urea-based fertilisers</v>
      </c>
      <c r="H22" s="182" t="str" cm="1">
        <f t="array" ref="H22">Common_InputFunctions.Utility_DisplayArrayInTable(Fertiliser_SourceData.Fertiliser_ChemicalCompoundElements_Data(),Table_Fertiliser_ChemicalCompounds[[#Headers],[Fertiliser type f]], 0)</f>
        <v>Urea</v>
      </c>
      <c r="I22" s="182"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Solid waste'!A1", "Solid waste")</f>
        <v>Solid waste</v>
      </c>
      <c r="D23" s="182" t="str" cm="1">
        <f t="array" ref="D23">Common_InputFunctions.Utility_DisplayArrayInTable(Fertiliser_SourceData.Fertiliser_ChemicalCompoundElements_Data(),Table_Fertiliser_ChemicalCompounds[[#Headers],[Fertiliser type f]], 0)</f>
        <v>Sulphate of ammonia (SOA)</v>
      </c>
      <c r="E23" s="182" cm="1">
        <f t="array" ref="E23">Common_InputFunctions.Utility_DisplayArrayInTable(Fertiliser_SourceData.Fertiliser_ChemicalCompoundElements_Data(),Table_Fertiliser_ChemicalCompounds[[#Headers],[Fertiliser type f]], 0)</f>
        <v>0.21</v>
      </c>
      <c r="F23" s="182" cm="1">
        <f t="array" ref="F23">Common_InputFunctions.Utility_DisplayArrayInTable(Fertiliser_SourceData.Fertiliser_ChemicalCompoundElements_Data(),Table_Fertiliser_ChemicalCompounds[[#Headers],[Fertiliser type f]], 0)</f>
        <v>0</v>
      </c>
      <c r="G23" s="182" t="str" cm="1">
        <f t="array" ref="G23">Common_InputFunctions.Utility_DisplayArrayInTable(Fertiliser_SourceData.Fertiliser_ChemicalCompoundElements_Data(),Table_Fertiliser_ChemicalCompounds[[#Headers],[Fertiliser type f]], 0)</f>
        <v>Ammonium-based fertilisers</v>
      </c>
      <c r="H23" s="182" t="str" cm="1">
        <f t="array" ref="H23">Common_InputFunctions.Utility_DisplayArrayInTable(Fertiliser_SourceData.Fertiliser_ChemicalCompoundElements_Data(),Table_Fertiliser_ChemicalCompounds[[#Headers],[Fertiliser type f]], 0)</f>
        <v>Sulphate of ammonia (SOA)</v>
      </c>
      <c r="I23" s="182"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82" t="str" cm="1">
        <f t="array" ref="D24">Common_InputFunctions.Utility_DisplayArrayInTable(Fertiliser_SourceData.Fertiliser_ChemicalCompoundElements_Data(),Table_Fertiliser_ChemicalCompounds[[#Headers],[Fertiliser type f]], 0)</f>
        <v>Urea-ammonium nitrate (UAN)</v>
      </c>
      <c r="E24" s="182" cm="1">
        <f t="array" ref="E24">Common_InputFunctions.Utility_DisplayArrayInTable(Fertiliser_SourceData.Fertiliser_ChemicalCompoundElements_Data(),Table_Fertiliser_ChemicalCompounds[[#Headers],[Fertiliser type f]], 0)</f>
        <v>0.32</v>
      </c>
      <c r="F24" s="182" cm="1">
        <f t="array" ref="F24">Common_InputFunctions.Utility_DisplayArrayInTable(Fertiliser_SourceData.Fertiliser_ChemicalCompoundElements_Data(),Table_Fertiliser_ChemicalCompounds[[#Headers],[Fertiliser type f]], 0)</f>
        <v>0.35</v>
      </c>
      <c r="G24" s="182" t="str" cm="1">
        <f t="array" ref="G24">Common_InputFunctions.Utility_DisplayArrayInTable(Fertiliser_SourceData.Fertiliser_ChemicalCompoundElements_Data(),Table_Fertiliser_ChemicalCompounds[[#Headers],[Fertiliser type f]], 0)</f>
        <v>Urea-based fertilisers</v>
      </c>
      <c r="H24" s="182" t="str" cm="1">
        <f t="array" ref="H24">Common_InputFunctions.Utility_DisplayArrayInTable(Fertiliser_SourceData.Fertiliser_ChemicalCompoundElements_Data(),Table_Fertiliser_ChemicalCompounds[[#Headers],[Fertiliser type f]], 0)</f>
        <v>Urea-ammonium nitrate (UAN)</v>
      </c>
      <c r="I24" s="182"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D25" s="182" t="str" cm="1">
        <f t="array" ref="D25">Common_InputFunctions.Utility_DisplayArrayInTable(Fertiliser_SourceData.Fertiliser_ChemicalCompoundElements_Data(),Table_Fertiliser_ChemicalCompounds[[#Headers],[Fertiliser type f]], 0)</f>
        <v>Ammonium nitrate (AN)</v>
      </c>
      <c r="E25" s="182" cm="1">
        <f t="array" ref="E25">Common_InputFunctions.Utility_DisplayArrayInTable(Fertiliser_SourceData.Fertiliser_ChemicalCompoundElements_Data(),Table_Fertiliser_ChemicalCompounds[[#Headers],[Fertiliser type f]], 0)</f>
        <v>0.33700000000000002</v>
      </c>
      <c r="F25" s="182" cm="1">
        <f t="array" ref="F25">Common_InputFunctions.Utility_DisplayArrayInTable(Fertiliser_SourceData.Fertiliser_ChemicalCompoundElements_Data(),Table_Fertiliser_ChemicalCompounds[[#Headers],[Fertiliser type f]], 0)</f>
        <v>0</v>
      </c>
      <c r="G25" s="182" t="str" cm="1">
        <f t="array" ref="G25">Common_InputFunctions.Utility_DisplayArrayInTable(Fertiliser_SourceData.Fertiliser_ChemicalCompoundElements_Data(),Table_Fertiliser_ChemicalCompounds[[#Headers],[Fertiliser type f]], 0)</f>
        <v>Ammonium-nitrate based fertilisers</v>
      </c>
      <c r="H25" s="182" t="str" cm="1">
        <f t="array" ref="H25">Common_InputFunctions.Utility_DisplayArrayInTable(Fertiliser_SourceData.Fertiliser_ChemicalCompoundElements_Data(),Table_Fertiliser_ChemicalCompounds[[#Headers],[Fertiliser type f]], 0)</f>
        <v>Ammonium nitrate (AN)</v>
      </c>
      <c r="I25" s="182"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6" t="s">
        <v>2</v>
      </c>
      <c r="D26" s="182" t="str" cm="1">
        <f t="array" ref="D26">Common_InputFunctions.Utility_DisplayArrayInTable(Fertiliser_SourceData.Fertiliser_ChemicalCompoundElements_Data(),Table_Fertiliser_ChemicalCompounds[[#Headers],[Fertiliser type f]], 0)</f>
        <v>Calcium ammonium nitrate (CAN)</v>
      </c>
      <c r="E26" s="182" cm="1">
        <f t="array" ref="E26">Common_InputFunctions.Utility_DisplayArrayInTable(Fertiliser_SourceData.Fertiliser_ChemicalCompoundElements_Data(),Table_Fertiliser_ChemicalCompounds[[#Headers],[Fertiliser type f]], 0)</f>
        <v>0.27</v>
      </c>
      <c r="F26" s="182" cm="1">
        <f t="array" ref="F26">Common_InputFunctions.Utility_DisplayArrayInTable(Fertiliser_SourceData.Fertiliser_ChemicalCompoundElements_Data(),Table_Fertiliser_ChemicalCompounds[[#Headers],[Fertiliser type f]], 0)</f>
        <v>0</v>
      </c>
      <c r="G26" s="182" t="str" cm="1">
        <f t="array" ref="G26">Common_InputFunctions.Utility_DisplayArrayInTable(Fertiliser_SourceData.Fertiliser_ChemicalCompoundElements_Data(),Table_Fertiliser_ChemicalCompounds[[#Headers],[Fertiliser type f]], 0)</f>
        <v>Ammonium-nitrate based fertilisers</v>
      </c>
      <c r="H26" s="182" t="str" cm="1">
        <f t="array" ref="H26">Common_InputFunctions.Utility_DisplayArrayInTable(Fertiliser_SourceData.Fertiliser_ChemicalCompoundElements_Data(),Table_Fertiliser_ChemicalCompounds[[#Headers],[Fertiliser type f]], 0)</f>
        <v>Calcium ammonium nitrate (CAN)</v>
      </c>
      <c r="I26" s="182"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HYPERLINK("#'3.2.1.1-2 Enteric Methane'!A1", "3.2.1.1-2 Enteric methane")</f>
        <v>3.2.1.1-2 Enteric methane</v>
      </c>
      <c r="D27" s="182" t="str" cm="1">
        <f t="array" ref="D27">Common_InputFunctions.Utility_DisplayArrayInTable(Fertiliser_SourceData.Fertiliser_ChemicalCompoundElements_Data(),Table_Fertiliser_ChemicalCompounds[[#Headers],[Fertiliser type f]], 0)</f>
        <v>Nitrogen - Ammoniacal</v>
      </c>
      <c r="E27" s="182" cm="1">
        <f t="array" ref="E27">Common_InputFunctions.Utility_DisplayArrayInTable(Fertiliser_SourceData.Fertiliser_ChemicalCompoundElements_Data(),Table_Fertiliser_ChemicalCompounds[[#Headers],[Fertiliser type f]], 0)</f>
        <v>1</v>
      </c>
      <c r="F27" s="182" cm="1">
        <f t="array" ref="F27">Common_InputFunctions.Utility_DisplayArrayInTable(Fertiliser_SourceData.Fertiliser_ChemicalCompoundElements_Data(),Table_Fertiliser_ChemicalCompounds[[#Headers],[Fertiliser type f]], 0)</f>
        <v>0</v>
      </c>
      <c r="G27" s="182" t="str" cm="1">
        <f t="array" ref="G27">Common_InputFunctions.Utility_DisplayArrayInTable(Fertiliser_SourceData.Fertiliser_ChemicalCompoundElements_Data(),Table_Fertiliser_ChemicalCompounds[[#Headers],[Fertiliser type f]], 0)</f>
        <v>Ammonium-based fertilisers</v>
      </c>
      <c r="H27" s="182" t="str" cm="1">
        <f t="array" ref="H27">Common_InputFunctions.Utility_DisplayArrayInTable(Fertiliser_SourceData.Fertiliser_ChemicalCompoundElements_Data(),Table_Fertiliser_ChemicalCompounds[[#Headers],[Fertiliser type f]], 0)</f>
        <v>Nitrogen - Ammoniacal</v>
      </c>
      <c r="I27" s="182"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HYPERLINK("#'4.2.1.1-2 Methane'!A1", "4.2.1.1-2 Manure methane")</f>
        <v>4.2.1.1-2 Manure methane</v>
      </c>
      <c r="D28" s="182" t="str" cm="1">
        <f t="array" ref="D28">Common_InputFunctions.Utility_DisplayArrayInTable(Fertiliser_SourceData.Fertiliser_ChemicalCompoundElements_Data(),Table_Fertiliser_ChemicalCompounds[[#Headers],[Fertiliser type f]], 0)</f>
        <v>Nitrogen - Nitrate</v>
      </c>
      <c r="E28" s="182" cm="1">
        <f t="array" ref="E28">Common_InputFunctions.Utility_DisplayArrayInTable(Fertiliser_SourceData.Fertiliser_ChemicalCompoundElements_Data(),Table_Fertiliser_ChemicalCompounds[[#Headers],[Fertiliser type f]], 0)</f>
        <v>1</v>
      </c>
      <c r="F28" s="182" cm="1">
        <f t="array" ref="F28">Common_InputFunctions.Utility_DisplayArrayInTable(Fertiliser_SourceData.Fertiliser_ChemicalCompoundElements_Data(),Table_Fertiliser_ChemicalCompounds[[#Headers],[Fertiliser type f]], 0)</f>
        <v>0</v>
      </c>
      <c r="G28" s="182" t="str" cm="1">
        <f t="array" ref="G28">Common_InputFunctions.Utility_DisplayArrayInTable(Fertiliser_SourceData.Fertiliser_ChemicalCompoundElements_Data(),Table_Fertiliser_ChemicalCompounds[[#Headers],[Fertiliser type f]], 0)</f>
        <v>Nitrate-based fertilisers</v>
      </c>
      <c r="H28" s="182" t="str" cm="1">
        <f t="array" ref="H28">Common_InputFunctions.Utility_DisplayArrayInTable(Fertiliser_SourceData.Fertiliser_ChemicalCompoundElements_Data(),Table_Fertiliser_ChemicalCompounds[[#Headers],[Fertiliser type f]], 0)</f>
        <v>Nitrogen from Nitrate</v>
      </c>
      <c r="I28" s="182"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HYPERLINK("#'4.2.1.3-4 Soil direct N20'!A1", "4.2.1.3-4 Soil direct N2O")</f>
        <v>4.2.1.3-4 Soil direct N2O</v>
      </c>
      <c r="D29" s="182" t="str" cm="1">
        <f t="array" ref="D29">Common_InputFunctions.Utility_DisplayArrayInTable(Fertiliser_SourceData.Fertiliser_ChemicalCompoundElements_Data(),Table_Fertiliser_ChemicalCompounds[[#Headers],[Fertiliser type f]], 0)</f>
        <v>Nitrogen - Generic</v>
      </c>
      <c r="E29" s="182" cm="1">
        <f t="array" ref="E29">Common_InputFunctions.Utility_DisplayArrayInTable(Fertiliser_SourceData.Fertiliser_ChemicalCompoundElements_Data(),Table_Fertiliser_ChemicalCompounds[[#Headers],[Fertiliser type f]], 0)</f>
        <v>1</v>
      </c>
      <c r="F29" s="182" cm="1">
        <f t="array" ref="F29">Common_InputFunctions.Utility_DisplayArrayInTable(Fertiliser_SourceData.Fertiliser_ChemicalCompoundElements_Data(),Table_Fertiliser_ChemicalCompounds[[#Headers],[Fertiliser type f]], 0)</f>
        <v>0</v>
      </c>
      <c r="G29" s="182" t="str" cm="1">
        <f t="array" ref="G29">Common_InputFunctions.Utility_DisplayArrayInTable(Fertiliser_SourceData.Fertiliser_ChemicalCompoundElements_Data(),Table_Fertiliser_ChemicalCompounds[[#Headers],[Fertiliser type f]], 0)</f>
        <v>Urea-based fertilisers</v>
      </c>
      <c r="H29" s="182" t="str" cm="1">
        <f t="array" ref="H29">Common_InputFunctions.Utility_DisplayArrayInTable(Fertiliser_SourceData.Fertiliser_ChemicalCompoundElements_Data(),Table_Fertiliser_ChemicalCompounds[[#Headers],[Fertiliser type f]], 0)</f>
        <v>Nitrogen from fertiliser</v>
      </c>
      <c r="I29" s="18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HYPERLINK("#'4.2.1.5-6 Soil Atmos Dep'!A1", "4.2.1.5-6 Soil atm. deposition")</f>
        <v>4.2.1.5-6 Soil atm. deposition</v>
      </c>
      <c r="D30" s="182" t="str" cm="1">
        <f t="array" ref="D30">Common_InputFunctions.Utility_DisplayArrayInTable(Fertiliser_SourceData.Fertiliser_ChemicalCompoundElements_Data(),Table_Fertiliser_ChemicalCompounds[[#Headers],[Fertiliser type f]], 0)</f>
        <v>Phosphorus - Generic</v>
      </c>
      <c r="E30" s="182" cm="1">
        <f t="array" ref="E30">Common_InputFunctions.Utility_DisplayArrayInTable(Fertiliser_SourceData.Fertiliser_ChemicalCompoundElements_Data(),Table_Fertiliser_ChemicalCompounds[[#Headers],[Fertiliser type f]], 0)</f>
        <v>0</v>
      </c>
      <c r="F30" s="182" cm="1">
        <f t="array" ref="F30">Common_InputFunctions.Utility_DisplayArrayInTable(Fertiliser_SourceData.Fertiliser_ChemicalCompoundElements_Data(),Table_Fertiliser_ChemicalCompounds[[#Headers],[Fertiliser type f]], 0)</f>
        <v>0</v>
      </c>
      <c r="G30" s="182" t="str" cm="1">
        <f t="array" ref="G30">Common_InputFunctions.Utility_DisplayArrayInTable(Fertiliser_SourceData.Fertiliser_ChemicalCompoundElements_Data(),Table_Fertiliser_ChemicalCompounds[[#Headers],[Fertiliser type f]], 0)</f>
        <v>Other fertilisers</v>
      </c>
      <c r="H30" s="182" t="str" cm="1">
        <f t="array" ref="H30">Common_InputFunctions.Utility_DisplayArrayInTable(Fertiliser_SourceData.Fertiliser_ChemicalCompoundElements_Data(),Table_Fertiliser_ChemicalCompounds[[#Headers],[Fertiliser type f]], 0)</f>
        <v>Phosphorus from fertiliser</v>
      </c>
      <c r="I30" s="18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HYPERLINK("#'4.2.1.7-8 Soil leach runoff'!A1", "4.2.1.7-8 Soil leach &amp; runoff")</f>
        <v>4.2.1.7-8 Soil leach &amp; runoff</v>
      </c>
      <c r="D31" s="182" t="str" cm="1">
        <f t="array" ref="D31">Common_InputFunctions.Utility_DisplayArrayInTable(Fertiliser_SourceData.Fertiliser_ChemicalCompoundElements_Data(),Table_Fertiliser_ChemicalCompounds[[#Headers],[Fertiliser type f]], 0)</f>
        <v>Potassium - Generic</v>
      </c>
      <c r="E31" s="182" cm="1">
        <f t="array" ref="E31">Common_InputFunctions.Utility_DisplayArrayInTable(Fertiliser_SourceData.Fertiliser_ChemicalCompoundElements_Data(),Table_Fertiliser_ChemicalCompounds[[#Headers],[Fertiliser type f]], 0)</f>
        <v>0</v>
      </c>
      <c r="F31" s="182" cm="1">
        <f t="array" ref="F31">Common_InputFunctions.Utility_DisplayArrayInTable(Fertiliser_SourceData.Fertiliser_ChemicalCompoundElements_Data(),Table_Fertiliser_ChemicalCompounds[[#Headers],[Fertiliser type f]], 0)</f>
        <v>0</v>
      </c>
      <c r="G31" s="182" t="str" cm="1">
        <f t="array" ref="G31">Common_InputFunctions.Utility_DisplayArrayInTable(Fertiliser_SourceData.Fertiliser_ChemicalCompoundElements_Data(),Table_Fertiliser_ChemicalCompounds[[#Headers],[Fertiliser type f]], 0)</f>
        <v>Other fertilisers</v>
      </c>
      <c r="H31" s="182" t="str" cm="1">
        <f t="array" ref="H31">Common_InputFunctions.Utility_DisplayArrayInTable(Fertiliser_SourceData.Fertiliser_ChemicalCompoundElements_Data(),Table_Fertiliser_ChemicalCompounds[[#Headers],[Fertiliser type f]], 0)</f>
        <v>Potassium from fertiliser</v>
      </c>
      <c r="I31" s="18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HYPERLINK("#'5.1.1.1-2 Inorganic fert N2O'!A1", "5.1.1.1-2 Inorganic fert N2O")</f>
        <v>5.1.1.1-2 Inorganic fert N2O</v>
      </c>
      <c r="D32" s="182" t="str" cm="1">
        <f t="array" ref="D32">Common_InputFunctions.Utility_DisplayArrayInTable(Fertiliser_SourceData.Fertiliser_ChemicalCompoundElements_Data(),Table_Fertiliser_ChemicalCompounds[[#Headers],[Fertiliser type f]], 0)</f>
        <v>Sulfur - Generic</v>
      </c>
      <c r="E32" s="182" cm="1">
        <f t="array" ref="E32">Common_InputFunctions.Utility_DisplayArrayInTable(Fertiliser_SourceData.Fertiliser_ChemicalCompoundElements_Data(),Table_Fertiliser_ChemicalCompounds[[#Headers],[Fertiliser type f]], 0)</f>
        <v>0</v>
      </c>
      <c r="F32" s="182" cm="1">
        <f t="array" ref="F32">Common_InputFunctions.Utility_DisplayArrayInTable(Fertiliser_SourceData.Fertiliser_ChemicalCompoundElements_Data(),Table_Fertiliser_ChemicalCompounds[[#Headers],[Fertiliser type f]], 0)</f>
        <v>0</v>
      </c>
      <c r="G32" s="182" t="str" cm="1">
        <f t="array" ref="G32">Common_InputFunctions.Utility_DisplayArrayInTable(Fertiliser_SourceData.Fertiliser_ChemicalCompoundElements_Data(),Table_Fertiliser_ChemicalCompounds[[#Headers],[Fertiliser type f]], 0)</f>
        <v>Other fertilisers</v>
      </c>
      <c r="H32" s="182" t="str" cm="1">
        <f t="array" ref="H32">Common_InputFunctions.Utility_DisplayArrayInTable(Fertiliser_SourceData.Fertiliser_ChemicalCompoundElements_Data(),Table_Fertiliser_ChemicalCompounds[[#Headers],[Fertiliser type f]], 0)</f>
        <v>Sulfur from fertiliser</v>
      </c>
      <c r="I32" s="18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HYPERLINK("#'5.1.1.3-4 Inorganic fert CO2'!A1", "5.1.1.3-4 Inorganic fert CO2")</f>
        <v>5.1.1.3-4 Inorganic fert CO2</v>
      </c>
      <c r="D33" s="182" t="str" cm="1">
        <f t="array" ref="D33">Common_InputFunctions.Utility_DisplayArrayInTable(Fertiliser_SourceData.Fertiliser_ChemicalCompoundElements_Data(),Table_Fertiliser_ChemicalCompounds[[#Headers],[Fertiliser type f]], 0)</f>
        <v>Zinc - Generic</v>
      </c>
      <c r="E33" s="182" cm="1">
        <f t="array" ref="E33">Common_InputFunctions.Utility_DisplayArrayInTable(Fertiliser_SourceData.Fertiliser_ChemicalCompoundElements_Data(),Table_Fertiliser_ChemicalCompounds[[#Headers],[Fertiliser type f]], 0)</f>
        <v>0</v>
      </c>
      <c r="F33" s="182" cm="1">
        <f t="array" ref="F33">Common_InputFunctions.Utility_DisplayArrayInTable(Fertiliser_SourceData.Fertiliser_ChemicalCompoundElements_Data(),Table_Fertiliser_ChemicalCompounds[[#Headers],[Fertiliser type f]], 0)</f>
        <v>0</v>
      </c>
      <c r="G33" s="182" t="str" cm="1">
        <f t="array" ref="G33">Common_InputFunctions.Utility_DisplayArrayInTable(Fertiliser_SourceData.Fertiliser_ChemicalCompoundElements_Data(),Table_Fertiliser_ChemicalCompounds[[#Headers],[Fertiliser type f]], 0)</f>
        <v>Other fertilisers</v>
      </c>
      <c r="H33" s="182" t="str" cm="1">
        <f t="array" ref="H33">Common_InputFunctions.Utility_DisplayArrayInTable(Fertiliser_SourceData.Fertiliser_ChemicalCompoundElements_Data(),Table_Fertiliser_ChemicalCompounds[[#Headers],[Fertiliser type f]], 0)</f>
        <v>Zinc from fertiliser</v>
      </c>
      <c r="I33" s="18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HYPERLINK("#'5.2.1.1-2 Organic Fert N2O'!A1", "5.2.1.1-2 Organic fert N2O")</f>
        <v>5.2.1.1-2 Organic fert N2O</v>
      </c>
      <c r="D34" s="182" t="str" cm="1">
        <f t="array" ref="D34">Common_InputFunctions.Utility_DisplayArrayInTable(Fertiliser_SourceData.Fertiliser_ChemicalCompoundElements_Data(),Table_Fertiliser_ChemicalCompounds[[#Headers],[Fertiliser type f]], 0)</f>
        <v>Muriate of potash (MOP)</v>
      </c>
      <c r="E34" s="182" cm="1">
        <f t="array" ref="E34">Common_InputFunctions.Utility_DisplayArrayInTable(Fertiliser_SourceData.Fertiliser_ChemicalCompoundElements_Data(),Table_Fertiliser_ChemicalCompounds[[#Headers],[Fertiliser type f]], 0)</f>
        <v>0</v>
      </c>
      <c r="F34" s="182" cm="1">
        <f t="array" ref="F34">Common_InputFunctions.Utility_DisplayArrayInTable(Fertiliser_SourceData.Fertiliser_ChemicalCompoundElements_Data(),Table_Fertiliser_ChemicalCompounds[[#Headers],[Fertiliser type f]], 0)</f>
        <v>0</v>
      </c>
      <c r="G34" s="182" t="str" cm="1">
        <f t="array" ref="G34">Common_InputFunctions.Utility_DisplayArrayInTable(Fertiliser_SourceData.Fertiliser_ChemicalCompoundElements_Data(),Table_Fertiliser_ChemicalCompounds[[#Headers],[Fertiliser type f]], 0)</f>
        <v>Other fertilisers</v>
      </c>
      <c r="H34" s="182" t="str" cm="1">
        <f t="array" ref="H34">Common_InputFunctions.Utility_DisplayArrayInTable(Fertiliser_SourceData.Fertiliser_ChemicalCompoundElements_Data(),Table_Fertiliser_ChemicalCompounds[[#Headers],[Fertiliser type f]], 0)</f>
        <v>Muriate of potash (MOP)</v>
      </c>
      <c r="I34" s="18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HYPERLINK("#'5.3.1.1-2 Lime CO2'!A1", "5.3.1.1-2 Lime CO2")</f>
        <v>5.3.1.1-2 Lime CO2</v>
      </c>
      <c r="D35" s="182" t="str" cm="1">
        <f t="array" ref="D35">Common_InputFunctions.Utility_DisplayArrayInTable(Fertiliser_SourceData.Fertiliser_ChemicalCompoundElements_Data(),Table_Fertiliser_ChemicalCompounds[[#Headers],[Fertiliser type f]], 0)</f>
        <v>Double superphosphate</v>
      </c>
      <c r="E35" s="182" cm="1">
        <f t="array" ref="E35">Common_InputFunctions.Utility_DisplayArrayInTable(Fertiliser_SourceData.Fertiliser_ChemicalCompoundElements_Data(),Table_Fertiliser_ChemicalCompounds[[#Headers],[Fertiliser type f]], 0)</f>
        <v>0</v>
      </c>
      <c r="F35" s="182" cm="1">
        <f t="array" ref="F35">Common_InputFunctions.Utility_DisplayArrayInTable(Fertiliser_SourceData.Fertiliser_ChemicalCompoundElements_Data(),Table_Fertiliser_ChemicalCompounds[[#Headers],[Fertiliser type f]], 0)</f>
        <v>0</v>
      </c>
      <c r="G35" s="182" t="str" cm="1">
        <f t="array" ref="G35">Common_InputFunctions.Utility_DisplayArrayInTable(Fertiliser_SourceData.Fertiliser_ChemicalCompoundElements_Data(),Table_Fertiliser_ChemicalCompounds[[#Headers],[Fertiliser type f]], 0)</f>
        <v>Other fertilisers</v>
      </c>
      <c r="H35" s="182" t="str" cm="1">
        <f t="array" ref="H35">Common_InputFunctions.Utility_DisplayArrayInTable(Fertiliser_SourceData.Fertiliser_ChemicalCompoundElements_Data(),Table_Fertiliser_ChemicalCompounds[[#Headers],[Fertiliser type f]], 0)</f>
        <v>Double superphosphate</v>
      </c>
      <c r="I35" s="18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HYPERLINK("#'5.4.1.1-4 Atmos deposition'!A1", "5.4.1.1-4 Atmos. deposition")</f>
        <v>5.4.1.1-4 Atmos. deposition</v>
      </c>
      <c r="D36" s="182" t="str" cm="1">
        <f t="array" ref="D36">Common_InputFunctions.Utility_DisplayArrayInTable(Fertiliser_SourceData.Fertiliser_ChemicalCompoundElements_Data(),Table_Fertiliser_ChemicalCompounds[[#Headers],[Fertiliser type f]], 0)</f>
        <v>Single superphosphate (SSP)</v>
      </c>
      <c r="E36" s="182" cm="1">
        <f t="array" ref="E36">Common_InputFunctions.Utility_DisplayArrayInTable(Fertiliser_SourceData.Fertiliser_ChemicalCompoundElements_Data(),Table_Fertiliser_ChemicalCompounds[[#Headers],[Fertiliser type f]], 0)</f>
        <v>0</v>
      </c>
      <c r="F36" s="182" cm="1">
        <f t="array" ref="F36">Common_InputFunctions.Utility_DisplayArrayInTable(Fertiliser_SourceData.Fertiliser_ChemicalCompoundElements_Data(),Table_Fertiliser_ChemicalCompounds[[#Headers],[Fertiliser type f]], 0)</f>
        <v>0</v>
      </c>
      <c r="G36" s="182" t="str" cm="1">
        <f t="array" ref="G36">Common_InputFunctions.Utility_DisplayArrayInTable(Fertiliser_SourceData.Fertiliser_ChemicalCompoundElements_Data(),Table_Fertiliser_ChemicalCompounds[[#Headers],[Fertiliser type f]], 0)</f>
        <v>Other fertilisers</v>
      </c>
      <c r="H36" s="182" t="str" cm="1">
        <f t="array" ref="H36">Common_InputFunctions.Utility_DisplayArrayInTable(Fertiliser_SourceData.Fertiliser_ChemicalCompoundElements_Data(),Table_Fertiliser_ChemicalCompounds[[#Headers],[Fertiliser type f]], 0)</f>
        <v>Single superphosphate (SSP)</v>
      </c>
      <c r="I36" s="18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HYPERLINK("#'5.5.1.1-2 Leaching and runoff'!A1", "5.5.1.1-2 Leaching &amp; runoff")</f>
        <v>5.5.1.1-2 Leaching &amp; runoff</v>
      </c>
      <c r="D37" s="182" t="str" cm="1">
        <f t="array" ref="D37">Common_InputFunctions.Utility_DisplayArrayInTable(Fertiliser_SourceData.Fertiliser_ChemicalCompoundElements_Data(),Table_Fertiliser_ChemicalCompounds[[#Headers],[Fertiliser type f]], 0)</f>
        <v>Ammonia</v>
      </c>
      <c r="E37" s="182" cm="1">
        <f t="array" ref="E37">Common_InputFunctions.Utility_DisplayArrayInTable(Fertiliser_SourceData.Fertiliser_ChemicalCompoundElements_Data(),Table_Fertiliser_ChemicalCompounds[[#Headers],[Fertiliser type f]], 0)</f>
        <v>0.82350000000000001</v>
      </c>
      <c r="F37" s="182" cm="1">
        <f t="array" ref="F37">Common_InputFunctions.Utility_DisplayArrayInTable(Fertiliser_SourceData.Fertiliser_ChemicalCompoundElements_Data(),Table_Fertiliser_ChemicalCompounds[[#Headers],[Fertiliser type f]], 0)</f>
        <v>0</v>
      </c>
      <c r="G37" s="182" t="str" cm="1">
        <f t="array" ref="G37">Common_InputFunctions.Utility_DisplayArrayInTable(Fertiliser_SourceData.Fertiliser_ChemicalCompoundElements_Data(),Table_Fertiliser_ChemicalCompounds[[#Headers],[Fertiliser type f]], 0)</f>
        <v>Ammonium-based fertilisers</v>
      </c>
      <c r="H37" s="182" t="str" cm="1">
        <f t="array" ref="H37">Common_InputFunctions.Utility_DisplayArrayInTable(Fertiliser_SourceData.Fertiliser_ChemicalCompoundElements_Data(),Table_Fertiliser_ChemicalCompounds[[#Headers],[Fertiliser type f]], 0)</f>
        <v>Ammonia</v>
      </c>
      <c r="I37" s="18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HYPERLINK("#'6.2.1.1-2 Pasture residue N2O'!A1", "6.2.1.1-2 Pasture residue N2O")</f>
        <v>6.2.1.1-2 Pasture residue N2O</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HYPERLINK("#'6.3.1.1-2 Leach runoff pasture'!A1", "6.3.1.1-2 Leach &amp; runoff (pasture)")</f>
        <v>6.3.1.1-2 Leach &amp; runoff (pasture)</v>
      </c>
    </row>
    <row r="40" spans="1:10" ht="20.100000000000001" customHeight="1" x14ac:dyDescent="0.25">
      <c r="A40" s="5" t="str">
        <f>HYPERLINK("#'8.1.1.1-2 Transport fuel'!A1", "8.1.1.1-2 Transport fuel")</f>
        <v>8.1.1.1-2 Transport fuel</v>
      </c>
      <c r="D40" s="2" t="s">
        <v>623</v>
      </c>
      <c r="F40" s="2" t="s">
        <v>624</v>
      </c>
      <c r="H40" s="2" t="s">
        <v>372</v>
      </c>
      <c r="J40" s="2" t="s">
        <v>625</v>
      </c>
    </row>
    <row r="41" spans="1:10" ht="20.100000000000001" customHeight="1" x14ac:dyDescent="0.25">
      <c r="A41" s="5" t="str">
        <f>HYPERLINK("#'8.2.1.1-2 Stationary fuel'!A1", "8.2.1.1-2 Stationary fuel")</f>
        <v>8.2.1.1-2 Stationary fuel</v>
      </c>
      <c r="D41" s="30" t="s">
        <v>188</v>
      </c>
      <c r="F41" s="30" t="s">
        <v>188</v>
      </c>
      <c r="H41" s="30" t="s">
        <v>73</v>
      </c>
      <c r="J41" s="30" t="s">
        <v>626</v>
      </c>
    </row>
    <row r="42" spans="1:10" ht="20.100000000000001" customHeight="1" x14ac:dyDescent="0.25">
      <c r="A42" s="5" t="str">
        <f>HYPERLINK("#'14.1.1-2 Purchased electricity'!A1", "14.1.1-2 Purchased electricity")</f>
        <v>14.1.1-2 Purchased electricity</v>
      </c>
      <c r="D42" s="30" t="s">
        <v>191</v>
      </c>
      <c r="F42" s="30" t="s">
        <v>191</v>
      </c>
      <c r="H42" s="30" t="s">
        <v>378</v>
      </c>
      <c r="J42" s="30" t="s">
        <v>627</v>
      </c>
    </row>
    <row r="43" spans="1:10" ht="20.100000000000001" customHeight="1" x14ac:dyDescent="0.25">
      <c r="A43" s="5" t="str">
        <f>HYPERLINK("#'15 Scope 3'!A1", "15 Scope 3")</f>
        <v>15 Scope 3</v>
      </c>
      <c r="D43" s="1" t="s">
        <v>628</v>
      </c>
      <c r="F43" s="1" t="s">
        <v>629</v>
      </c>
      <c r="H43" s="30" t="s">
        <v>382</v>
      </c>
      <c r="J43" s="1" t="s">
        <v>530</v>
      </c>
    </row>
    <row r="44" spans="1:10" ht="20.100000000000001" customHeight="1" x14ac:dyDescent="0.25">
      <c r="A44" s="5" t="str">
        <f>HYPERLINK("#'Calcs - Manure sent off-site'!A1", "Calcs - Manure sent off-site")</f>
        <v>Calcs - Manure sent off-site</v>
      </c>
      <c r="F44" s="1" t="s">
        <v>630</v>
      </c>
      <c r="H44" s="1" t="s">
        <v>242</v>
      </c>
      <c r="J44" s="1" t="s">
        <v>631</v>
      </c>
    </row>
    <row r="45" spans="1:10" ht="20.100000000000001" customHeight="1" x14ac:dyDescent="0.25">
      <c r="A45" s="5" t="str">
        <f>HYPERLINK("#'10.1.1-2 Solid waste treatment'!A1", "10.1.1-2 Solid waste treatment")</f>
        <v>10.1.1-2 Solid waste treatment</v>
      </c>
      <c r="F45" s="1" t="s">
        <v>632</v>
      </c>
      <c r="H45" s="1" t="s">
        <v>390</v>
      </c>
      <c r="J45" s="1" t="s">
        <v>529</v>
      </c>
    </row>
    <row r="46" spans="1:10" ht="20.100000000000001" customHeight="1" x14ac:dyDescent="0.25">
      <c r="H46" s="1" t="s">
        <v>392</v>
      </c>
      <c r="J46" s="1" t="s">
        <v>531</v>
      </c>
    </row>
    <row r="47" spans="1:10" ht="20.100000000000001" customHeight="1" x14ac:dyDescent="0.25"/>
    <row r="48" spans="1:10" ht="20.100000000000001" customHeight="1" x14ac:dyDescent="0.25">
      <c r="A48" s="97" t="s">
        <v>1</v>
      </c>
      <c r="D48" s="2" t="str" cm="1">
        <f t="array" ref="D48">Fertiliser_SourceData.Fertiliser_FracGASF_Title()</f>
        <v>Fraction of inorganic fertiliser that volatilises as NH3 and NOx</v>
      </c>
      <c r="G48" s="173"/>
    </row>
    <row r="49" spans="1:8" ht="20.100000000000001" customHeight="1" x14ac:dyDescent="0.25">
      <c r="A49" s="5" t="str">
        <f>HYPERLINK("#'Constants - Pasture Beef'!A1", "Constants - Pasture Beef")</f>
        <v>Constants - Pasture Beef</v>
      </c>
      <c r="D49" s="27" t="str" cm="1">
        <f t="array" ref="D49">Fertiliser_SourceData.Fertiliser_FracGASF_Source()</f>
        <v>Table A.2.2.6: Fraction of inorganic fertiliser f that volatilises as NH3 and NOx ((kg NH3-N + NOx-N)/kg N) (FracGASFf)</v>
      </c>
      <c r="G49" s="173"/>
    </row>
    <row r="50" spans="1:8" ht="20.100000000000001" customHeight="1" x14ac:dyDescent="0.25">
      <c r="A50" s="5" t="str">
        <f>HYPERLINK("#'Constants - Ag Residue'!A1", "Constants - Ag residue")</f>
        <v>Constants - Ag residue</v>
      </c>
      <c r="D50" s="30" t="s">
        <v>536</v>
      </c>
      <c r="E50" s="30" t="s">
        <v>633</v>
      </c>
      <c r="G50" s="173"/>
    </row>
    <row r="51" spans="1:8" ht="20.100000000000001" customHeight="1" x14ac:dyDescent="0.25">
      <c r="A51" s="5" t="str">
        <f>HYPERLINK("#'Constants - Common Livestock'!A1", "Constants - Common Livestock")</f>
        <v>Constants - Common Livestock</v>
      </c>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3"/>
    </row>
    <row r="52" spans="1:8" ht="20.100000000000001" customHeight="1" x14ac:dyDescent="0.25">
      <c r="A52" s="5" t="str">
        <f>HYPERLINK("#'Constants - Electricity'!A1", "Constants - Electricity")</f>
        <v>Constants - Electricity</v>
      </c>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3"/>
    </row>
    <row r="53" spans="1:8" ht="20.100000000000001" customHeight="1" x14ac:dyDescent="0.25">
      <c r="A53" s="127" t="str">
        <f>HYPERLINK("#'Constants - Fertiliser'!A1", "Constants - Fertiliser")</f>
        <v>Constants - Fertiliser</v>
      </c>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3"/>
    </row>
    <row r="54" spans="1:8" ht="20.100000000000001" customHeight="1" x14ac:dyDescent="0.25">
      <c r="A54" s="5" t="str">
        <f>HYPERLINK("#'Constants - Fuel'!A1", "Constants - Fuel")</f>
        <v>Constants - Fuel</v>
      </c>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3"/>
      <c r="H54" s="173"/>
    </row>
    <row r="55" spans="1:8" ht="20.100000000000001" customHeight="1" x14ac:dyDescent="0.25">
      <c r="A55" s="5" t="str">
        <f>HYPERLINK("#'Constants - Scope 3'!A1", "Constants - Scope 3")</f>
        <v>Constants - Scope 3</v>
      </c>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3"/>
      <c r="H55" s="173"/>
    </row>
    <row r="56" spans="1:8" ht="20.100000000000001" customHeight="1" x14ac:dyDescent="0.25">
      <c r="A56" s="5" t="str">
        <f>HYPERLINK("#'Constants - Common'!A1", "Constants - Common")</f>
        <v>Constants - Common</v>
      </c>
    </row>
    <row r="57" spans="1:8" ht="20.100000000000001" customHeight="1" x14ac:dyDescent="0.25">
      <c r="A57" s="5" t="str">
        <f>HYPERLINK("#'Acknowledgements'!A1", "Acknowledgements")</f>
        <v>Acknowledgements</v>
      </c>
    </row>
    <row r="58" spans="1:8" ht="20.100000000000001" customHeight="1" x14ac:dyDescent="0.25">
      <c r="A58" s="5" t="str">
        <f>HYPERLINK("#'Constants - Solid Waste'!A1", "Constants - Solid Waste")</f>
        <v>Constants - Solid Waste</v>
      </c>
      <c r="D58" s="2" t="str" cm="1">
        <f t="array" ref="D58">Fertiliser_SourceData.Fertiliser_EFUreaCO2_Title()</f>
        <v>Emission factor for carbon emissions from urea application</v>
      </c>
    </row>
    <row r="59" spans="1:8" ht="20.100000000000001" customHeight="1" x14ac:dyDescent="0.25">
      <c r="D59" s="27" t="str" cm="1">
        <f t="array" ref="D59">Fertiliser_SourceData.Fertiliser_EFUreaCO2_Source()</f>
        <v>VEERG 2026: 5.1.2.2 Constant Parameters</v>
      </c>
    </row>
    <row r="60" spans="1: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583</v>
      </c>
      <c r="E65" s="30" t="s">
        <v>634</v>
      </c>
      <c r="F65" s="30" t="s">
        <v>635</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636</v>
      </c>
    </row>
    <row r="87" spans="4:31" ht="20.100000000000001" customHeight="1" x14ac:dyDescent="0.25">
      <c r="D87" s="2" t="s">
        <v>637</v>
      </c>
      <c r="E87" s="173"/>
      <c r="F87" s="173"/>
      <c r="G87" s="173"/>
      <c r="H87" s="173"/>
      <c r="I87" s="173"/>
      <c r="J87" s="173"/>
      <c r="K87" s="173"/>
      <c r="L87" s="173"/>
      <c r="N87" s="173" t="s">
        <v>636</v>
      </c>
      <c r="O87" s="173"/>
      <c r="P87" s="173"/>
      <c r="Q87" s="173"/>
      <c r="R87" s="173"/>
      <c r="S87" s="173"/>
      <c r="T87" s="173"/>
      <c r="U87" s="173"/>
    </row>
    <row r="88" spans="4:31" ht="20.100000000000001" customHeight="1" x14ac:dyDescent="0.25">
      <c r="D88" s="173"/>
    </row>
    <row r="89" spans="4:31" ht="20.100000000000001" customHeight="1" x14ac:dyDescent="0.25">
      <c r="D89" s="183" t="s">
        <v>638</v>
      </c>
      <c r="E89" s="30" t="s">
        <v>639</v>
      </c>
      <c r="F89" s="30" t="s">
        <v>640</v>
      </c>
      <c r="G89" s="136" t="s">
        <v>641</v>
      </c>
      <c r="H89" s="136" t="s">
        <v>131</v>
      </c>
      <c r="I89" s="136" t="s">
        <v>642</v>
      </c>
      <c r="J89" s="136" t="s">
        <v>490</v>
      </c>
      <c r="K89" s="136" t="s">
        <v>491</v>
      </c>
      <c r="L89" s="136" t="s">
        <v>477</v>
      </c>
      <c r="M89" s="136" t="s">
        <v>478</v>
      </c>
      <c r="N89" s="136" t="s">
        <v>479</v>
      </c>
      <c r="O89" s="30" t="s">
        <v>480</v>
      </c>
      <c r="P89" s="30" t="s">
        <v>481</v>
      </c>
      <c r="Q89" s="30" t="s">
        <v>482</v>
      </c>
      <c r="R89" s="136" t="s">
        <v>483</v>
      </c>
      <c r="S89" s="136" t="s">
        <v>484</v>
      </c>
      <c r="T89" s="30" t="s">
        <v>485</v>
      </c>
      <c r="U89" s="136" t="s">
        <v>486</v>
      </c>
      <c r="V89" s="136" t="s">
        <v>487</v>
      </c>
      <c r="W89" s="136" t="s">
        <v>488</v>
      </c>
      <c r="X89" s="136" t="s">
        <v>643</v>
      </c>
      <c r="Y89" s="136" t="s">
        <v>644</v>
      </c>
      <c r="Z89" s="30" t="s">
        <v>645</v>
      </c>
      <c r="AA89" s="30" t="s">
        <v>646</v>
      </c>
      <c r="AB89" s="30" t="s">
        <v>647</v>
      </c>
      <c r="AC89" s="30" t="s">
        <v>648</v>
      </c>
      <c r="AD89" s="30" t="s">
        <v>649</v>
      </c>
      <c r="AE89" s="30" t="s">
        <v>650</v>
      </c>
    </row>
    <row r="90" spans="4:31" ht="20.100000000000001" customHeight="1" x14ac:dyDescent="0.25">
      <c r="D90" s="182" t="str" cm="1">
        <f t="array" ref="D90">Common_InputFunctions.Utility_DisplayArrayInTable(Fertiliser_SourceData.Fertiliser_Products_Data1(),FertiliserProducts[[#Headers],[Include or Exclude]], -1)</f>
        <v>Include</v>
      </c>
      <c r="E90" s="182" t="str" cm="1">
        <f t="array" ref="E90">Common_InputFunctions.Utility_DisplayArrayInTable(Fertiliser_SourceData.Fertiliser_Products_Data1(),FertiliserProducts[[#Headers],[Include or Exclude]], 0)</f>
        <v/>
      </c>
      <c r="F90" s="182" t="str" cm="1">
        <f t="array" ref="F90">Common_InputFunctions.Utility_DisplayArrayInTable(Fertiliser_SourceData.Fertiliser_Products_Data1(),FertiliserProducts[[#Headers],[Include or Exclude]], 0)</f>
        <v>Campbells fertilisers Australia</v>
      </c>
      <c r="G90" s="182" t="str" cm="1">
        <f t="array" ref="G90">Common_InputFunctions.Utility_DisplayArrayInTable(Fertiliser_SourceData.Fertiliser_Products_Data1(),FertiliserProducts[[#Headers],[Include or Exclude]], 0)</f>
        <v>Aqua Finish</v>
      </c>
      <c r="H90" s="182" t="str" cm="1">
        <f t="array" ref="H90">Common_InputFunctions.Utility_DisplayArrayInTable(Fertiliser_SourceData.Fertiliser_Products_Data1(),FertiliserProducts[[#Headers],[Include or Exclude]], 0,4)</f>
        <v>L</v>
      </c>
      <c r="I90" s="182" cm="1">
        <f t="array" ref="I90">Common_InputFunctions.Utility_DisplayArrayInTable(Fertiliser_SourceData.Fertiliser_Products_Data1(),FertiliserProducts[[#Headers],[Include or Exclude]], 0,4)</f>
        <v>1.26</v>
      </c>
      <c r="J90" s="182" t="str" cm="1">
        <f t="array" ref="J90">Common_InputFunctions.Utility_DisplayArrayInTable(Fertiliser_SourceData.Fertiliser_Products_Data1(),FertiliserProducts[[#Headers],[Include or Exclude]], 0,4)</f>
        <v/>
      </c>
      <c r="K90" s="182" t="str" cm="1">
        <f t="array" ref="K90">Common_InputFunctions.Utility_DisplayArrayInTable(Fertiliser_SourceData.Fertiliser_Products_Data1(),FertiliserProducts[[#Headers],[Include or Exclude]], 0,4)</f>
        <v/>
      </c>
      <c r="L90" s="182" t="str" cm="1">
        <f t="array" ref="L90">Common_InputFunctions.Utility_DisplayArrayInTable(Fertiliser_SourceData.Fertiliser_Products_Data1(),FertiliserProducts[[#Headers],[Include or Exclude]], 0,4)</f>
        <v>Potassium - Generic</v>
      </c>
      <c r="M90" s="182" cm="1">
        <f t="array" ref="M90">Common_InputFunctions.Utility_DisplayArrayInTable(Fertiliser_SourceData.Fertiliser_Products_Data1(),FertiliserProducts[[#Headers],[Include or Exclude]], 0,4)</f>
        <v>0.22500000000000001</v>
      </c>
      <c r="N90" s="182" t="str" cm="1">
        <f t="array" ref="N90">Common_InputFunctions.Utility_DisplayArrayInTable(Fertiliser_SourceData.Fertiliser_Products_Data1(),FertiliserProducts[[#Headers],[Include or Exclude]], 0,4)</f>
        <v>Phosphorus - Generic</v>
      </c>
      <c r="O90" s="182" cm="1">
        <f t="array" ref="O90">Common_InputFunctions.Utility_DisplayArrayInTable(Fertiliser_SourceData.Fertiliser_Products_Data1(),FertiliserProducts[[#Headers],[Include or Exclude]], 0,4)</f>
        <v>0.04</v>
      </c>
      <c r="P90" s="182" t="str" cm="1">
        <f t="array" ref="P90">Common_InputFunctions.Utility_DisplayArrayInTable(Fertiliser_SourceData.Fertiliser_Products_Data1(),FertiliserProducts[[#Headers],[Include or Exclude]], 0,4)</f>
        <v>Nitrogen - Generic</v>
      </c>
      <c r="Q90" s="182" cm="1">
        <f t="array" ref="Q90">Common_InputFunctions.Utility_DisplayArrayInTable(Fertiliser_SourceData.Fertiliser_Products_Data1(),FertiliserProducts[[#Headers],[Include or Exclude]], 0,4)</f>
        <v>2.5999999999999999E-2</v>
      </c>
      <c r="R90" s="182" t="str" cm="1">
        <f t="array" ref="R90">Common_InputFunctions.Utility_DisplayArrayInTable(Fertiliser_SourceData.Fertiliser_Products_Data1(),FertiliserProducts[[#Headers],[Include or Exclude]], 0,4)</f>
        <v/>
      </c>
      <c r="S90" s="182" t="str" cm="1">
        <f t="array" ref="S90">Common_InputFunctions.Utility_DisplayArrayInTable(Fertiliser_SourceData.Fertiliser_Products_Data1(),FertiliserProducts[[#Headers],[Include or Exclude]], 0,4)</f>
        <v/>
      </c>
      <c r="T90" s="182" t="str" cm="1">
        <f t="array" ref="T90">Common_InputFunctions.Utility_DisplayArrayInTable(Fertiliser_SourceData.Fertiliser_Products_Data1(),FertiliserProducts[[#Headers],[Include or Exclude]], 0,4)</f>
        <v/>
      </c>
      <c r="U90" s="182" t="str" cm="1">
        <f t="array" ref="U90">Common_InputFunctions.Utility_DisplayArrayInTable(Fertiliser_SourceData.Fertiliser_Products_Data1(),FertiliserProducts[[#Headers],[Include or Exclude]], 0,4)</f>
        <v/>
      </c>
      <c r="V90" s="182" t="str" cm="1">
        <f t="array" ref="V90">Common_InputFunctions.Utility_DisplayArrayInTable(Fertiliser_SourceData.Fertiliser_Products_Data1(),FertiliserProducts[[#Headers],[Include or Exclude]], 0,4)</f>
        <v/>
      </c>
      <c r="W90" s="182" t="str" cm="1">
        <f t="array" ref="W90">Common_InputFunctions.Utility_DisplayArrayInTable(Fertiliser_SourceData.Fertiliser_Products_Data1(),FertiliserProducts[[#Headers],[Include or Exclude]], 0,4)</f>
        <v/>
      </c>
      <c r="X90" s="182" t="str" cm="1">
        <f t="array" ref="X90">Common_InputFunctions.Utility_DisplayArrayInTable(Fertiliser_SourceData.Fertiliser_Products_Data1(),FertiliserProducts[[#Headers],[Include or Exclude]], 0,4)</f>
        <v/>
      </c>
      <c r="Y90" s="182" t="str" cm="1">
        <f t="array" ref="Y90">Common_InputFunctions.Utility_DisplayArrayInTable(Fertiliser_SourceData.Fertiliser_Products_Data1(),FertiliserProducts[[#Headers],[Include or Exclude]], 0,4)</f>
        <v/>
      </c>
      <c r="Z90" s="182" t="str" cm="1">
        <f t="array" ref="Z90">Common_InputFunctions.Utility_DisplayArrayInTable(Fertiliser_SourceData.Fertiliser_Products_Data1(),FertiliserProducts[[#Headers],[Include or Exclude]], 0,4)</f>
        <v/>
      </c>
      <c r="AA90" s="182" t="str" cm="1">
        <f t="array" ref="AA90">Common_InputFunctions.Utility_DisplayArrayInTable(Fertiliser_SourceData.Fertiliser_Products_Data1(),FertiliserProducts[[#Headers],[Include or Exclude]], 0,4)</f>
        <v/>
      </c>
      <c r="AB90" s="182" t="str" cm="1">
        <f t="array" ref="AB90">Common_InputFunctions.Utility_DisplayArrayInTable(Fertiliser_SourceData.Fertiliser_Products_Data1(),FertiliserProducts[[#Headers],[Include or Exclude]], 0,4)</f>
        <v/>
      </c>
      <c r="AC90" s="182" t="str" cm="1">
        <f t="array" ref="AC90">Common_InputFunctions.Utility_DisplayArrayInTable(Fertiliser_SourceData.Fertiliser_Products_Data1(),FertiliserProducts[[#Headers],[Include or Exclude]], 0,4)</f>
        <v/>
      </c>
      <c r="AD90" s="182" t="str" cm="1">
        <f t="array" ref="AD90">Common_InputFunctions.Utility_DisplayArrayInTable(Fertiliser_SourceData.Fertiliser_Products_Data1(),FertiliserProducts[[#Headers],[Include or Exclude]], 0,4)</f>
        <v/>
      </c>
      <c r="AE90" s="182" t="str" cm="1">
        <f t="array" ref="AE90">Common_InputFunctions.Utility_DisplayArrayInTable(Fertiliser_SourceData.Fertiliser_Products_Data1(),FertiliserProducts[[#Headers],[Include or Exclude]], 0,4)</f>
        <v/>
      </c>
    </row>
    <row r="91" spans="4:31" ht="20.100000000000001" customHeight="1" x14ac:dyDescent="0.25">
      <c r="D91" s="182" t="str" cm="1">
        <f t="array" ref="D91">Common_InputFunctions.Utility_DisplayArrayInTable(Fertiliser_SourceData.Fertiliser_Products_Data1(),FertiliserProducts[[#Headers],[Include or Exclude]], -1)</f>
        <v>Include</v>
      </c>
      <c r="E91" s="182" t="str" cm="1">
        <f t="array" ref="E91">Common_InputFunctions.Utility_DisplayArrayInTable(Fertiliser_SourceData.Fertiliser_Products_Data1(),FertiliserProducts[[#Headers],[Include or Exclude]], 0)</f>
        <v/>
      </c>
      <c r="F91" s="182" t="str" cm="1">
        <f t="array" ref="F91">Common_InputFunctions.Utility_DisplayArrayInTable(Fertiliser_SourceData.Fertiliser_Products_Data1(),FertiliserProducts[[#Headers],[Include or Exclude]], 0)</f>
        <v>Campbells fertilisers Australia</v>
      </c>
      <c r="G91" s="182" t="str" cm="1">
        <f t="array" ref="G91">Common_InputFunctions.Utility_DisplayArrayInTable(Fertiliser_SourceData.Fertiliser_Products_Data1(),FertiliserProducts[[#Headers],[Include or Exclude]], 0)</f>
        <v>Aqua Grow</v>
      </c>
      <c r="H91" s="182" t="str" cm="1">
        <f t="array" ref="H91">Common_InputFunctions.Utility_DisplayArrayInTable(Fertiliser_SourceData.Fertiliser_Products_Data1(),FertiliserProducts[[#Headers],[Include or Exclude]], 0,4)</f>
        <v>L</v>
      </c>
      <c r="I91" s="182" cm="1">
        <f t="array" ref="I91">Common_InputFunctions.Utility_DisplayArrayInTable(Fertiliser_SourceData.Fertiliser_Products_Data1(),FertiliserProducts[[#Headers],[Include or Exclude]], 0,4)</f>
        <v>1.26</v>
      </c>
      <c r="J91" s="182" t="str" cm="1">
        <f t="array" ref="J91">Common_InputFunctions.Utility_DisplayArrayInTable(Fertiliser_SourceData.Fertiliser_Products_Data1(),FertiliserProducts[[#Headers],[Include or Exclude]], 0,4)</f>
        <v/>
      </c>
      <c r="K91" s="182" t="str" cm="1">
        <f t="array" ref="K91">Common_InputFunctions.Utility_DisplayArrayInTable(Fertiliser_SourceData.Fertiliser_Products_Data1(),FertiliserProducts[[#Headers],[Include or Exclude]], 0,4)</f>
        <v/>
      </c>
      <c r="L91" s="182" t="str" cm="1">
        <f t="array" ref="L91">Common_InputFunctions.Utility_DisplayArrayInTable(Fertiliser_SourceData.Fertiliser_Products_Data1(),FertiliserProducts[[#Headers],[Include or Exclude]], 0,4)</f>
        <v>Potassium - Generic</v>
      </c>
      <c r="M91" s="182" cm="1">
        <f t="array" ref="M91">Common_InputFunctions.Utility_DisplayArrayInTable(Fertiliser_SourceData.Fertiliser_Products_Data1(),FertiliserProducts[[#Headers],[Include or Exclude]], 0,4)</f>
        <v>0.105</v>
      </c>
      <c r="N91" s="182" t="str" cm="1">
        <f t="array" ref="N91">Common_InputFunctions.Utility_DisplayArrayInTable(Fertiliser_SourceData.Fertiliser_Products_Data1(),FertiliserProducts[[#Headers],[Include or Exclude]], 0,4)</f>
        <v>Nitrogen - Generic</v>
      </c>
      <c r="O91" s="182" cm="1">
        <f t="array" ref="O91">Common_InputFunctions.Utility_DisplayArrayInTable(Fertiliser_SourceData.Fertiliser_Products_Data1(),FertiliserProducts[[#Headers],[Include or Exclude]], 0,4)</f>
        <v>9.6000000000000002E-2</v>
      </c>
      <c r="P91" s="182" t="str" cm="1">
        <f t="array" ref="P91">Common_InputFunctions.Utility_DisplayArrayInTable(Fertiliser_SourceData.Fertiliser_Products_Data1(),FertiliserProducts[[#Headers],[Include or Exclude]], 0,4)</f>
        <v>Phosphorus - Generic</v>
      </c>
      <c r="Q91" s="182" cm="1">
        <f t="array" ref="Q91">Common_InputFunctions.Utility_DisplayArrayInTable(Fertiliser_SourceData.Fertiliser_Products_Data1(),FertiliserProducts[[#Headers],[Include or Exclude]], 0,4)</f>
        <v>0.05</v>
      </c>
      <c r="R91" s="182" t="str" cm="1">
        <f t="array" ref="R91">Common_InputFunctions.Utility_DisplayArrayInTable(Fertiliser_SourceData.Fertiliser_Products_Data1(),FertiliserProducts[[#Headers],[Include or Exclude]], 0,4)</f>
        <v/>
      </c>
      <c r="S91" s="182" t="str" cm="1">
        <f t="array" ref="S91">Common_InputFunctions.Utility_DisplayArrayInTable(Fertiliser_SourceData.Fertiliser_Products_Data1(),FertiliserProducts[[#Headers],[Include or Exclude]], 0,4)</f>
        <v/>
      </c>
      <c r="T91" s="182" t="str" cm="1">
        <f t="array" ref="T91">Common_InputFunctions.Utility_DisplayArrayInTable(Fertiliser_SourceData.Fertiliser_Products_Data1(),FertiliserProducts[[#Headers],[Include or Exclude]], 0,4)</f>
        <v/>
      </c>
      <c r="U91" s="182" t="str" cm="1">
        <f t="array" ref="U91">Common_InputFunctions.Utility_DisplayArrayInTable(Fertiliser_SourceData.Fertiliser_Products_Data1(),FertiliserProducts[[#Headers],[Include or Exclude]], 0,4)</f>
        <v/>
      </c>
      <c r="V91" s="182" t="str" cm="1">
        <f t="array" ref="V91">Common_InputFunctions.Utility_DisplayArrayInTable(Fertiliser_SourceData.Fertiliser_Products_Data1(),FertiliserProducts[[#Headers],[Include or Exclude]], 0,4)</f>
        <v/>
      </c>
      <c r="W91" s="182" t="str" cm="1">
        <f t="array" ref="W91">Common_InputFunctions.Utility_DisplayArrayInTable(Fertiliser_SourceData.Fertiliser_Products_Data1(),FertiliserProducts[[#Headers],[Include or Exclude]], 0,4)</f>
        <v/>
      </c>
      <c r="X91" s="182" t="str" cm="1">
        <f t="array" ref="X91">Common_InputFunctions.Utility_DisplayArrayInTable(Fertiliser_SourceData.Fertiliser_Products_Data1(),FertiliserProducts[[#Headers],[Include or Exclude]], 0,4)</f>
        <v/>
      </c>
      <c r="Y91" s="182" t="str" cm="1">
        <f t="array" ref="Y91">Common_InputFunctions.Utility_DisplayArrayInTable(Fertiliser_SourceData.Fertiliser_Products_Data1(),FertiliserProducts[[#Headers],[Include or Exclude]], 0,4)</f>
        <v/>
      </c>
      <c r="Z91" s="182" t="str" cm="1">
        <f t="array" ref="Z91">Common_InputFunctions.Utility_DisplayArrayInTable(Fertiliser_SourceData.Fertiliser_Products_Data1(),FertiliserProducts[[#Headers],[Include or Exclude]], 0,4)</f>
        <v/>
      </c>
      <c r="AA91" s="182" t="str" cm="1">
        <f t="array" ref="AA91">Common_InputFunctions.Utility_DisplayArrayInTable(Fertiliser_SourceData.Fertiliser_Products_Data1(),FertiliserProducts[[#Headers],[Include or Exclude]], 0,4)</f>
        <v/>
      </c>
      <c r="AB91" s="182" t="str" cm="1">
        <f t="array" ref="AB91">Common_InputFunctions.Utility_DisplayArrayInTable(Fertiliser_SourceData.Fertiliser_Products_Data1(),FertiliserProducts[[#Headers],[Include or Exclude]], 0,4)</f>
        <v/>
      </c>
      <c r="AC91" s="182" t="str" cm="1">
        <f t="array" ref="AC91">Common_InputFunctions.Utility_DisplayArrayInTable(Fertiliser_SourceData.Fertiliser_Products_Data1(),FertiliserProducts[[#Headers],[Include or Exclude]], 0,4)</f>
        <v/>
      </c>
      <c r="AD91" s="182" t="str" cm="1">
        <f t="array" ref="AD91">Common_InputFunctions.Utility_DisplayArrayInTable(Fertiliser_SourceData.Fertiliser_Products_Data1(),FertiliserProducts[[#Headers],[Include or Exclude]], 0,4)</f>
        <v/>
      </c>
      <c r="AE91" s="182" t="str" cm="1">
        <f t="array" ref="AE91">Common_InputFunctions.Utility_DisplayArrayInTable(Fertiliser_SourceData.Fertiliser_Products_Data1(),FertiliserProducts[[#Headers],[Include or Exclude]], 0,4)</f>
        <v/>
      </c>
    </row>
    <row r="92" spans="4:31" ht="20.100000000000001" customHeight="1" x14ac:dyDescent="0.25">
      <c r="D92" s="182" t="str" cm="1">
        <f t="array" ref="D92">Common_InputFunctions.Utility_DisplayArrayInTable(Fertiliser_SourceData.Fertiliser_Products_Data1(),FertiliserProducts[[#Headers],[Include or Exclude]], -1)</f>
        <v>Include</v>
      </c>
      <c r="E92" s="182" t="str" cm="1">
        <f t="array" ref="E92">Common_InputFunctions.Utility_DisplayArrayInTable(Fertiliser_SourceData.Fertiliser_Products_Data1(),FertiliserProducts[[#Headers],[Include or Exclude]], 0)</f>
        <v/>
      </c>
      <c r="F92" s="182" t="str" cm="1">
        <f t="array" ref="F92">Common_InputFunctions.Utility_DisplayArrayInTable(Fertiliser_SourceData.Fertiliser_Products_Data1(),FertiliserProducts[[#Headers],[Include or Exclude]], 0)</f>
        <v>Campbells fertilisers Australia</v>
      </c>
      <c r="G92" s="182" t="str" cm="1">
        <f t="array" ref="G92">Common_InputFunctions.Utility_DisplayArrayInTable(Fertiliser_SourceData.Fertiliser_Products_Data1(),FertiliserProducts[[#Headers],[Include or Exclude]], 0)</f>
        <v>Aqua Nitro AN</v>
      </c>
      <c r="H92" s="182" t="str" cm="1">
        <f t="array" ref="H92">Common_InputFunctions.Utility_DisplayArrayInTable(Fertiliser_SourceData.Fertiliser_Products_Data1(),FertiliserProducts[[#Headers],[Include or Exclude]], 0,4)</f>
        <v>L</v>
      </c>
      <c r="I92" s="182" cm="1">
        <f t="array" ref="I92">Common_InputFunctions.Utility_DisplayArrayInTable(Fertiliser_SourceData.Fertiliser_Products_Data1(),FertiliserProducts[[#Headers],[Include or Exclude]], 0,4)</f>
        <v>1.24</v>
      </c>
      <c r="J92" s="182" t="str" cm="1">
        <f t="array" ref="J92">Common_InputFunctions.Utility_DisplayArrayInTable(Fertiliser_SourceData.Fertiliser_Products_Data1(),FertiliserProducts[[#Headers],[Include or Exclude]], 0,4)</f>
        <v/>
      </c>
      <c r="K92" s="182" t="str" cm="1">
        <f t="array" ref="K92">Common_InputFunctions.Utility_DisplayArrayInTable(Fertiliser_SourceData.Fertiliser_Products_Data1(),FertiliserProducts[[#Headers],[Include or Exclude]], 0,4)</f>
        <v/>
      </c>
      <c r="L92" s="182" t="str" cm="1">
        <f t="array" ref="L92">Common_InputFunctions.Utility_DisplayArrayInTable(Fertiliser_SourceData.Fertiliser_Products_Data1(),FertiliserProducts[[#Headers],[Include or Exclude]], 0,4)</f>
        <v>Nitrogen - Ammoniacal</v>
      </c>
      <c r="M92" s="182" cm="1">
        <f t="array" ref="M92">Common_InputFunctions.Utility_DisplayArrayInTable(Fertiliser_SourceData.Fertiliser_Products_Data1(),FertiliserProducts[[#Headers],[Include or Exclude]], 0,4)</f>
        <v>0.223</v>
      </c>
      <c r="N92" s="182" t="str" cm="1">
        <f t="array" ref="N92">Common_InputFunctions.Utility_DisplayArrayInTable(Fertiliser_SourceData.Fertiliser_Products_Data1(),FertiliserProducts[[#Headers],[Include or Exclude]], 0,4)</f>
        <v/>
      </c>
      <c r="O92" s="182" t="str" cm="1">
        <f t="array" ref="O92">Common_InputFunctions.Utility_DisplayArrayInTable(Fertiliser_SourceData.Fertiliser_Products_Data1(),FertiliserProducts[[#Headers],[Include or Exclude]], 0,4)</f>
        <v/>
      </c>
      <c r="P92" s="182" t="str" cm="1">
        <f t="array" ref="P92">Common_InputFunctions.Utility_DisplayArrayInTable(Fertiliser_SourceData.Fertiliser_Products_Data1(),FertiliserProducts[[#Headers],[Include or Exclude]], 0,4)</f>
        <v/>
      </c>
      <c r="Q92" s="182" t="str" cm="1">
        <f t="array" ref="Q92">Common_InputFunctions.Utility_DisplayArrayInTable(Fertiliser_SourceData.Fertiliser_Products_Data1(),FertiliserProducts[[#Headers],[Include or Exclude]], 0,4)</f>
        <v/>
      </c>
      <c r="R92" s="182" t="str" cm="1">
        <f t="array" ref="R92">Common_InputFunctions.Utility_DisplayArrayInTable(Fertiliser_SourceData.Fertiliser_Products_Data1(),FertiliserProducts[[#Headers],[Include or Exclude]], 0,4)</f>
        <v/>
      </c>
      <c r="S92" s="182" t="str" cm="1">
        <f t="array" ref="S92">Common_InputFunctions.Utility_DisplayArrayInTable(Fertiliser_SourceData.Fertiliser_Products_Data1(),FertiliserProducts[[#Headers],[Include or Exclude]], 0,4)</f>
        <v/>
      </c>
      <c r="T92" s="182" t="str" cm="1">
        <f t="array" ref="T92">Common_InputFunctions.Utility_DisplayArrayInTable(Fertiliser_SourceData.Fertiliser_Products_Data1(),FertiliserProducts[[#Headers],[Include or Exclude]], 0,4)</f>
        <v/>
      </c>
      <c r="U92" s="182" t="str" cm="1">
        <f t="array" ref="U92">Common_InputFunctions.Utility_DisplayArrayInTable(Fertiliser_SourceData.Fertiliser_Products_Data1(),FertiliserProducts[[#Headers],[Include or Exclude]], 0,4)</f>
        <v/>
      </c>
      <c r="V92" s="182" t="str" cm="1">
        <f t="array" ref="V92">Common_InputFunctions.Utility_DisplayArrayInTable(Fertiliser_SourceData.Fertiliser_Products_Data1(),FertiliserProducts[[#Headers],[Include or Exclude]], 0,4)</f>
        <v/>
      </c>
      <c r="W92" s="182" t="str" cm="1">
        <f t="array" ref="W92">Common_InputFunctions.Utility_DisplayArrayInTable(Fertiliser_SourceData.Fertiliser_Products_Data1(),FertiliserProducts[[#Headers],[Include or Exclude]], 0,4)</f>
        <v/>
      </c>
      <c r="X92" s="182" t="str" cm="1">
        <f t="array" ref="X92">Common_InputFunctions.Utility_DisplayArrayInTable(Fertiliser_SourceData.Fertiliser_Products_Data1(),FertiliserProducts[[#Headers],[Include or Exclude]], 0,4)</f>
        <v/>
      </c>
      <c r="Y92" s="182" t="str" cm="1">
        <f t="array" ref="Y92">Common_InputFunctions.Utility_DisplayArrayInTable(Fertiliser_SourceData.Fertiliser_Products_Data1(),FertiliserProducts[[#Headers],[Include or Exclude]], 0,4)</f>
        <v/>
      </c>
      <c r="Z92" s="182" t="str" cm="1">
        <f t="array" ref="Z92">Common_InputFunctions.Utility_DisplayArrayInTable(Fertiliser_SourceData.Fertiliser_Products_Data1(),FertiliserProducts[[#Headers],[Include or Exclude]], 0,4)</f>
        <v/>
      </c>
      <c r="AA92" s="182" t="str" cm="1">
        <f t="array" ref="AA92">Common_InputFunctions.Utility_DisplayArrayInTable(Fertiliser_SourceData.Fertiliser_Products_Data1(),FertiliserProducts[[#Headers],[Include or Exclude]], 0,4)</f>
        <v/>
      </c>
      <c r="AB92" s="182" t="str" cm="1">
        <f t="array" ref="AB92">Common_InputFunctions.Utility_DisplayArrayInTable(Fertiliser_SourceData.Fertiliser_Products_Data1(),FertiliserProducts[[#Headers],[Include or Exclude]], 0,4)</f>
        <v/>
      </c>
      <c r="AC92" s="182" t="str" cm="1">
        <f t="array" ref="AC92">Common_InputFunctions.Utility_DisplayArrayInTable(Fertiliser_SourceData.Fertiliser_Products_Data1(),FertiliserProducts[[#Headers],[Include or Exclude]], 0,4)</f>
        <v/>
      </c>
      <c r="AD92" s="182" t="str" cm="1">
        <f t="array" ref="AD92">Common_InputFunctions.Utility_DisplayArrayInTable(Fertiliser_SourceData.Fertiliser_Products_Data1(),FertiliserProducts[[#Headers],[Include or Exclude]], 0,4)</f>
        <v/>
      </c>
      <c r="AE92" s="182" t="str" cm="1">
        <f t="array" ref="AE92">Common_InputFunctions.Utility_DisplayArrayInTable(Fertiliser_SourceData.Fertiliser_Products_Data1(),FertiliserProducts[[#Headers],[Include or Exclude]], 0,4)</f>
        <v/>
      </c>
    </row>
    <row r="93" spans="4:31" ht="20.100000000000001" customHeight="1" x14ac:dyDescent="0.25">
      <c r="D93" s="182" t="str" cm="1">
        <f t="array" ref="D93">Common_InputFunctions.Utility_DisplayArrayInTable(Fertiliser_SourceData.Fertiliser_Products_Data1(),FertiliserProducts[[#Headers],[Include or Exclude]], -1)</f>
        <v>Include</v>
      </c>
      <c r="E93" s="182" t="str" cm="1">
        <f t="array" ref="E93">Common_InputFunctions.Utility_DisplayArrayInTable(Fertiliser_SourceData.Fertiliser_Products_Data1(),FertiliserProducts[[#Headers],[Include or Exclude]], 0)</f>
        <v>Use Lime EF for calcium</v>
      </c>
      <c r="F93" s="182" t="str" cm="1">
        <f t="array" ref="F93">Common_InputFunctions.Utility_DisplayArrayInTable(Fertiliser_SourceData.Fertiliser_Products_Data1(),FertiliserProducts[[#Headers],[Include or Exclude]], 0)</f>
        <v>Campbells fertilisers Australia</v>
      </c>
      <c r="G93" s="182" t="str" cm="1">
        <f t="array" ref="G93">Common_InputFunctions.Utility_DisplayArrayInTable(Fertiliser_SourceData.Fertiliser_Products_Data1(),FertiliserProducts[[#Headers],[Include or Exclude]], 0)</f>
        <v>Aqua NitroCal</v>
      </c>
      <c r="H93" s="182" t="str" cm="1">
        <f t="array" ref="H93">Common_InputFunctions.Utility_DisplayArrayInTable(Fertiliser_SourceData.Fertiliser_Products_Data1(),FertiliserProducts[[#Headers],[Include or Exclude]], 0,4)</f>
        <v>L</v>
      </c>
      <c r="I93" s="182" cm="1">
        <f t="array" ref="I93">Common_InputFunctions.Utility_DisplayArrayInTable(Fertiliser_SourceData.Fertiliser_Products_Data1(),FertiliserProducts[[#Headers],[Include or Exclude]], 0,4)</f>
        <v>1.5</v>
      </c>
      <c r="J93" s="182" t="str" cm="1">
        <f t="array" ref="J93">Common_InputFunctions.Utility_DisplayArrayInTable(Fertiliser_SourceData.Fertiliser_Products_Data1(),FertiliserProducts[[#Headers],[Include or Exclude]], 0,4)</f>
        <v/>
      </c>
      <c r="K93" s="182" t="str" cm="1">
        <f t="array" ref="K93">Common_InputFunctions.Utility_DisplayArrayInTable(Fertiliser_SourceData.Fertiliser_Products_Data1(),FertiliserProducts[[#Headers],[Include or Exclude]], 0,4)</f>
        <v/>
      </c>
      <c r="L93" s="182" t="str" cm="1">
        <f t="array" ref="L93">Common_InputFunctions.Utility_DisplayArrayInTable(Fertiliser_SourceData.Fertiliser_Products_Data1(),FertiliserProducts[[#Headers],[Include or Exclude]], 0,4)</f>
        <v>Calcium - Generic</v>
      </c>
      <c r="M93" s="182" cm="1">
        <f t="array" ref="M93">Common_InputFunctions.Utility_DisplayArrayInTable(Fertiliser_SourceData.Fertiliser_Products_Data1(),FertiliserProducts[[#Headers],[Include or Exclude]], 0,4)</f>
        <v>0.16200000000000001</v>
      </c>
      <c r="N93" s="182" t="str" cm="1">
        <f t="array" ref="N93">Common_InputFunctions.Utility_DisplayArrayInTable(Fertiliser_SourceData.Fertiliser_Products_Data1(),FertiliserProducts[[#Headers],[Include or Exclude]], 0,4)</f>
        <v>Nitrogen - Nitrate</v>
      </c>
      <c r="O93" s="182" cm="1">
        <f t="array" ref="O93">Common_InputFunctions.Utility_DisplayArrayInTable(Fertiliser_SourceData.Fertiliser_Products_Data1(),FertiliserProducts[[#Headers],[Include or Exclude]], 0,4)</f>
        <v>0.13200000000000001</v>
      </c>
      <c r="P93" s="182" t="str" cm="1">
        <f t="array" ref="P93">Common_InputFunctions.Utility_DisplayArrayInTable(Fertiliser_SourceData.Fertiliser_Products_Data1(),FertiliserProducts[[#Headers],[Include or Exclude]], 0,4)</f>
        <v/>
      </c>
      <c r="Q93" s="182" t="str" cm="1">
        <f t="array" ref="Q93">Common_InputFunctions.Utility_DisplayArrayInTable(Fertiliser_SourceData.Fertiliser_Products_Data1(),FertiliserProducts[[#Headers],[Include or Exclude]], 0,4)</f>
        <v/>
      </c>
      <c r="R93" s="182" t="str" cm="1">
        <f t="array" ref="R93">Common_InputFunctions.Utility_DisplayArrayInTable(Fertiliser_SourceData.Fertiliser_Products_Data1(),FertiliserProducts[[#Headers],[Include or Exclude]], 0,4)</f>
        <v/>
      </c>
      <c r="S93" s="182" t="str" cm="1">
        <f t="array" ref="S93">Common_InputFunctions.Utility_DisplayArrayInTable(Fertiliser_SourceData.Fertiliser_Products_Data1(),FertiliserProducts[[#Headers],[Include or Exclude]], 0,4)</f>
        <v/>
      </c>
      <c r="T93" s="182" t="str" cm="1">
        <f t="array" ref="T93">Common_InputFunctions.Utility_DisplayArrayInTable(Fertiliser_SourceData.Fertiliser_Products_Data1(),FertiliserProducts[[#Headers],[Include or Exclude]], 0,4)</f>
        <v/>
      </c>
      <c r="U93" s="182" t="str" cm="1">
        <f t="array" ref="U93">Common_InputFunctions.Utility_DisplayArrayInTable(Fertiliser_SourceData.Fertiliser_Products_Data1(),FertiliserProducts[[#Headers],[Include or Exclude]], 0,4)</f>
        <v/>
      </c>
      <c r="V93" s="182" t="str" cm="1">
        <f t="array" ref="V93">Common_InputFunctions.Utility_DisplayArrayInTable(Fertiliser_SourceData.Fertiliser_Products_Data1(),FertiliserProducts[[#Headers],[Include or Exclude]], 0,4)</f>
        <v/>
      </c>
      <c r="W93" s="182" t="str" cm="1">
        <f t="array" ref="W93">Common_InputFunctions.Utility_DisplayArrayInTable(Fertiliser_SourceData.Fertiliser_Products_Data1(),FertiliserProducts[[#Headers],[Include or Exclude]], 0,4)</f>
        <v/>
      </c>
      <c r="X93" s="182" t="str" cm="1">
        <f t="array" ref="X93">Common_InputFunctions.Utility_DisplayArrayInTable(Fertiliser_SourceData.Fertiliser_Products_Data1(),FertiliserProducts[[#Headers],[Include or Exclude]], 0,4)</f>
        <v/>
      </c>
      <c r="Y93" s="182" t="str" cm="1">
        <f t="array" ref="Y93">Common_InputFunctions.Utility_DisplayArrayInTable(Fertiliser_SourceData.Fertiliser_Products_Data1(),FertiliserProducts[[#Headers],[Include or Exclude]], 0,4)</f>
        <v/>
      </c>
      <c r="Z93" s="182" t="str" cm="1">
        <f t="array" ref="Z93">Common_InputFunctions.Utility_DisplayArrayInTable(Fertiliser_SourceData.Fertiliser_Products_Data1(),FertiliserProducts[[#Headers],[Include or Exclude]], 0,4)</f>
        <v/>
      </c>
      <c r="AA93" s="182" t="str" cm="1">
        <f t="array" ref="AA93">Common_InputFunctions.Utility_DisplayArrayInTable(Fertiliser_SourceData.Fertiliser_Products_Data1(),FertiliserProducts[[#Headers],[Include or Exclude]], 0,4)</f>
        <v/>
      </c>
      <c r="AB93" s="182" t="str" cm="1">
        <f t="array" ref="AB93">Common_InputFunctions.Utility_DisplayArrayInTable(Fertiliser_SourceData.Fertiliser_Products_Data1(),FertiliserProducts[[#Headers],[Include or Exclude]], 0,4)</f>
        <v/>
      </c>
      <c r="AC93" s="182" t="str" cm="1">
        <f t="array" ref="AC93">Common_InputFunctions.Utility_DisplayArrayInTable(Fertiliser_SourceData.Fertiliser_Products_Data1(),FertiliserProducts[[#Headers],[Include or Exclude]], 0,4)</f>
        <v/>
      </c>
      <c r="AD93" s="182" t="str" cm="1">
        <f t="array" ref="AD93">Common_InputFunctions.Utility_DisplayArrayInTable(Fertiliser_SourceData.Fertiliser_Products_Data1(),FertiliserProducts[[#Headers],[Include or Exclude]], 0,4)</f>
        <v/>
      </c>
      <c r="AE93" s="182" t="str" cm="1">
        <f t="array" ref="AE93">Common_InputFunctions.Utility_DisplayArrayInTable(Fertiliser_SourceData.Fertiliser_Products_Data1(),FertiliserProducts[[#Headers],[Include or Exclude]], 0,4)</f>
        <v/>
      </c>
    </row>
    <row r="94" spans="4:31" ht="20.100000000000001" customHeight="1" x14ac:dyDescent="0.25">
      <c r="D94" s="182" t="str" cm="1">
        <f t="array" ref="D94">Common_InputFunctions.Utility_DisplayArrayInTable(Fertiliser_SourceData.Fertiliser_Products_Data1(),FertiliserProducts[[#Headers],[Include or Exclude]], -1)</f>
        <v>Include</v>
      </c>
      <c r="E94" s="182" t="str" cm="1">
        <f t="array" ref="E94">Common_InputFunctions.Utility_DisplayArrayInTable(Fertiliser_SourceData.Fertiliser_Products_Data1(),FertiliserProducts[[#Headers],[Include or Exclude]], 0)</f>
        <v>Use Lime EF for calcium</v>
      </c>
      <c r="F94" s="182" t="str" cm="1">
        <f t="array" ref="F94">Common_InputFunctions.Utility_DisplayArrayInTable(Fertiliser_SourceData.Fertiliser_Products_Data1(),FertiliserProducts[[#Headers],[Include or Exclude]], 0)</f>
        <v>Campbells fertilisers Australia</v>
      </c>
      <c r="G94" s="182" t="str" cm="1">
        <f t="array" ref="G94">Common_InputFunctions.Utility_DisplayArrayInTable(Fertiliser_SourceData.Fertiliser_Products_Data1(),FertiliserProducts[[#Headers],[Include or Exclude]], 0)</f>
        <v>Aqua NitroCal (VI)</v>
      </c>
      <c r="H94" s="182" t="str" cm="1">
        <f t="array" ref="H94">Common_InputFunctions.Utility_DisplayArrayInTable(Fertiliser_SourceData.Fertiliser_Products_Data1(),FertiliserProducts[[#Headers],[Include or Exclude]], 0,4)</f>
        <v>L</v>
      </c>
      <c r="I94" s="182" cm="1">
        <f t="array" ref="I94">Common_InputFunctions.Utility_DisplayArrayInTable(Fertiliser_SourceData.Fertiliser_Products_Data1(),FertiliserProducts[[#Headers],[Include or Exclude]], 0,4)</f>
        <v>1.5</v>
      </c>
      <c r="J94" s="182" t="str" cm="1">
        <f t="array" ref="J94">Common_InputFunctions.Utility_DisplayArrayInTable(Fertiliser_SourceData.Fertiliser_Products_Data1(),FertiliserProducts[[#Headers],[Include or Exclude]], 0,4)</f>
        <v/>
      </c>
      <c r="K94" s="182" t="str" cm="1">
        <f t="array" ref="K94">Common_InputFunctions.Utility_DisplayArrayInTable(Fertiliser_SourceData.Fertiliser_Products_Data1(),FertiliserProducts[[#Headers],[Include or Exclude]], 0,4)</f>
        <v/>
      </c>
      <c r="L94" s="182" t="str" cm="1">
        <f t="array" ref="L94">Common_InputFunctions.Utility_DisplayArrayInTable(Fertiliser_SourceData.Fertiliser_Products_Data1(),FertiliserProducts[[#Headers],[Include or Exclude]], 0,4)</f>
        <v>Calcium - Generic</v>
      </c>
      <c r="M94" s="182" cm="1">
        <f t="array" ref="M94">Common_InputFunctions.Utility_DisplayArrayInTable(Fertiliser_SourceData.Fertiliser_Products_Data1(),FertiliserProducts[[#Headers],[Include or Exclude]], 0,4)</f>
        <v>0.187</v>
      </c>
      <c r="N94" s="182" t="str" cm="1">
        <f t="array" ref="N94">Common_InputFunctions.Utility_DisplayArrayInTable(Fertiliser_SourceData.Fertiliser_Products_Data1(),FertiliserProducts[[#Headers],[Include or Exclude]], 0,4)</f>
        <v>Nitrogen - Nitrate</v>
      </c>
      <c r="O94" s="182" cm="1">
        <f t="array" ref="O94">Common_InputFunctions.Utility_DisplayArrayInTable(Fertiliser_SourceData.Fertiliser_Products_Data1(),FertiliserProducts[[#Headers],[Include or Exclude]], 0,4)</f>
        <v>0.13200000000000001</v>
      </c>
      <c r="P94" s="182" t="str" cm="1">
        <f t="array" ref="P94">Common_InputFunctions.Utility_DisplayArrayInTable(Fertiliser_SourceData.Fertiliser_Products_Data1(),FertiliserProducts[[#Headers],[Include or Exclude]], 0,4)</f>
        <v/>
      </c>
      <c r="Q94" s="182" t="str" cm="1">
        <f t="array" ref="Q94">Common_InputFunctions.Utility_DisplayArrayInTable(Fertiliser_SourceData.Fertiliser_Products_Data1(),FertiliserProducts[[#Headers],[Include or Exclude]], 0,4)</f>
        <v/>
      </c>
      <c r="R94" s="182" t="str" cm="1">
        <f t="array" ref="R94">Common_InputFunctions.Utility_DisplayArrayInTable(Fertiliser_SourceData.Fertiliser_Products_Data1(),FertiliserProducts[[#Headers],[Include or Exclude]], 0,4)</f>
        <v/>
      </c>
      <c r="S94" s="182" t="str" cm="1">
        <f t="array" ref="S94">Common_InputFunctions.Utility_DisplayArrayInTable(Fertiliser_SourceData.Fertiliser_Products_Data1(),FertiliserProducts[[#Headers],[Include or Exclude]], 0,4)</f>
        <v/>
      </c>
      <c r="T94" s="182" t="str" cm="1">
        <f t="array" ref="T94">Common_InputFunctions.Utility_DisplayArrayInTable(Fertiliser_SourceData.Fertiliser_Products_Data1(),FertiliserProducts[[#Headers],[Include or Exclude]], 0,4)</f>
        <v/>
      </c>
      <c r="U94" s="182" t="str" cm="1">
        <f t="array" ref="U94">Common_InputFunctions.Utility_DisplayArrayInTable(Fertiliser_SourceData.Fertiliser_Products_Data1(),FertiliserProducts[[#Headers],[Include or Exclude]], 0,4)</f>
        <v/>
      </c>
      <c r="V94" s="182" t="str" cm="1">
        <f t="array" ref="V94">Common_InputFunctions.Utility_DisplayArrayInTable(Fertiliser_SourceData.Fertiliser_Products_Data1(),FertiliserProducts[[#Headers],[Include or Exclude]], 0,4)</f>
        <v/>
      </c>
      <c r="W94" s="182" t="str" cm="1">
        <f t="array" ref="W94">Common_InputFunctions.Utility_DisplayArrayInTable(Fertiliser_SourceData.Fertiliser_Products_Data1(),FertiliserProducts[[#Headers],[Include or Exclude]], 0,4)</f>
        <v/>
      </c>
      <c r="X94" s="182" t="str" cm="1">
        <f t="array" ref="X94">Common_InputFunctions.Utility_DisplayArrayInTable(Fertiliser_SourceData.Fertiliser_Products_Data1(),FertiliserProducts[[#Headers],[Include or Exclude]], 0,4)</f>
        <v/>
      </c>
      <c r="Y94" s="182" t="str" cm="1">
        <f t="array" ref="Y94">Common_InputFunctions.Utility_DisplayArrayInTable(Fertiliser_SourceData.Fertiliser_Products_Data1(),FertiliserProducts[[#Headers],[Include or Exclude]], 0,4)</f>
        <v/>
      </c>
      <c r="Z94" s="182" t="str" cm="1">
        <f t="array" ref="Z94">Common_InputFunctions.Utility_DisplayArrayInTable(Fertiliser_SourceData.Fertiliser_Products_Data1(),FertiliserProducts[[#Headers],[Include or Exclude]], 0,4)</f>
        <v/>
      </c>
      <c r="AA94" s="182" t="str" cm="1">
        <f t="array" ref="AA94">Common_InputFunctions.Utility_DisplayArrayInTable(Fertiliser_SourceData.Fertiliser_Products_Data1(),FertiliserProducts[[#Headers],[Include or Exclude]], 0,4)</f>
        <v/>
      </c>
      <c r="AB94" s="182" t="str" cm="1">
        <f t="array" ref="AB94">Common_InputFunctions.Utility_DisplayArrayInTable(Fertiliser_SourceData.Fertiliser_Products_Data1(),FertiliserProducts[[#Headers],[Include or Exclude]], 0,4)</f>
        <v/>
      </c>
      <c r="AC94" s="182" t="str" cm="1">
        <f t="array" ref="AC94">Common_InputFunctions.Utility_DisplayArrayInTable(Fertiliser_SourceData.Fertiliser_Products_Data1(),FertiliserProducts[[#Headers],[Include or Exclude]], 0,4)</f>
        <v/>
      </c>
      <c r="AD94" s="182" t="str" cm="1">
        <f t="array" ref="AD94">Common_InputFunctions.Utility_DisplayArrayInTable(Fertiliser_SourceData.Fertiliser_Products_Data1(),FertiliserProducts[[#Headers],[Include or Exclude]], 0,4)</f>
        <v/>
      </c>
      <c r="AE94" s="182" t="str" cm="1">
        <f t="array" ref="AE94">Common_InputFunctions.Utility_DisplayArrayInTable(Fertiliser_SourceData.Fertiliser_Products_Data1(),FertiliserProducts[[#Headers],[Include or Exclude]], 0,4)</f>
        <v/>
      </c>
    </row>
    <row r="95" spans="4:31" ht="20.100000000000001" customHeight="1" x14ac:dyDescent="0.25">
      <c r="D95" s="182" t="str" cm="1">
        <f t="array" ref="D95">Common_InputFunctions.Utility_DisplayArrayInTable(Fertiliser_SourceData.Fertiliser_Products_Data1(),FertiliserProducts[[#Headers],[Include or Exclude]], -1)</f>
        <v>Include</v>
      </c>
      <c r="E95" s="182" t="str" cm="1">
        <f t="array" ref="E95">Common_InputFunctions.Utility_DisplayArrayInTable(Fertiliser_SourceData.Fertiliser_Products_Data1(),FertiliserProducts[[#Headers],[Include or Exclude]], 0)</f>
        <v>Use Lime EF for calcium</v>
      </c>
      <c r="F95" s="182" t="str" cm="1">
        <f t="array" ref="F95">Common_InputFunctions.Utility_DisplayArrayInTable(Fertiliser_SourceData.Fertiliser_Products_Data1(),FertiliserProducts[[#Headers],[Include or Exclude]], 0)</f>
        <v>Campbells fertilisers Australia</v>
      </c>
      <c r="G95" s="182" t="str" cm="1">
        <f t="array" ref="G95">Common_InputFunctions.Utility_DisplayArrayInTable(Fertiliser_SourceData.Fertiliser_Products_Data1(),FertiliserProducts[[#Headers],[Include or Exclude]], 0)</f>
        <v>Aqua NitroCal Ultimate</v>
      </c>
      <c r="H95" s="182" t="str" cm="1">
        <f t="array" ref="H95">Common_InputFunctions.Utility_DisplayArrayInTable(Fertiliser_SourceData.Fertiliser_Products_Data1(),FertiliserProducts[[#Headers],[Include or Exclude]], 0,4)</f>
        <v>L</v>
      </c>
      <c r="I95" s="182" cm="1">
        <f t="array" ref="I95">Common_InputFunctions.Utility_DisplayArrayInTable(Fertiliser_SourceData.Fertiliser_Products_Data1(),FertiliserProducts[[#Headers],[Include or Exclude]], 0,4)</f>
        <v>1.5</v>
      </c>
      <c r="J95" s="182" t="str" cm="1">
        <f t="array" ref="J95">Common_InputFunctions.Utility_DisplayArrayInTable(Fertiliser_SourceData.Fertiliser_Products_Data1(),FertiliserProducts[[#Headers],[Include or Exclude]], 0,4)</f>
        <v/>
      </c>
      <c r="K95" s="182" t="str" cm="1">
        <f t="array" ref="K95">Common_InputFunctions.Utility_DisplayArrayInTable(Fertiliser_SourceData.Fertiliser_Products_Data1(),FertiliserProducts[[#Headers],[Include or Exclude]], 0,4)</f>
        <v/>
      </c>
      <c r="L95" s="182" t="str" cm="1">
        <f t="array" ref="L95">Common_InputFunctions.Utility_DisplayArrayInTable(Fertiliser_SourceData.Fertiliser_Products_Data1(),FertiliserProducts[[#Headers],[Include or Exclude]], 0,4)</f>
        <v>Calcium - Generic</v>
      </c>
      <c r="M95" s="182" cm="1">
        <f t="array" ref="M95">Common_InputFunctions.Utility_DisplayArrayInTable(Fertiliser_SourceData.Fertiliser_Products_Data1(),FertiliserProducts[[#Headers],[Include or Exclude]], 0,4)</f>
        <v>0.183</v>
      </c>
      <c r="N95" s="182" t="str" cm="1">
        <f t="array" ref="N95">Common_InputFunctions.Utility_DisplayArrayInTable(Fertiliser_SourceData.Fertiliser_Products_Data1(),FertiliserProducts[[#Headers],[Include or Exclude]], 0,4)</f>
        <v>Nitrogen  - Nitrate</v>
      </c>
      <c r="O95" s="182" cm="1">
        <f t="array" ref="O95">Common_InputFunctions.Utility_DisplayArrayInTable(Fertiliser_SourceData.Fertiliser_Products_Data1(),FertiliserProducts[[#Headers],[Include or Exclude]], 0,4)</f>
        <v>0.13200000000000001</v>
      </c>
      <c r="P95" s="182" t="str" cm="1">
        <f t="array" ref="P95">Common_InputFunctions.Utility_DisplayArrayInTable(Fertiliser_SourceData.Fertiliser_Products_Data1(),FertiliserProducts[[#Headers],[Include or Exclude]], 0,4)</f>
        <v/>
      </c>
      <c r="Q95" s="182" t="str" cm="1">
        <f t="array" ref="Q95">Common_InputFunctions.Utility_DisplayArrayInTable(Fertiliser_SourceData.Fertiliser_Products_Data1(),FertiliserProducts[[#Headers],[Include or Exclude]], 0,4)</f>
        <v/>
      </c>
      <c r="R95" s="182" t="str" cm="1">
        <f t="array" ref="R95">Common_InputFunctions.Utility_DisplayArrayInTable(Fertiliser_SourceData.Fertiliser_Products_Data1(),FertiliserProducts[[#Headers],[Include or Exclude]], 0,4)</f>
        <v/>
      </c>
      <c r="S95" s="182" t="str" cm="1">
        <f t="array" ref="S95">Common_InputFunctions.Utility_DisplayArrayInTable(Fertiliser_SourceData.Fertiliser_Products_Data1(),FertiliserProducts[[#Headers],[Include or Exclude]], 0,4)</f>
        <v/>
      </c>
      <c r="T95" s="182" t="str" cm="1">
        <f t="array" ref="T95">Common_InputFunctions.Utility_DisplayArrayInTable(Fertiliser_SourceData.Fertiliser_Products_Data1(),FertiliserProducts[[#Headers],[Include or Exclude]], 0,4)</f>
        <v/>
      </c>
      <c r="U95" s="182" t="str" cm="1">
        <f t="array" ref="U95">Common_InputFunctions.Utility_DisplayArrayInTable(Fertiliser_SourceData.Fertiliser_Products_Data1(),FertiliserProducts[[#Headers],[Include or Exclude]], 0,4)</f>
        <v/>
      </c>
      <c r="V95" s="182" t="str" cm="1">
        <f t="array" ref="V95">Common_InputFunctions.Utility_DisplayArrayInTable(Fertiliser_SourceData.Fertiliser_Products_Data1(),FertiliserProducts[[#Headers],[Include or Exclude]], 0,4)</f>
        <v/>
      </c>
      <c r="W95" s="182" t="str" cm="1">
        <f t="array" ref="W95">Common_InputFunctions.Utility_DisplayArrayInTable(Fertiliser_SourceData.Fertiliser_Products_Data1(),FertiliserProducts[[#Headers],[Include or Exclude]], 0,4)</f>
        <v/>
      </c>
      <c r="X95" s="182" t="str" cm="1">
        <f t="array" ref="X95">Common_InputFunctions.Utility_DisplayArrayInTable(Fertiliser_SourceData.Fertiliser_Products_Data1(),FertiliserProducts[[#Headers],[Include or Exclude]], 0,4)</f>
        <v/>
      </c>
      <c r="Y95" s="182" t="str" cm="1">
        <f t="array" ref="Y95">Common_InputFunctions.Utility_DisplayArrayInTable(Fertiliser_SourceData.Fertiliser_Products_Data1(),FertiliserProducts[[#Headers],[Include or Exclude]], 0,4)</f>
        <v/>
      </c>
      <c r="Z95" s="182" t="str" cm="1">
        <f t="array" ref="Z95">Common_InputFunctions.Utility_DisplayArrayInTable(Fertiliser_SourceData.Fertiliser_Products_Data1(),FertiliserProducts[[#Headers],[Include or Exclude]], 0,4)</f>
        <v/>
      </c>
      <c r="AA95" s="182" t="str" cm="1">
        <f t="array" ref="AA95">Common_InputFunctions.Utility_DisplayArrayInTable(Fertiliser_SourceData.Fertiliser_Products_Data1(),FertiliserProducts[[#Headers],[Include or Exclude]], 0,4)</f>
        <v/>
      </c>
      <c r="AB95" s="182" t="str" cm="1">
        <f t="array" ref="AB95">Common_InputFunctions.Utility_DisplayArrayInTable(Fertiliser_SourceData.Fertiliser_Products_Data1(),FertiliserProducts[[#Headers],[Include or Exclude]], 0,4)</f>
        <v/>
      </c>
      <c r="AC95" s="182" t="str" cm="1">
        <f t="array" ref="AC95">Common_InputFunctions.Utility_DisplayArrayInTable(Fertiliser_SourceData.Fertiliser_Products_Data1(),FertiliserProducts[[#Headers],[Include or Exclude]], 0,4)</f>
        <v/>
      </c>
      <c r="AD95" s="182" t="str" cm="1">
        <f t="array" ref="AD95">Common_InputFunctions.Utility_DisplayArrayInTable(Fertiliser_SourceData.Fertiliser_Products_Data1(),FertiliserProducts[[#Headers],[Include or Exclude]], 0,4)</f>
        <v/>
      </c>
      <c r="AE95" s="182" t="str" cm="1">
        <f t="array" ref="AE95">Common_InputFunctions.Utility_DisplayArrayInTable(Fertiliser_SourceData.Fertiliser_Products_Data1(),FertiliserProducts[[#Headers],[Include or Exclude]], 0,4)</f>
        <v/>
      </c>
    </row>
    <row r="96" spans="4:31" ht="20.100000000000001" customHeight="1" x14ac:dyDescent="0.25">
      <c r="D96" s="182" t="str" cm="1">
        <f t="array" ref="D96">Common_InputFunctions.Utility_DisplayArrayInTable(Fertiliser_SourceData.Fertiliser_Products_Data1(),FertiliserProducts[[#Headers],[Include or Exclude]], -1)</f>
        <v>Include</v>
      </c>
      <c r="E96" s="182" t="str" cm="1">
        <f t="array" ref="E96">Common_InputFunctions.Utility_DisplayArrayInTable(Fertiliser_SourceData.Fertiliser_Products_Data1(),FertiliserProducts[[#Headers],[Include or Exclude]], 0)</f>
        <v/>
      </c>
      <c r="F96" s="182" t="str" cm="1">
        <f t="array" ref="F96">Common_InputFunctions.Utility_DisplayArrayInTable(Fertiliser_SourceData.Fertiliser_Products_Data1(),FertiliserProducts[[#Headers],[Include or Exclude]], 0)</f>
        <v>Campbells fertilisers Australia</v>
      </c>
      <c r="G96" s="182" t="str" cm="1">
        <f t="array" ref="G96">Common_InputFunctions.Utility_DisplayArrayInTable(Fertiliser_SourceData.Fertiliser_Products_Data1(),FertiliserProducts[[#Headers],[Include or Exclude]], 0)</f>
        <v>Aqua Start</v>
      </c>
      <c r="H96" s="182" t="str" cm="1">
        <f t="array" ref="H96">Common_InputFunctions.Utility_DisplayArrayInTable(Fertiliser_SourceData.Fertiliser_Products_Data1(),FertiliserProducts[[#Headers],[Include or Exclude]], 0,4)</f>
        <v>L</v>
      </c>
      <c r="I96" s="182" cm="1">
        <f t="array" ref="I96">Common_InputFunctions.Utility_DisplayArrayInTable(Fertiliser_SourceData.Fertiliser_Products_Data1(),FertiliserProducts[[#Headers],[Include or Exclude]], 0,4)</f>
        <v>1.25</v>
      </c>
      <c r="J96" s="182" t="str" cm="1">
        <f t="array" ref="J96">Common_InputFunctions.Utility_DisplayArrayInTable(Fertiliser_SourceData.Fertiliser_Products_Data1(),FertiliserProducts[[#Headers],[Include or Exclude]], 0,4)</f>
        <v/>
      </c>
      <c r="K96" s="182" t="str" cm="1">
        <f t="array" ref="K96">Common_InputFunctions.Utility_DisplayArrayInTable(Fertiliser_SourceData.Fertiliser_Products_Data1(),FertiliserProducts[[#Headers],[Include or Exclude]], 0,4)</f>
        <v/>
      </c>
      <c r="L96" s="182" t="str" cm="1">
        <f t="array" ref="L96">Common_InputFunctions.Utility_DisplayArrayInTable(Fertiliser_SourceData.Fertiliser_Products_Data1(),FertiliserProducts[[#Headers],[Include or Exclude]], 0,4)</f>
        <v>Nitrogen - Generic</v>
      </c>
      <c r="M96" s="182" cm="1">
        <f t="array" ref="M96">Common_InputFunctions.Utility_DisplayArrayInTable(Fertiliser_SourceData.Fertiliser_Products_Data1(),FertiliserProducts[[#Headers],[Include or Exclude]], 0,4)</f>
        <v>0.10299999999999999</v>
      </c>
      <c r="N96" s="182" t="str" cm="1">
        <f t="array" ref="N96">Common_InputFunctions.Utility_DisplayArrayInTable(Fertiliser_SourceData.Fertiliser_Products_Data1(),FertiliserProducts[[#Headers],[Include or Exclude]], 0,4)</f>
        <v>Phosphorus - Generic</v>
      </c>
      <c r="O96" s="182" cm="1">
        <f t="array" ref="O96">Common_InputFunctions.Utility_DisplayArrayInTable(Fertiliser_SourceData.Fertiliser_Products_Data1(),FertiliserProducts[[#Headers],[Include or Exclude]], 0,4)</f>
        <v>0.1</v>
      </c>
      <c r="P96" s="182" t="str" cm="1">
        <f t="array" ref="P96">Common_InputFunctions.Utility_DisplayArrayInTable(Fertiliser_SourceData.Fertiliser_Products_Data1(),FertiliserProducts[[#Headers],[Include or Exclude]], 0,4)</f>
        <v>Potassium - Generic</v>
      </c>
      <c r="Q96" s="182" cm="1">
        <f t="array" ref="Q96">Common_InputFunctions.Utility_DisplayArrayInTable(Fertiliser_SourceData.Fertiliser_Products_Data1(),FertiliserProducts[[#Headers],[Include or Exclude]], 0,4)</f>
        <v>3.4000000000000002E-2</v>
      </c>
      <c r="R96" s="182" t="str" cm="1">
        <f t="array" ref="R96">Common_InputFunctions.Utility_DisplayArrayInTable(Fertiliser_SourceData.Fertiliser_Products_Data1(),FertiliserProducts[[#Headers],[Include or Exclude]], 0,4)</f>
        <v/>
      </c>
      <c r="S96" s="182" t="str" cm="1">
        <f t="array" ref="S96">Common_InputFunctions.Utility_DisplayArrayInTable(Fertiliser_SourceData.Fertiliser_Products_Data1(),FertiliserProducts[[#Headers],[Include or Exclude]], 0,4)</f>
        <v/>
      </c>
      <c r="T96" s="182" t="str" cm="1">
        <f t="array" ref="T96">Common_InputFunctions.Utility_DisplayArrayInTable(Fertiliser_SourceData.Fertiliser_Products_Data1(),FertiliserProducts[[#Headers],[Include or Exclude]], 0,4)</f>
        <v/>
      </c>
      <c r="U96" s="182" t="str" cm="1">
        <f t="array" ref="U96">Common_InputFunctions.Utility_DisplayArrayInTable(Fertiliser_SourceData.Fertiliser_Products_Data1(),FertiliserProducts[[#Headers],[Include or Exclude]], 0,4)</f>
        <v/>
      </c>
      <c r="V96" s="182" t="str" cm="1">
        <f t="array" ref="V96">Common_InputFunctions.Utility_DisplayArrayInTable(Fertiliser_SourceData.Fertiliser_Products_Data1(),FertiliserProducts[[#Headers],[Include or Exclude]], 0,4)</f>
        <v/>
      </c>
      <c r="W96" s="182" t="str" cm="1">
        <f t="array" ref="W96">Common_InputFunctions.Utility_DisplayArrayInTable(Fertiliser_SourceData.Fertiliser_Products_Data1(),FertiliserProducts[[#Headers],[Include or Exclude]], 0,4)</f>
        <v/>
      </c>
      <c r="X96" s="182" t="str" cm="1">
        <f t="array" ref="X96">Common_InputFunctions.Utility_DisplayArrayInTable(Fertiliser_SourceData.Fertiliser_Products_Data1(),FertiliserProducts[[#Headers],[Include or Exclude]], 0,4)</f>
        <v/>
      </c>
      <c r="Y96" s="182" t="str" cm="1">
        <f t="array" ref="Y96">Common_InputFunctions.Utility_DisplayArrayInTable(Fertiliser_SourceData.Fertiliser_Products_Data1(),FertiliserProducts[[#Headers],[Include or Exclude]], 0,4)</f>
        <v/>
      </c>
      <c r="Z96" s="182" t="str" cm="1">
        <f t="array" ref="Z96">Common_InputFunctions.Utility_DisplayArrayInTable(Fertiliser_SourceData.Fertiliser_Products_Data1(),FertiliserProducts[[#Headers],[Include or Exclude]], 0,4)</f>
        <v/>
      </c>
      <c r="AA96" s="182" t="str" cm="1">
        <f t="array" ref="AA96">Common_InputFunctions.Utility_DisplayArrayInTable(Fertiliser_SourceData.Fertiliser_Products_Data1(),FertiliserProducts[[#Headers],[Include or Exclude]], 0,4)</f>
        <v/>
      </c>
      <c r="AB96" s="182" t="str" cm="1">
        <f t="array" ref="AB96">Common_InputFunctions.Utility_DisplayArrayInTable(Fertiliser_SourceData.Fertiliser_Products_Data1(),FertiliserProducts[[#Headers],[Include or Exclude]], 0,4)</f>
        <v/>
      </c>
      <c r="AC96" s="182" t="str" cm="1">
        <f t="array" ref="AC96">Common_InputFunctions.Utility_DisplayArrayInTable(Fertiliser_SourceData.Fertiliser_Products_Data1(),FertiliserProducts[[#Headers],[Include or Exclude]], 0,4)</f>
        <v/>
      </c>
      <c r="AD96" s="182" t="str" cm="1">
        <f t="array" ref="AD96">Common_InputFunctions.Utility_DisplayArrayInTable(Fertiliser_SourceData.Fertiliser_Products_Data1(),FertiliserProducts[[#Headers],[Include or Exclude]], 0,4)</f>
        <v/>
      </c>
      <c r="AE96" s="182" t="str" cm="1">
        <f t="array" ref="AE96">Common_InputFunctions.Utility_DisplayArrayInTable(Fertiliser_SourceData.Fertiliser_Products_Data1(),FertiliserProducts[[#Headers],[Include or Exclude]], 0,4)</f>
        <v/>
      </c>
    </row>
    <row r="97" spans="4:31" ht="20.100000000000001" customHeight="1" x14ac:dyDescent="0.25">
      <c r="D97" s="182" t="str" cm="1">
        <f t="array" ref="D97">Common_InputFunctions.Utility_DisplayArrayInTable(Fertiliser_SourceData.Fertiliser_Products_Data1(),FertiliserProducts[[#Headers],[Include or Exclude]], -1)</f>
        <v>Include</v>
      </c>
      <c r="E97" s="182" t="str" cm="1">
        <f t="array" ref="E97">Common_InputFunctions.Utility_DisplayArrayInTable(Fertiliser_SourceData.Fertiliser_Products_Data1(),FertiliserProducts[[#Headers],[Include or Exclude]], 0)</f>
        <v/>
      </c>
      <c r="F97" s="182" t="str" cm="1">
        <f t="array" ref="F97">Common_InputFunctions.Utility_DisplayArrayInTable(Fertiliser_SourceData.Fertiliser_Products_Data1(),FertiliserProducts[[#Headers],[Include or Exclude]], 0)</f>
        <v>Campbells fertilisers Australia</v>
      </c>
      <c r="G97" s="182" t="str" cm="1">
        <f t="array" ref="G97">Common_InputFunctions.Utility_DisplayArrayInTable(Fertiliser_SourceData.Fertiliser_Products_Data1(),FertiliserProducts[[#Headers],[Include or Exclude]], 0)</f>
        <v>Aqua Thio-Complete</v>
      </c>
      <c r="H97" s="182" t="str" cm="1">
        <f t="array" ref="H97">Common_InputFunctions.Utility_DisplayArrayInTable(Fertiliser_SourceData.Fertiliser_Products_Data1(),FertiliserProducts[[#Headers],[Include or Exclude]], 0,4)</f>
        <v>L</v>
      </c>
      <c r="I97" s="182" cm="1">
        <f t="array" ref="I97">Common_InputFunctions.Utility_DisplayArrayInTable(Fertiliser_SourceData.Fertiliser_Products_Data1(),FertiliserProducts[[#Headers],[Include or Exclude]], 0,4)</f>
        <v>1.43</v>
      </c>
      <c r="J97" s="182" t="str" cm="1">
        <f t="array" ref="J97">Common_InputFunctions.Utility_DisplayArrayInTable(Fertiliser_SourceData.Fertiliser_Products_Data1(),FertiliserProducts[[#Headers],[Include or Exclude]], 0,4)</f>
        <v/>
      </c>
      <c r="K97" s="182" t="str" cm="1">
        <f t="array" ref="K97">Common_InputFunctions.Utility_DisplayArrayInTable(Fertiliser_SourceData.Fertiliser_Products_Data1(),FertiliserProducts[[#Headers],[Include or Exclude]], 0,4)</f>
        <v/>
      </c>
      <c r="L97" s="182" t="str" cm="1">
        <f t="array" ref="L97">Common_InputFunctions.Utility_DisplayArrayInTable(Fertiliser_SourceData.Fertiliser_Products_Data1(),FertiliserProducts[[#Headers],[Include or Exclude]], 0,4)</f>
        <v>Potassium - Generic</v>
      </c>
      <c r="M97" s="182" cm="1">
        <f t="array" ref="M97">Common_InputFunctions.Utility_DisplayArrayInTable(Fertiliser_SourceData.Fertiliser_Products_Data1(),FertiliserProducts[[#Headers],[Include or Exclude]], 0,4)</f>
        <v>0.22500000000000001</v>
      </c>
      <c r="N97" s="182" t="str" cm="1">
        <f t="array" ref="N97">Common_InputFunctions.Utility_DisplayArrayInTable(Fertiliser_SourceData.Fertiliser_Products_Data1(),FertiliserProducts[[#Headers],[Include or Exclude]], 0,4)</f>
        <v>Phosphorus - Generic</v>
      </c>
      <c r="O97" s="182" cm="1">
        <f t="array" ref="O97">Common_InputFunctions.Utility_DisplayArrayInTable(Fertiliser_SourceData.Fertiliser_Products_Data1(),FertiliserProducts[[#Headers],[Include or Exclude]], 0,4)</f>
        <v>3.7999999999999999E-2</v>
      </c>
      <c r="P97" s="182" t="str" cm="1">
        <f t="array" ref="P97">Common_InputFunctions.Utility_DisplayArrayInTable(Fertiliser_SourceData.Fertiliser_Products_Data1(),FertiliserProducts[[#Headers],[Include or Exclude]], 0,4)</f>
        <v>Nitrogen - Generic</v>
      </c>
      <c r="Q97" s="182" cm="1">
        <f t="array" ref="Q97">Common_InputFunctions.Utility_DisplayArrayInTable(Fertiliser_SourceData.Fertiliser_Products_Data1(),FertiliserProducts[[#Headers],[Include or Exclude]], 0,4)</f>
        <v>2.5000000000000001E-2</v>
      </c>
      <c r="R97" s="182" t="str" cm="1">
        <f t="array" ref="R97">Common_InputFunctions.Utility_DisplayArrayInTable(Fertiliser_SourceData.Fertiliser_Products_Data1(),FertiliserProducts[[#Headers],[Include or Exclude]], 0,4)</f>
        <v/>
      </c>
      <c r="S97" s="182" t="str" cm="1">
        <f t="array" ref="S97">Common_InputFunctions.Utility_DisplayArrayInTable(Fertiliser_SourceData.Fertiliser_Products_Data1(),FertiliserProducts[[#Headers],[Include or Exclude]], 0,4)</f>
        <v/>
      </c>
      <c r="T97" s="182" t="str" cm="1">
        <f t="array" ref="T97">Common_InputFunctions.Utility_DisplayArrayInTable(Fertiliser_SourceData.Fertiliser_Products_Data1(),FertiliserProducts[[#Headers],[Include or Exclude]], 0,4)</f>
        <v/>
      </c>
      <c r="U97" s="182" t="str" cm="1">
        <f t="array" ref="U97">Common_InputFunctions.Utility_DisplayArrayInTable(Fertiliser_SourceData.Fertiliser_Products_Data1(),FertiliserProducts[[#Headers],[Include or Exclude]], 0,4)</f>
        <v/>
      </c>
      <c r="V97" s="182" t="str" cm="1">
        <f t="array" ref="V97">Common_InputFunctions.Utility_DisplayArrayInTable(Fertiliser_SourceData.Fertiliser_Products_Data1(),FertiliserProducts[[#Headers],[Include or Exclude]], 0,4)</f>
        <v/>
      </c>
      <c r="W97" s="182" t="str" cm="1">
        <f t="array" ref="W97">Common_InputFunctions.Utility_DisplayArrayInTable(Fertiliser_SourceData.Fertiliser_Products_Data1(),FertiliserProducts[[#Headers],[Include or Exclude]], 0,4)</f>
        <v/>
      </c>
      <c r="X97" s="182" t="str" cm="1">
        <f t="array" ref="X97">Common_InputFunctions.Utility_DisplayArrayInTable(Fertiliser_SourceData.Fertiliser_Products_Data1(),FertiliserProducts[[#Headers],[Include or Exclude]], 0,4)</f>
        <v/>
      </c>
      <c r="Y97" s="182" t="str" cm="1">
        <f t="array" ref="Y97">Common_InputFunctions.Utility_DisplayArrayInTable(Fertiliser_SourceData.Fertiliser_Products_Data1(),FertiliserProducts[[#Headers],[Include or Exclude]], 0,4)</f>
        <v/>
      </c>
      <c r="Z97" s="182" t="str" cm="1">
        <f t="array" ref="Z97">Common_InputFunctions.Utility_DisplayArrayInTable(Fertiliser_SourceData.Fertiliser_Products_Data1(),FertiliserProducts[[#Headers],[Include or Exclude]], 0,4)</f>
        <v/>
      </c>
      <c r="AA97" s="182" t="str" cm="1">
        <f t="array" ref="AA97">Common_InputFunctions.Utility_DisplayArrayInTable(Fertiliser_SourceData.Fertiliser_Products_Data1(),FertiliserProducts[[#Headers],[Include or Exclude]], 0,4)</f>
        <v/>
      </c>
      <c r="AB97" s="182" t="str" cm="1">
        <f t="array" ref="AB97">Common_InputFunctions.Utility_DisplayArrayInTable(Fertiliser_SourceData.Fertiliser_Products_Data1(),FertiliserProducts[[#Headers],[Include or Exclude]], 0,4)</f>
        <v/>
      </c>
      <c r="AC97" s="182" t="str" cm="1">
        <f t="array" ref="AC97">Common_InputFunctions.Utility_DisplayArrayInTable(Fertiliser_SourceData.Fertiliser_Products_Data1(),FertiliserProducts[[#Headers],[Include or Exclude]], 0,4)</f>
        <v/>
      </c>
      <c r="AD97" s="182" t="str" cm="1">
        <f t="array" ref="AD97">Common_InputFunctions.Utility_DisplayArrayInTable(Fertiliser_SourceData.Fertiliser_Products_Data1(),FertiliserProducts[[#Headers],[Include or Exclude]], 0,4)</f>
        <v/>
      </c>
      <c r="AE97" s="182" t="str" cm="1">
        <f t="array" ref="AE97">Common_InputFunctions.Utility_DisplayArrayInTable(Fertiliser_SourceData.Fertiliser_Products_Data1(),FertiliserProducts[[#Headers],[Include or Exclude]], 0,4)</f>
        <v/>
      </c>
    </row>
    <row r="98" spans="4:31" ht="20.100000000000001" customHeight="1" x14ac:dyDescent="0.25">
      <c r="D98" s="182" t="str" cm="1">
        <f t="array" ref="D98">Common_InputFunctions.Utility_DisplayArrayInTable(Fertiliser_SourceData.Fertiliser_Products_Data1(),FertiliserProducts[[#Headers],[Include or Exclude]], -1)</f>
        <v>Include</v>
      </c>
      <c r="E98" s="182" t="str" cm="1">
        <f t="array" ref="E98">Common_InputFunctions.Utility_DisplayArrayInTable(Fertiliser_SourceData.Fertiliser_Products_Data1(),FertiliserProducts[[#Headers],[Include or Exclude]], 0)</f>
        <v/>
      </c>
      <c r="F98" s="182" t="str" cm="1">
        <f t="array" ref="F98">Common_InputFunctions.Utility_DisplayArrayInTable(Fertiliser_SourceData.Fertiliser_Products_Data1(),FertiliserProducts[[#Headers],[Include or Exclude]], 0)</f>
        <v>Campbells fertilisers Australia</v>
      </c>
      <c r="G98" s="182" t="str" cm="1">
        <f t="array" ref="G98">Common_InputFunctions.Utility_DisplayArrayInTable(Fertiliser_SourceData.Fertiliser_Products_Data1(),FertiliserProducts[[#Headers],[Include or Exclude]], 0)</f>
        <v>Aqua Thio-Emerge</v>
      </c>
      <c r="H98" s="182" t="str" cm="1">
        <f t="array" ref="H98">Common_InputFunctions.Utility_DisplayArrayInTable(Fertiliser_SourceData.Fertiliser_Products_Data1(),FertiliserProducts[[#Headers],[Include or Exclude]], 0,4)</f>
        <v>L</v>
      </c>
      <c r="I98" s="182" cm="1">
        <f t="array" ref="I98">Common_InputFunctions.Utility_DisplayArrayInTable(Fertiliser_SourceData.Fertiliser_Products_Data1(),FertiliserProducts[[#Headers],[Include or Exclude]], 0,4)</f>
        <v>1.29</v>
      </c>
      <c r="J98" s="182" t="str" cm="1">
        <f t="array" ref="J98">Common_InputFunctions.Utility_DisplayArrayInTable(Fertiliser_SourceData.Fertiliser_Products_Data1(),FertiliserProducts[[#Headers],[Include or Exclude]], 0,4)</f>
        <v/>
      </c>
      <c r="K98" s="182" t="str" cm="1">
        <f t="array" ref="K98">Common_InputFunctions.Utility_DisplayArrayInTable(Fertiliser_SourceData.Fertiliser_Products_Data1(),FertiliserProducts[[#Headers],[Include or Exclude]], 0,4)</f>
        <v/>
      </c>
      <c r="L98" s="182" t="str" cm="1">
        <f t="array" ref="L98">Common_InputFunctions.Utility_DisplayArrayInTable(Fertiliser_SourceData.Fertiliser_Products_Data1(),FertiliserProducts[[#Headers],[Include or Exclude]], 0,4)</f>
        <v>Nitrogen - Generic</v>
      </c>
      <c r="M98" s="182" cm="1">
        <f t="array" ref="M98">Common_InputFunctions.Utility_DisplayArrayInTable(Fertiliser_SourceData.Fertiliser_Products_Data1(),FertiliserProducts[[#Headers],[Include or Exclude]], 0,4)</f>
        <v>0.105</v>
      </c>
      <c r="N98" s="182" t="str" cm="1">
        <f t="array" ref="N98">Common_InputFunctions.Utility_DisplayArrayInTable(Fertiliser_SourceData.Fertiliser_Products_Data1(),FertiliserProducts[[#Headers],[Include or Exclude]], 0,4)</f>
        <v>Phosphorus - Generic</v>
      </c>
      <c r="O98" s="182" cm="1">
        <f t="array" ref="O98">Common_InputFunctions.Utility_DisplayArrayInTable(Fertiliser_SourceData.Fertiliser_Products_Data1(),FertiliserProducts[[#Headers],[Include or Exclude]], 0,4)</f>
        <v>9.4E-2</v>
      </c>
      <c r="P98" s="182" t="str" cm="1">
        <f t="array" ref="P98">Common_InputFunctions.Utility_DisplayArrayInTable(Fertiliser_SourceData.Fertiliser_Products_Data1(),FertiliserProducts[[#Headers],[Include or Exclude]], 0,4)</f>
        <v>Potassium - Generic</v>
      </c>
      <c r="Q98" s="182" cm="1">
        <f t="array" ref="Q98">Common_InputFunctions.Utility_DisplayArrayInTable(Fertiliser_SourceData.Fertiliser_Products_Data1(),FertiliserProducts[[#Headers],[Include or Exclude]], 0,4)</f>
        <v>0.04</v>
      </c>
      <c r="R98" s="182" t="str" cm="1">
        <f t="array" ref="R98">Common_InputFunctions.Utility_DisplayArrayInTable(Fertiliser_SourceData.Fertiliser_Products_Data1(),FertiliserProducts[[#Headers],[Include or Exclude]], 0,4)</f>
        <v>Sulfur - Generic</v>
      </c>
      <c r="S98" s="182" cm="1">
        <f t="array" ref="S98">Common_InputFunctions.Utility_DisplayArrayInTable(Fertiliser_SourceData.Fertiliser_Products_Data1(),FertiliserProducts[[#Headers],[Include or Exclude]], 0,4)</f>
        <v>0.03</v>
      </c>
      <c r="T98" s="182" t="str" cm="1">
        <f t="array" ref="T98">Common_InputFunctions.Utility_DisplayArrayInTable(Fertiliser_SourceData.Fertiliser_Products_Data1(),FertiliserProducts[[#Headers],[Include or Exclude]], 0,4)</f>
        <v/>
      </c>
      <c r="U98" s="182" t="str" cm="1">
        <f t="array" ref="U98">Common_InputFunctions.Utility_DisplayArrayInTable(Fertiliser_SourceData.Fertiliser_Products_Data1(),FertiliserProducts[[#Headers],[Include or Exclude]], 0,4)</f>
        <v/>
      </c>
      <c r="V98" s="182" t="str" cm="1">
        <f t="array" ref="V98">Common_InputFunctions.Utility_DisplayArrayInTable(Fertiliser_SourceData.Fertiliser_Products_Data1(),FertiliserProducts[[#Headers],[Include or Exclude]], 0,4)</f>
        <v/>
      </c>
      <c r="W98" s="182" t="str" cm="1">
        <f t="array" ref="W98">Common_InputFunctions.Utility_DisplayArrayInTable(Fertiliser_SourceData.Fertiliser_Products_Data1(),FertiliserProducts[[#Headers],[Include or Exclude]], 0,4)</f>
        <v/>
      </c>
      <c r="X98" s="182" t="str" cm="1">
        <f t="array" ref="X98">Common_InputFunctions.Utility_DisplayArrayInTable(Fertiliser_SourceData.Fertiliser_Products_Data1(),FertiliserProducts[[#Headers],[Include or Exclude]], 0,4)</f>
        <v/>
      </c>
      <c r="Y98" s="182" t="str" cm="1">
        <f t="array" ref="Y98">Common_InputFunctions.Utility_DisplayArrayInTable(Fertiliser_SourceData.Fertiliser_Products_Data1(),FertiliserProducts[[#Headers],[Include or Exclude]], 0,4)</f>
        <v/>
      </c>
      <c r="Z98" s="182" t="str" cm="1">
        <f t="array" ref="Z98">Common_InputFunctions.Utility_DisplayArrayInTable(Fertiliser_SourceData.Fertiliser_Products_Data1(),FertiliserProducts[[#Headers],[Include or Exclude]], 0,4)</f>
        <v/>
      </c>
      <c r="AA98" s="182" t="str" cm="1">
        <f t="array" ref="AA98">Common_InputFunctions.Utility_DisplayArrayInTable(Fertiliser_SourceData.Fertiliser_Products_Data1(),FertiliserProducts[[#Headers],[Include or Exclude]], 0,4)</f>
        <v/>
      </c>
      <c r="AB98" s="182" t="str" cm="1">
        <f t="array" ref="AB98">Common_InputFunctions.Utility_DisplayArrayInTable(Fertiliser_SourceData.Fertiliser_Products_Data1(),FertiliserProducts[[#Headers],[Include or Exclude]], 0,4)</f>
        <v/>
      </c>
      <c r="AC98" s="182" t="str" cm="1">
        <f t="array" ref="AC98">Common_InputFunctions.Utility_DisplayArrayInTable(Fertiliser_SourceData.Fertiliser_Products_Data1(),FertiliserProducts[[#Headers],[Include or Exclude]], 0,4)</f>
        <v/>
      </c>
      <c r="AD98" s="182" t="str" cm="1">
        <f t="array" ref="AD98">Common_InputFunctions.Utility_DisplayArrayInTable(Fertiliser_SourceData.Fertiliser_Products_Data1(),FertiliserProducts[[#Headers],[Include or Exclude]], 0,4)</f>
        <v/>
      </c>
      <c r="AE98" s="182" t="str" cm="1">
        <f t="array" ref="AE98">Common_InputFunctions.Utility_DisplayArrayInTable(Fertiliser_SourceData.Fertiliser_Products_Data1(),FertiliserProducts[[#Headers],[Include or Exclude]], 0,4)</f>
        <v/>
      </c>
    </row>
    <row r="99" spans="4:31" ht="20.100000000000001" customHeight="1" x14ac:dyDescent="0.25">
      <c r="D99" s="182" t="str" cm="1">
        <f t="array" ref="D99">Common_InputFunctions.Utility_DisplayArrayInTable(Fertiliser_SourceData.Fertiliser_Products_Data1(),FertiliserProducts[[#Headers],[Include or Exclude]], -1)</f>
        <v>Exclude - Not relevant</v>
      </c>
      <c r="E99" s="182" t="str" cm="1">
        <f t="array" ref="E99">Common_InputFunctions.Utility_DisplayArrayInTable(Fertiliser_SourceData.Fertiliser_Products_Data1(),FertiliserProducts[[#Headers],[Include or Exclude]], 0)</f>
        <v/>
      </c>
      <c r="F99" s="182" t="str" cm="1">
        <f t="array" ref="F99">Common_InputFunctions.Utility_DisplayArrayInTable(Fertiliser_SourceData.Fertiliser_Products_Data1(),FertiliserProducts[[#Headers],[Include or Exclude]], 0)</f>
        <v>Campbells fertilisers Australia</v>
      </c>
      <c r="G99" s="182" t="str" cm="1">
        <f t="array" ref="G99">Common_InputFunctions.Utility_DisplayArrayInTable(Fertiliser_SourceData.Fertiliser_Products_Data1(),FertiliserProducts[[#Headers],[Include or Exclude]], 0)</f>
        <v>Aqua Thio-Flourish</v>
      </c>
      <c r="H99" s="182" t="str" cm="1">
        <f t="array" ref="H99">Common_InputFunctions.Utility_DisplayArrayInTable(Fertiliser_SourceData.Fertiliser_Products_Data1(),FertiliserProducts[[#Headers],[Include or Exclude]], 0,4)</f>
        <v>L</v>
      </c>
      <c r="I99" s="182" cm="1">
        <f t="array" ref="I99">Common_InputFunctions.Utility_DisplayArrayInTable(Fertiliser_SourceData.Fertiliser_Products_Data1(),FertiliserProducts[[#Headers],[Include or Exclude]], 0,4)</f>
        <v>1.32</v>
      </c>
      <c r="J99" s="182" t="str" cm="1">
        <f t="array" ref="J99">Common_InputFunctions.Utility_DisplayArrayInTable(Fertiliser_SourceData.Fertiliser_Products_Data1(),FertiliserProducts[[#Headers],[Include or Exclude]], 0,4)</f>
        <v/>
      </c>
      <c r="K99" s="182" t="str" cm="1">
        <f t="array" ref="K99">Common_InputFunctions.Utility_DisplayArrayInTable(Fertiliser_SourceData.Fertiliser_Products_Data1(),FertiliserProducts[[#Headers],[Include or Exclude]], 0,4)</f>
        <v/>
      </c>
      <c r="L99" s="182" t="str" cm="1">
        <f t="array" ref="L99">Common_InputFunctions.Utility_DisplayArrayInTable(Fertiliser_SourceData.Fertiliser_Products_Data1(),FertiliserProducts[[#Headers],[Include or Exclude]], 0,4)</f>
        <v>Potassium - Generic</v>
      </c>
      <c r="M99" s="182" cm="1">
        <f t="array" ref="M99">Common_InputFunctions.Utility_DisplayArrayInTable(Fertiliser_SourceData.Fertiliser_Products_Data1(),FertiliserProducts[[#Headers],[Include or Exclude]], 0,4)</f>
        <v>0.108</v>
      </c>
      <c r="N99" s="182" t="str" cm="1">
        <f t="array" ref="N99">Common_InputFunctions.Utility_DisplayArrayInTable(Fertiliser_SourceData.Fertiliser_Products_Data1(),FertiliserProducts[[#Headers],[Include or Exclude]], 0,4)</f>
        <v>Nitrogen - Generic</v>
      </c>
      <c r="O99" s="182" cm="1">
        <f t="array" ref="O99">Common_InputFunctions.Utility_DisplayArrayInTable(Fertiliser_SourceData.Fertiliser_Products_Data1(),FertiliserProducts[[#Headers],[Include or Exclude]], 0,4)</f>
        <v>9.5000000000000001E-2</v>
      </c>
      <c r="P99" s="182" t="str" cm="1">
        <f t="array" ref="P99">Common_InputFunctions.Utility_DisplayArrayInTable(Fertiliser_SourceData.Fertiliser_Products_Data1(),FertiliserProducts[[#Headers],[Include or Exclude]], 0,4)</f>
        <v>Sulfur - Generic</v>
      </c>
      <c r="Q99" s="182" cm="1">
        <f t="array" ref="Q99">Common_InputFunctions.Utility_DisplayArrayInTable(Fertiliser_SourceData.Fertiliser_Products_Data1(),FertiliserProducts[[#Headers],[Include or Exclude]], 0,4)</f>
        <v>8.1000000000000003E-2</v>
      </c>
      <c r="R99" s="182" t="str" cm="1">
        <f t="array" ref="R99">Common_InputFunctions.Utility_DisplayArrayInTable(Fertiliser_SourceData.Fertiliser_Products_Data1(),FertiliserProducts[[#Headers],[Include or Exclude]], 0,4)</f>
        <v>Phosphorus - Generic</v>
      </c>
      <c r="S99" s="182" cm="1">
        <f t="array" ref="S99">Common_InputFunctions.Utility_DisplayArrayInTable(Fertiliser_SourceData.Fertiliser_Products_Data1(),FertiliserProducts[[#Headers],[Include or Exclude]], 0,4)</f>
        <v>4.7E-2</v>
      </c>
      <c r="T99" s="182" t="str" cm="1">
        <f t="array" ref="T99">Common_InputFunctions.Utility_DisplayArrayInTable(Fertiliser_SourceData.Fertiliser_Products_Data1(),FertiliserProducts[[#Headers],[Include or Exclude]], 0,4)</f>
        <v/>
      </c>
      <c r="U99" s="182" t="str" cm="1">
        <f t="array" ref="U99">Common_InputFunctions.Utility_DisplayArrayInTable(Fertiliser_SourceData.Fertiliser_Products_Data1(),FertiliserProducts[[#Headers],[Include or Exclude]], 0,4)</f>
        <v/>
      </c>
      <c r="V99" s="182" t="str" cm="1">
        <f t="array" ref="V99">Common_InputFunctions.Utility_DisplayArrayInTable(Fertiliser_SourceData.Fertiliser_Products_Data1(),FertiliserProducts[[#Headers],[Include or Exclude]], 0,4)</f>
        <v/>
      </c>
      <c r="W99" s="182" t="str" cm="1">
        <f t="array" ref="W99">Common_InputFunctions.Utility_DisplayArrayInTable(Fertiliser_SourceData.Fertiliser_Products_Data1(),FertiliserProducts[[#Headers],[Include or Exclude]], 0,4)</f>
        <v/>
      </c>
      <c r="X99" s="182" t="str" cm="1">
        <f t="array" ref="X99">Common_InputFunctions.Utility_DisplayArrayInTable(Fertiliser_SourceData.Fertiliser_Products_Data1(),FertiliserProducts[[#Headers],[Include or Exclude]], 0,4)</f>
        <v/>
      </c>
      <c r="Y99" s="182" t="str" cm="1">
        <f t="array" ref="Y99">Common_InputFunctions.Utility_DisplayArrayInTable(Fertiliser_SourceData.Fertiliser_Products_Data1(),FertiliserProducts[[#Headers],[Include or Exclude]], 0,4)</f>
        <v/>
      </c>
      <c r="Z99" s="182" t="str" cm="1">
        <f t="array" ref="Z99">Common_InputFunctions.Utility_DisplayArrayInTable(Fertiliser_SourceData.Fertiliser_Products_Data1(),FertiliserProducts[[#Headers],[Include or Exclude]], 0,4)</f>
        <v/>
      </c>
      <c r="AA99" s="182" t="str" cm="1">
        <f t="array" ref="AA99">Common_InputFunctions.Utility_DisplayArrayInTable(Fertiliser_SourceData.Fertiliser_Products_Data1(),FertiliserProducts[[#Headers],[Include or Exclude]], 0,4)</f>
        <v/>
      </c>
      <c r="AB99" s="182" t="str" cm="1">
        <f t="array" ref="AB99">Common_InputFunctions.Utility_DisplayArrayInTable(Fertiliser_SourceData.Fertiliser_Products_Data1(),FertiliserProducts[[#Headers],[Include or Exclude]], 0,4)</f>
        <v/>
      </c>
      <c r="AC99" s="182" t="str" cm="1">
        <f t="array" ref="AC99">Common_InputFunctions.Utility_DisplayArrayInTable(Fertiliser_SourceData.Fertiliser_Products_Data1(),FertiliserProducts[[#Headers],[Include or Exclude]], 0,4)</f>
        <v/>
      </c>
      <c r="AD99" s="182" t="str" cm="1">
        <f t="array" ref="AD99">Common_InputFunctions.Utility_DisplayArrayInTable(Fertiliser_SourceData.Fertiliser_Products_Data1(),FertiliserProducts[[#Headers],[Include or Exclude]], 0,4)</f>
        <v/>
      </c>
      <c r="AE99" s="182" t="str" cm="1">
        <f t="array" ref="AE99">Common_InputFunctions.Utility_DisplayArrayInTable(Fertiliser_SourceData.Fertiliser_Products_Data1(),FertiliserProducts[[#Headers],[Include or Exclude]], 0,4)</f>
        <v/>
      </c>
    </row>
    <row r="100" spans="4:31" ht="20.100000000000001" customHeight="1" x14ac:dyDescent="0.25">
      <c r="D100" s="182" t="str" cm="1">
        <f t="array" ref="D100">Common_InputFunctions.Utility_DisplayArrayInTable(Fertiliser_SourceData.Fertiliser_Products_Data1(),FertiliserProducts[[#Headers],[Include or Exclude]], -1)</f>
        <v>Exclude - Not relevant</v>
      </c>
      <c r="E100" s="182" t="str" cm="1">
        <f t="array" ref="E100">Common_InputFunctions.Utility_DisplayArrayInTable(Fertiliser_SourceData.Fertiliser_Products_Data1(),FertiliserProducts[[#Headers],[Include or Exclude]], 0)</f>
        <v/>
      </c>
      <c r="F100" s="182" t="str" cm="1">
        <f t="array" ref="F100">Common_InputFunctions.Utility_DisplayArrayInTable(Fertiliser_SourceData.Fertiliser_Products_Data1(),FertiliserProducts[[#Headers],[Include or Exclude]], 0)</f>
        <v>Campbells fertilisers Australia</v>
      </c>
      <c r="G100" s="182" t="str" cm="1">
        <f t="array" ref="G100">Common_InputFunctions.Utility_DisplayArrayInTable(Fertiliser_SourceData.Fertiliser_Products_Data1(),FertiliserProducts[[#Headers],[Include or Exclude]], 0)</f>
        <v>Asco Fol Plus</v>
      </c>
      <c r="H100" s="182" t="str" cm="1">
        <f t="array" ref="H100">Common_InputFunctions.Utility_DisplayArrayInTable(Fertiliser_SourceData.Fertiliser_Products_Data1(),FertiliserProducts[[#Headers],[Include or Exclude]], 0,4)</f>
        <v/>
      </c>
      <c r="I100" s="182" t="str" cm="1">
        <f t="array" ref="I100">Common_InputFunctions.Utility_DisplayArrayInTable(Fertiliser_SourceData.Fertiliser_Products_Data1(),FertiliserProducts[[#Headers],[Include or Exclude]], 0,4)</f>
        <v/>
      </c>
      <c r="J100" s="182" t="str" cm="1">
        <f t="array" ref="J100">Common_InputFunctions.Utility_DisplayArrayInTable(Fertiliser_SourceData.Fertiliser_Products_Data1(),FertiliserProducts[[#Headers],[Include or Exclude]], 0,4)</f>
        <v/>
      </c>
      <c r="K100" s="182" t="str" cm="1">
        <f t="array" ref="K100">Common_InputFunctions.Utility_DisplayArrayInTable(Fertiliser_SourceData.Fertiliser_Products_Data1(),FertiliserProducts[[#Headers],[Include or Exclude]], 0,4)</f>
        <v/>
      </c>
      <c r="L100" s="182" t="str" cm="1">
        <f t="array" ref="L100">Common_InputFunctions.Utility_DisplayArrayInTable(Fertiliser_SourceData.Fertiliser_Products_Data1(),FertiliserProducts[[#Headers],[Include or Exclude]], 0,4)</f>
        <v/>
      </c>
      <c r="M100" s="182" t="str" cm="1">
        <f t="array" ref="M100">Common_InputFunctions.Utility_DisplayArrayInTable(Fertiliser_SourceData.Fertiliser_Products_Data1(),FertiliserProducts[[#Headers],[Include or Exclude]], 0,4)</f>
        <v/>
      </c>
      <c r="N100" s="182" t="str" cm="1">
        <f t="array" ref="N100">Common_InputFunctions.Utility_DisplayArrayInTable(Fertiliser_SourceData.Fertiliser_Products_Data1(),FertiliserProducts[[#Headers],[Include or Exclude]], 0,4)</f>
        <v/>
      </c>
      <c r="O100" s="182" t="str" cm="1">
        <f t="array" ref="O100">Common_InputFunctions.Utility_DisplayArrayInTable(Fertiliser_SourceData.Fertiliser_Products_Data1(),FertiliserProducts[[#Headers],[Include or Exclude]], 0,4)</f>
        <v/>
      </c>
      <c r="P100" s="182" t="str" cm="1">
        <f t="array" ref="P100">Common_InputFunctions.Utility_DisplayArrayInTable(Fertiliser_SourceData.Fertiliser_Products_Data1(),FertiliserProducts[[#Headers],[Include or Exclude]], 0,4)</f>
        <v/>
      </c>
      <c r="Q100" s="182" t="str" cm="1">
        <f t="array" ref="Q100">Common_InputFunctions.Utility_DisplayArrayInTable(Fertiliser_SourceData.Fertiliser_Products_Data1(),FertiliserProducts[[#Headers],[Include or Exclude]], 0,4)</f>
        <v/>
      </c>
      <c r="R100" s="182" t="str" cm="1">
        <f t="array" ref="R100">Common_InputFunctions.Utility_DisplayArrayInTable(Fertiliser_SourceData.Fertiliser_Products_Data1(),FertiliserProducts[[#Headers],[Include or Exclude]], 0,4)</f>
        <v/>
      </c>
      <c r="S100" s="182" t="str" cm="1">
        <f t="array" ref="S100">Common_InputFunctions.Utility_DisplayArrayInTable(Fertiliser_SourceData.Fertiliser_Products_Data1(),FertiliserProducts[[#Headers],[Include or Exclude]], 0,4)</f>
        <v/>
      </c>
      <c r="T100" s="182" t="str" cm="1">
        <f t="array" ref="T100">Common_InputFunctions.Utility_DisplayArrayInTable(Fertiliser_SourceData.Fertiliser_Products_Data1(),FertiliserProducts[[#Headers],[Include or Exclude]], 0,4)</f>
        <v/>
      </c>
      <c r="U100" s="182" t="str" cm="1">
        <f t="array" ref="U100">Common_InputFunctions.Utility_DisplayArrayInTable(Fertiliser_SourceData.Fertiliser_Products_Data1(),FertiliserProducts[[#Headers],[Include or Exclude]], 0,4)</f>
        <v/>
      </c>
      <c r="V100" s="182" t="str" cm="1">
        <f t="array" ref="V100">Common_InputFunctions.Utility_DisplayArrayInTable(Fertiliser_SourceData.Fertiliser_Products_Data1(),FertiliserProducts[[#Headers],[Include or Exclude]], 0,4)</f>
        <v/>
      </c>
      <c r="W100" s="182" t="str" cm="1">
        <f t="array" ref="W100">Common_InputFunctions.Utility_DisplayArrayInTable(Fertiliser_SourceData.Fertiliser_Products_Data1(),FertiliserProducts[[#Headers],[Include or Exclude]], 0,4)</f>
        <v/>
      </c>
      <c r="X100" s="182" t="str" cm="1">
        <f t="array" ref="X100">Common_InputFunctions.Utility_DisplayArrayInTable(Fertiliser_SourceData.Fertiliser_Products_Data1(),FertiliserProducts[[#Headers],[Include or Exclude]], 0,4)</f>
        <v/>
      </c>
      <c r="Y100" s="182" t="str" cm="1">
        <f t="array" ref="Y100">Common_InputFunctions.Utility_DisplayArrayInTable(Fertiliser_SourceData.Fertiliser_Products_Data1(),FertiliserProducts[[#Headers],[Include or Exclude]], 0,4)</f>
        <v/>
      </c>
      <c r="Z100" s="182" t="str" cm="1">
        <f t="array" ref="Z100">Common_InputFunctions.Utility_DisplayArrayInTable(Fertiliser_SourceData.Fertiliser_Products_Data1(),FertiliserProducts[[#Headers],[Include or Exclude]], 0,4)</f>
        <v/>
      </c>
      <c r="AA100" s="182" t="str" cm="1">
        <f t="array" ref="AA100">Common_InputFunctions.Utility_DisplayArrayInTable(Fertiliser_SourceData.Fertiliser_Products_Data1(),FertiliserProducts[[#Headers],[Include or Exclude]], 0,4)</f>
        <v/>
      </c>
      <c r="AB100" s="182" t="str" cm="1">
        <f t="array" ref="AB100">Common_InputFunctions.Utility_DisplayArrayInTable(Fertiliser_SourceData.Fertiliser_Products_Data1(),FertiliserProducts[[#Headers],[Include or Exclude]], 0,4)</f>
        <v/>
      </c>
      <c r="AC100" s="182" t="str" cm="1">
        <f t="array" ref="AC100">Common_InputFunctions.Utility_DisplayArrayInTable(Fertiliser_SourceData.Fertiliser_Products_Data1(),FertiliserProducts[[#Headers],[Include or Exclude]], 0,4)</f>
        <v/>
      </c>
      <c r="AD100" s="182" t="str" cm="1">
        <f t="array" ref="AD100">Common_InputFunctions.Utility_DisplayArrayInTable(Fertiliser_SourceData.Fertiliser_Products_Data1(),FertiliserProducts[[#Headers],[Include or Exclude]], 0,4)</f>
        <v/>
      </c>
      <c r="AE100" s="182" t="str" cm="1">
        <f t="array" ref="AE100">Common_InputFunctions.Utility_DisplayArrayInTable(Fertiliser_SourceData.Fertiliser_Products_Data1(),FertiliserProducts[[#Headers],[Include or Exclude]], 0,4)</f>
        <v/>
      </c>
    </row>
    <row r="101" spans="4:31" ht="20.100000000000001" customHeight="1" x14ac:dyDescent="0.25">
      <c r="D101" s="182" t="str" cm="1">
        <f t="array" ref="D101">Common_InputFunctions.Utility_DisplayArrayInTable(Fertiliser_SourceData.Fertiliser_Products_Data1(),FertiliserProducts[[#Headers],[Include or Exclude]], -1)</f>
        <v>Exclude - Not relevant</v>
      </c>
      <c r="E101" s="182" t="str" cm="1">
        <f t="array" ref="E101">Common_InputFunctions.Utility_DisplayArrayInTable(Fertiliser_SourceData.Fertiliser_Products_Data1(),FertiliserProducts[[#Headers],[Include or Exclude]], 0)</f>
        <v/>
      </c>
      <c r="F101" s="182" t="str" cm="1">
        <f t="array" ref="F101">Common_InputFunctions.Utility_DisplayArrayInTable(Fertiliser_SourceData.Fertiliser_Products_Data1(),FertiliserProducts[[#Headers],[Include or Exclude]], 0)</f>
        <v>Campbells fertilisers Australia</v>
      </c>
      <c r="G101" s="182" t="str" cm="1">
        <f t="array" ref="G101">Common_InputFunctions.Utility_DisplayArrayInTable(Fertiliser_SourceData.Fertiliser_Products_Data1(),FertiliserProducts[[#Headers],[Include or Exclude]], 0)</f>
        <v>Asco Plus</v>
      </c>
      <c r="H101" s="182" t="str" cm="1">
        <f t="array" ref="H101">Common_InputFunctions.Utility_DisplayArrayInTable(Fertiliser_SourceData.Fertiliser_Products_Data1(),FertiliserProducts[[#Headers],[Include or Exclude]], 0,4)</f>
        <v/>
      </c>
      <c r="I101" s="182" t="str" cm="1">
        <f t="array" ref="I101">Common_InputFunctions.Utility_DisplayArrayInTable(Fertiliser_SourceData.Fertiliser_Products_Data1(),FertiliserProducts[[#Headers],[Include or Exclude]], 0,4)</f>
        <v/>
      </c>
      <c r="J101" s="182" t="str" cm="1">
        <f t="array" ref="J101">Common_InputFunctions.Utility_DisplayArrayInTable(Fertiliser_SourceData.Fertiliser_Products_Data1(),FertiliserProducts[[#Headers],[Include or Exclude]], 0,4)</f>
        <v/>
      </c>
      <c r="K101" s="182" t="str" cm="1">
        <f t="array" ref="K101">Common_InputFunctions.Utility_DisplayArrayInTable(Fertiliser_SourceData.Fertiliser_Products_Data1(),FertiliserProducts[[#Headers],[Include or Exclude]], 0,4)</f>
        <v/>
      </c>
      <c r="L101" s="182" t="str" cm="1">
        <f t="array" ref="L101">Common_InputFunctions.Utility_DisplayArrayInTable(Fertiliser_SourceData.Fertiliser_Products_Data1(),FertiliserProducts[[#Headers],[Include or Exclude]], 0,4)</f>
        <v/>
      </c>
      <c r="M101" s="182" t="str" cm="1">
        <f t="array" ref="M101">Common_InputFunctions.Utility_DisplayArrayInTable(Fertiliser_SourceData.Fertiliser_Products_Data1(),FertiliserProducts[[#Headers],[Include or Exclude]], 0,4)</f>
        <v/>
      </c>
      <c r="N101" s="182" t="str" cm="1">
        <f t="array" ref="N101">Common_InputFunctions.Utility_DisplayArrayInTable(Fertiliser_SourceData.Fertiliser_Products_Data1(),FertiliserProducts[[#Headers],[Include or Exclude]], 0,4)</f>
        <v/>
      </c>
      <c r="O101" s="182" t="str" cm="1">
        <f t="array" ref="O101">Common_InputFunctions.Utility_DisplayArrayInTable(Fertiliser_SourceData.Fertiliser_Products_Data1(),FertiliserProducts[[#Headers],[Include or Exclude]], 0,4)</f>
        <v/>
      </c>
      <c r="P101" s="182" t="str" cm="1">
        <f t="array" ref="P101">Common_InputFunctions.Utility_DisplayArrayInTable(Fertiliser_SourceData.Fertiliser_Products_Data1(),FertiliserProducts[[#Headers],[Include or Exclude]], 0,4)</f>
        <v/>
      </c>
      <c r="Q101" s="182" t="str" cm="1">
        <f t="array" ref="Q101">Common_InputFunctions.Utility_DisplayArrayInTable(Fertiliser_SourceData.Fertiliser_Products_Data1(),FertiliserProducts[[#Headers],[Include or Exclude]], 0,4)</f>
        <v/>
      </c>
      <c r="R101" s="182" t="str" cm="1">
        <f t="array" ref="R101">Common_InputFunctions.Utility_DisplayArrayInTable(Fertiliser_SourceData.Fertiliser_Products_Data1(),FertiliserProducts[[#Headers],[Include or Exclude]], 0,4)</f>
        <v/>
      </c>
      <c r="S101" s="182" t="str" cm="1">
        <f t="array" ref="S101">Common_InputFunctions.Utility_DisplayArrayInTable(Fertiliser_SourceData.Fertiliser_Products_Data1(),FertiliserProducts[[#Headers],[Include or Exclude]], 0,4)</f>
        <v/>
      </c>
      <c r="T101" s="182" t="str" cm="1">
        <f t="array" ref="T101">Common_InputFunctions.Utility_DisplayArrayInTable(Fertiliser_SourceData.Fertiliser_Products_Data1(),FertiliserProducts[[#Headers],[Include or Exclude]], 0,4)</f>
        <v/>
      </c>
      <c r="U101" s="182" t="str" cm="1">
        <f t="array" ref="U101">Common_InputFunctions.Utility_DisplayArrayInTable(Fertiliser_SourceData.Fertiliser_Products_Data1(),FertiliserProducts[[#Headers],[Include or Exclude]], 0,4)</f>
        <v/>
      </c>
      <c r="V101" s="182" t="str" cm="1">
        <f t="array" ref="V101">Common_InputFunctions.Utility_DisplayArrayInTable(Fertiliser_SourceData.Fertiliser_Products_Data1(),FertiliserProducts[[#Headers],[Include or Exclude]], 0,4)</f>
        <v/>
      </c>
      <c r="W101" s="182" t="str" cm="1">
        <f t="array" ref="W101">Common_InputFunctions.Utility_DisplayArrayInTable(Fertiliser_SourceData.Fertiliser_Products_Data1(),FertiliserProducts[[#Headers],[Include or Exclude]], 0,4)</f>
        <v/>
      </c>
      <c r="X101" s="182" t="str" cm="1">
        <f t="array" ref="X101">Common_InputFunctions.Utility_DisplayArrayInTable(Fertiliser_SourceData.Fertiliser_Products_Data1(),FertiliserProducts[[#Headers],[Include or Exclude]], 0,4)</f>
        <v/>
      </c>
      <c r="Y101" s="182" t="str" cm="1">
        <f t="array" ref="Y101">Common_InputFunctions.Utility_DisplayArrayInTable(Fertiliser_SourceData.Fertiliser_Products_Data1(),FertiliserProducts[[#Headers],[Include or Exclude]], 0,4)</f>
        <v/>
      </c>
      <c r="Z101" s="182" t="str" cm="1">
        <f t="array" ref="Z101">Common_InputFunctions.Utility_DisplayArrayInTable(Fertiliser_SourceData.Fertiliser_Products_Data1(),FertiliserProducts[[#Headers],[Include or Exclude]], 0,4)</f>
        <v/>
      </c>
      <c r="AA101" s="182" t="str" cm="1">
        <f t="array" ref="AA101">Common_InputFunctions.Utility_DisplayArrayInTable(Fertiliser_SourceData.Fertiliser_Products_Data1(),FertiliserProducts[[#Headers],[Include or Exclude]], 0,4)</f>
        <v/>
      </c>
      <c r="AB101" s="182" t="str" cm="1">
        <f t="array" ref="AB101">Common_InputFunctions.Utility_DisplayArrayInTable(Fertiliser_SourceData.Fertiliser_Products_Data1(),FertiliserProducts[[#Headers],[Include or Exclude]], 0,4)</f>
        <v/>
      </c>
      <c r="AC101" s="182" t="str" cm="1">
        <f t="array" ref="AC101">Common_InputFunctions.Utility_DisplayArrayInTable(Fertiliser_SourceData.Fertiliser_Products_Data1(),FertiliserProducts[[#Headers],[Include or Exclude]], 0,4)</f>
        <v/>
      </c>
      <c r="AD101" s="182" t="str" cm="1">
        <f t="array" ref="AD101">Common_InputFunctions.Utility_DisplayArrayInTable(Fertiliser_SourceData.Fertiliser_Products_Data1(),FertiliserProducts[[#Headers],[Include or Exclude]], 0,4)</f>
        <v/>
      </c>
      <c r="AE101" s="182" t="str" cm="1">
        <f t="array" ref="AE101">Common_InputFunctions.Utility_DisplayArrayInTable(Fertiliser_SourceData.Fertiliser_Products_Data1(),FertiliserProducts[[#Headers],[Include or Exclude]], 0,4)</f>
        <v/>
      </c>
    </row>
    <row r="102" spans="4:31" ht="20.100000000000001" customHeight="1" x14ac:dyDescent="0.25">
      <c r="D102" s="182" t="str" cm="1">
        <f t="array" ref="D102">Common_InputFunctions.Utility_DisplayArrayInTable(Fertiliser_SourceData.Fertiliser_Products_Data1(),FertiliserProducts[[#Headers],[Include or Exclude]], -1)</f>
        <v>Exclude - Not relevant</v>
      </c>
      <c r="E102" s="182" t="str" cm="1">
        <f t="array" ref="E102">Common_InputFunctions.Utility_DisplayArrayInTable(Fertiliser_SourceData.Fertiliser_Products_Data1(),FertiliserProducts[[#Headers],[Include or Exclude]], 0)</f>
        <v/>
      </c>
      <c r="F102" s="182" t="str" cm="1">
        <f t="array" ref="F102">Common_InputFunctions.Utility_DisplayArrayInTable(Fertiliser_SourceData.Fertiliser_Products_Data1(),FertiliserProducts[[#Headers],[Include or Exclude]], 0)</f>
        <v>Campbells fertilisers Australia</v>
      </c>
      <c r="G102" s="182" t="str" cm="1">
        <f t="array" ref="G102">Common_InputFunctions.Utility_DisplayArrayInTable(Fertiliser_SourceData.Fertiliser_Products_Data1(),FertiliserProducts[[#Headers],[Include or Exclude]], 0)</f>
        <v>Asco Rhizo Plus</v>
      </c>
      <c r="H102" s="182" t="str" cm="1">
        <f t="array" ref="H102">Common_InputFunctions.Utility_DisplayArrayInTable(Fertiliser_SourceData.Fertiliser_Products_Data1(),FertiliserProducts[[#Headers],[Include or Exclude]], 0,4)</f>
        <v/>
      </c>
      <c r="I102" s="182" t="str" cm="1">
        <f t="array" ref="I102">Common_InputFunctions.Utility_DisplayArrayInTable(Fertiliser_SourceData.Fertiliser_Products_Data1(),FertiliserProducts[[#Headers],[Include or Exclude]], 0,4)</f>
        <v/>
      </c>
      <c r="J102" s="182" t="str" cm="1">
        <f t="array" ref="J102">Common_InputFunctions.Utility_DisplayArrayInTable(Fertiliser_SourceData.Fertiliser_Products_Data1(),FertiliserProducts[[#Headers],[Include or Exclude]], 0,4)</f>
        <v/>
      </c>
      <c r="K102" s="182" t="str" cm="1">
        <f t="array" ref="K102">Common_InputFunctions.Utility_DisplayArrayInTable(Fertiliser_SourceData.Fertiliser_Products_Data1(),FertiliserProducts[[#Headers],[Include or Exclude]], 0,4)</f>
        <v/>
      </c>
      <c r="L102" s="182" t="str" cm="1">
        <f t="array" ref="L102">Common_InputFunctions.Utility_DisplayArrayInTable(Fertiliser_SourceData.Fertiliser_Products_Data1(),FertiliserProducts[[#Headers],[Include or Exclude]], 0,4)</f>
        <v/>
      </c>
      <c r="M102" s="182" t="str" cm="1">
        <f t="array" ref="M102">Common_InputFunctions.Utility_DisplayArrayInTable(Fertiliser_SourceData.Fertiliser_Products_Data1(),FertiliserProducts[[#Headers],[Include or Exclude]], 0,4)</f>
        <v/>
      </c>
      <c r="N102" s="182" t="str" cm="1">
        <f t="array" ref="N102">Common_InputFunctions.Utility_DisplayArrayInTable(Fertiliser_SourceData.Fertiliser_Products_Data1(),FertiliserProducts[[#Headers],[Include or Exclude]], 0,4)</f>
        <v/>
      </c>
      <c r="O102" s="182" t="str" cm="1">
        <f t="array" ref="O102">Common_InputFunctions.Utility_DisplayArrayInTable(Fertiliser_SourceData.Fertiliser_Products_Data1(),FertiliserProducts[[#Headers],[Include or Exclude]], 0,4)</f>
        <v/>
      </c>
      <c r="P102" s="182" t="str" cm="1">
        <f t="array" ref="P102">Common_InputFunctions.Utility_DisplayArrayInTable(Fertiliser_SourceData.Fertiliser_Products_Data1(),FertiliserProducts[[#Headers],[Include or Exclude]], 0,4)</f>
        <v/>
      </c>
      <c r="Q102" s="182" t="str" cm="1">
        <f t="array" ref="Q102">Common_InputFunctions.Utility_DisplayArrayInTable(Fertiliser_SourceData.Fertiliser_Products_Data1(),FertiliserProducts[[#Headers],[Include or Exclude]], 0,4)</f>
        <v/>
      </c>
      <c r="R102" s="182" t="str" cm="1">
        <f t="array" ref="R102">Common_InputFunctions.Utility_DisplayArrayInTable(Fertiliser_SourceData.Fertiliser_Products_Data1(),FertiliserProducts[[#Headers],[Include or Exclude]], 0,4)</f>
        <v/>
      </c>
      <c r="S102" s="182" t="str" cm="1">
        <f t="array" ref="S102">Common_InputFunctions.Utility_DisplayArrayInTable(Fertiliser_SourceData.Fertiliser_Products_Data1(),FertiliserProducts[[#Headers],[Include or Exclude]], 0,4)</f>
        <v/>
      </c>
      <c r="T102" s="182" t="str" cm="1">
        <f t="array" ref="T102">Common_InputFunctions.Utility_DisplayArrayInTable(Fertiliser_SourceData.Fertiliser_Products_Data1(),FertiliserProducts[[#Headers],[Include or Exclude]], 0,4)</f>
        <v/>
      </c>
      <c r="U102" s="182" t="str" cm="1">
        <f t="array" ref="U102">Common_InputFunctions.Utility_DisplayArrayInTable(Fertiliser_SourceData.Fertiliser_Products_Data1(),FertiliserProducts[[#Headers],[Include or Exclude]], 0,4)</f>
        <v/>
      </c>
      <c r="V102" s="182" t="str" cm="1">
        <f t="array" ref="V102">Common_InputFunctions.Utility_DisplayArrayInTable(Fertiliser_SourceData.Fertiliser_Products_Data1(),FertiliserProducts[[#Headers],[Include or Exclude]], 0,4)</f>
        <v/>
      </c>
      <c r="W102" s="182" t="str" cm="1">
        <f t="array" ref="W102">Common_InputFunctions.Utility_DisplayArrayInTable(Fertiliser_SourceData.Fertiliser_Products_Data1(),FertiliserProducts[[#Headers],[Include or Exclude]], 0,4)</f>
        <v/>
      </c>
      <c r="X102" s="182" t="str" cm="1">
        <f t="array" ref="X102">Common_InputFunctions.Utility_DisplayArrayInTable(Fertiliser_SourceData.Fertiliser_Products_Data1(),FertiliserProducts[[#Headers],[Include or Exclude]], 0,4)</f>
        <v/>
      </c>
      <c r="Y102" s="182" t="str" cm="1">
        <f t="array" ref="Y102">Common_InputFunctions.Utility_DisplayArrayInTable(Fertiliser_SourceData.Fertiliser_Products_Data1(),FertiliserProducts[[#Headers],[Include or Exclude]], 0,4)</f>
        <v/>
      </c>
      <c r="Z102" s="182" t="str" cm="1">
        <f t="array" ref="Z102">Common_InputFunctions.Utility_DisplayArrayInTable(Fertiliser_SourceData.Fertiliser_Products_Data1(),FertiliserProducts[[#Headers],[Include or Exclude]], 0,4)</f>
        <v/>
      </c>
      <c r="AA102" s="182" t="str" cm="1">
        <f t="array" ref="AA102">Common_InputFunctions.Utility_DisplayArrayInTable(Fertiliser_SourceData.Fertiliser_Products_Data1(),FertiliserProducts[[#Headers],[Include or Exclude]], 0,4)</f>
        <v/>
      </c>
      <c r="AB102" s="182" t="str" cm="1">
        <f t="array" ref="AB102">Common_InputFunctions.Utility_DisplayArrayInTable(Fertiliser_SourceData.Fertiliser_Products_Data1(),FertiliserProducts[[#Headers],[Include or Exclude]], 0,4)</f>
        <v/>
      </c>
      <c r="AC102" s="182" t="str" cm="1">
        <f t="array" ref="AC102">Common_InputFunctions.Utility_DisplayArrayInTable(Fertiliser_SourceData.Fertiliser_Products_Data1(),FertiliserProducts[[#Headers],[Include or Exclude]], 0,4)</f>
        <v/>
      </c>
      <c r="AD102" s="182" t="str" cm="1">
        <f t="array" ref="AD102">Common_InputFunctions.Utility_DisplayArrayInTable(Fertiliser_SourceData.Fertiliser_Products_Data1(),FertiliserProducts[[#Headers],[Include or Exclude]], 0,4)</f>
        <v/>
      </c>
      <c r="AE102" s="182" t="str" cm="1">
        <f t="array" ref="AE102">Common_InputFunctions.Utility_DisplayArrayInTable(Fertiliser_SourceData.Fertiliser_Products_Data1(),FertiliserProducts[[#Headers],[Include or Exclude]], 0,4)</f>
        <v/>
      </c>
    </row>
    <row r="103" spans="4:31" ht="20.100000000000001" customHeight="1" x14ac:dyDescent="0.25">
      <c r="D103" s="182" t="str" cm="1">
        <f t="array" ref="D103">Common_InputFunctions.Utility_DisplayArrayInTable(Fertiliser_SourceData.Fertiliser_Products_Data1(),FertiliserProducts[[#Headers],[Include or Exclude]], -1)</f>
        <v>Include - Absent ingredients &lt; 2%</v>
      </c>
      <c r="E103" s="182" t="str" cm="1">
        <f t="array" ref="E103">Common_InputFunctions.Utility_DisplayArrayInTable(Fertiliser_SourceData.Fertiliser_Products_Data1(),FertiliserProducts[[#Headers],[Include or Exclude]], 0)</f>
        <v/>
      </c>
      <c r="F103" s="182" t="str" cm="1">
        <f t="array" ref="F103">Common_InputFunctions.Utility_DisplayArrayInTable(Fertiliser_SourceData.Fertiliser_Products_Data1(),FertiliserProducts[[#Headers],[Include or Exclude]], 0)</f>
        <v>Campbells fertilisers Australia</v>
      </c>
      <c r="G103" s="182" t="str" cm="1">
        <f t="array" ref="G103">Common_InputFunctions.Utility_DisplayArrayInTable(Fertiliser_SourceData.Fertiliser_Products_Data1(),FertiliserProducts[[#Headers],[Include or Exclude]], 0)</f>
        <v>Benefit PZ</v>
      </c>
      <c r="H103" s="182" t="str" cm="1">
        <f t="array" ref="H103">Common_InputFunctions.Utility_DisplayArrayInTable(Fertiliser_SourceData.Fertiliser_Products_Data1(),FertiliserProducts[[#Headers],[Include or Exclude]], 0,4)</f>
        <v/>
      </c>
      <c r="I103" s="182" t="str" cm="1">
        <f t="array" ref="I103">Common_InputFunctions.Utility_DisplayArrayInTable(Fertiliser_SourceData.Fertiliser_Products_Data1(),FertiliserProducts[[#Headers],[Include or Exclude]], 0,4)</f>
        <v/>
      </c>
      <c r="J103" s="182" t="str" cm="1">
        <f t="array" ref="J103">Common_InputFunctions.Utility_DisplayArrayInTable(Fertiliser_SourceData.Fertiliser_Products_Data1(),FertiliserProducts[[#Headers],[Include or Exclude]], 0,4)</f>
        <v/>
      </c>
      <c r="K103" s="182" t="str" cm="1">
        <f t="array" ref="K103">Common_InputFunctions.Utility_DisplayArrayInTable(Fertiliser_SourceData.Fertiliser_Products_Data1(),FertiliserProducts[[#Headers],[Include or Exclude]], 0,4)</f>
        <v/>
      </c>
      <c r="L103" s="182" t="str" cm="1">
        <f t="array" ref="L103">Common_InputFunctions.Utility_DisplayArrayInTable(Fertiliser_SourceData.Fertiliser_Products_Data1(),FertiliserProducts[[#Headers],[Include or Exclude]], 0,4)</f>
        <v/>
      </c>
      <c r="M103" s="182" t="str" cm="1">
        <f t="array" ref="M103">Common_InputFunctions.Utility_DisplayArrayInTable(Fertiliser_SourceData.Fertiliser_Products_Data1(),FertiliserProducts[[#Headers],[Include or Exclude]], 0,4)</f>
        <v/>
      </c>
      <c r="N103" s="182" t="str" cm="1">
        <f t="array" ref="N103">Common_InputFunctions.Utility_DisplayArrayInTable(Fertiliser_SourceData.Fertiliser_Products_Data1(),FertiliserProducts[[#Headers],[Include or Exclude]], 0,4)</f>
        <v/>
      </c>
      <c r="O103" s="182" t="str" cm="1">
        <f t="array" ref="O103">Common_InputFunctions.Utility_DisplayArrayInTable(Fertiliser_SourceData.Fertiliser_Products_Data1(),FertiliserProducts[[#Headers],[Include or Exclude]], 0,4)</f>
        <v/>
      </c>
      <c r="P103" s="182" t="str" cm="1">
        <f t="array" ref="P103">Common_InputFunctions.Utility_DisplayArrayInTable(Fertiliser_SourceData.Fertiliser_Products_Data1(),FertiliserProducts[[#Headers],[Include or Exclude]], 0,4)</f>
        <v/>
      </c>
      <c r="Q103" s="182" t="str" cm="1">
        <f t="array" ref="Q103">Common_InputFunctions.Utility_DisplayArrayInTable(Fertiliser_SourceData.Fertiliser_Products_Data1(),FertiliserProducts[[#Headers],[Include or Exclude]], 0,4)</f>
        <v/>
      </c>
      <c r="R103" s="182" t="str" cm="1">
        <f t="array" ref="R103">Common_InputFunctions.Utility_DisplayArrayInTable(Fertiliser_SourceData.Fertiliser_Products_Data1(),FertiliserProducts[[#Headers],[Include or Exclude]], 0,4)</f>
        <v/>
      </c>
      <c r="S103" s="182" t="str" cm="1">
        <f t="array" ref="S103">Common_InputFunctions.Utility_DisplayArrayInTable(Fertiliser_SourceData.Fertiliser_Products_Data1(),FertiliserProducts[[#Headers],[Include or Exclude]], 0,4)</f>
        <v/>
      </c>
      <c r="T103" s="182" t="str" cm="1">
        <f t="array" ref="T103">Common_InputFunctions.Utility_DisplayArrayInTable(Fertiliser_SourceData.Fertiliser_Products_Data1(),FertiliserProducts[[#Headers],[Include or Exclude]], 0,4)</f>
        <v/>
      </c>
      <c r="U103" s="182" t="str" cm="1">
        <f t="array" ref="U103">Common_InputFunctions.Utility_DisplayArrayInTable(Fertiliser_SourceData.Fertiliser_Products_Data1(),FertiliserProducts[[#Headers],[Include or Exclude]], 0,4)</f>
        <v/>
      </c>
      <c r="V103" s="182" t="str" cm="1">
        <f t="array" ref="V103">Common_InputFunctions.Utility_DisplayArrayInTable(Fertiliser_SourceData.Fertiliser_Products_Data1(),FertiliserProducts[[#Headers],[Include or Exclude]], 0,4)</f>
        <v/>
      </c>
      <c r="W103" s="182" t="str" cm="1">
        <f t="array" ref="W103">Common_InputFunctions.Utility_DisplayArrayInTable(Fertiliser_SourceData.Fertiliser_Products_Data1(),FertiliserProducts[[#Headers],[Include or Exclude]], 0,4)</f>
        <v/>
      </c>
      <c r="X103" s="182" t="str" cm="1">
        <f t="array" ref="X103">Common_InputFunctions.Utility_DisplayArrayInTable(Fertiliser_SourceData.Fertiliser_Products_Data1(),FertiliserProducts[[#Headers],[Include or Exclude]], 0,4)</f>
        <v/>
      </c>
      <c r="Y103" s="182" t="str" cm="1">
        <f t="array" ref="Y103">Common_InputFunctions.Utility_DisplayArrayInTable(Fertiliser_SourceData.Fertiliser_Products_Data1(),FertiliserProducts[[#Headers],[Include or Exclude]], 0,4)</f>
        <v/>
      </c>
      <c r="Z103" s="182" t="str" cm="1">
        <f t="array" ref="Z103">Common_InputFunctions.Utility_DisplayArrayInTable(Fertiliser_SourceData.Fertiliser_Products_Data1(),FertiliserProducts[[#Headers],[Include or Exclude]], 0,4)</f>
        <v/>
      </c>
      <c r="AA103" s="182" t="str" cm="1">
        <f t="array" ref="AA103">Common_InputFunctions.Utility_DisplayArrayInTable(Fertiliser_SourceData.Fertiliser_Products_Data1(),FertiliserProducts[[#Headers],[Include or Exclude]], 0,4)</f>
        <v/>
      </c>
      <c r="AB103" s="182" t="str" cm="1">
        <f t="array" ref="AB103">Common_InputFunctions.Utility_DisplayArrayInTable(Fertiliser_SourceData.Fertiliser_Products_Data1(),FertiliserProducts[[#Headers],[Include or Exclude]], 0,4)</f>
        <v/>
      </c>
      <c r="AC103" s="182" t="str" cm="1">
        <f t="array" ref="AC103">Common_InputFunctions.Utility_DisplayArrayInTable(Fertiliser_SourceData.Fertiliser_Products_Data1(),FertiliserProducts[[#Headers],[Include or Exclude]], 0,4)</f>
        <v/>
      </c>
      <c r="AD103" s="182" t="str" cm="1">
        <f t="array" ref="AD103">Common_InputFunctions.Utility_DisplayArrayInTable(Fertiliser_SourceData.Fertiliser_Products_Data1(),FertiliserProducts[[#Headers],[Include or Exclude]], 0,4)</f>
        <v/>
      </c>
      <c r="AE103" s="182" t="str" cm="1">
        <f t="array" ref="AE103">Common_InputFunctions.Utility_DisplayArrayInTable(Fertiliser_SourceData.Fertiliser_Products_Data1(),FertiliserProducts[[#Headers],[Include or Exclude]], 0,4)</f>
        <v/>
      </c>
    </row>
    <row r="104" spans="4:31" ht="20.100000000000001" customHeight="1" x14ac:dyDescent="0.25">
      <c r="D104" s="182" t="str" cm="1">
        <f t="array" ref="D104">Common_InputFunctions.Utility_DisplayArrayInTable(Fertiliser_SourceData.Fertiliser_Products_Data1(),FertiliserProducts[[#Headers],[Include or Exclude]], -1)</f>
        <v>Exclude - Not relevant</v>
      </c>
      <c r="E104" s="182" t="str" cm="1">
        <f t="array" ref="E104">Common_InputFunctions.Utility_DisplayArrayInTable(Fertiliser_SourceData.Fertiliser_Products_Data1(),FertiliserProducts[[#Headers],[Include or Exclude]], 0)</f>
        <v>Amount of urea calculated from urea nitrogen amount</v>
      </c>
      <c r="F104" s="182" t="str" cm="1">
        <f t="array" ref="F104">Common_InputFunctions.Utility_DisplayArrayInTable(Fertiliser_SourceData.Fertiliser_Products_Data1(),FertiliserProducts[[#Headers],[Include or Exclude]], 0)</f>
        <v>Campbells fertilisers Australia</v>
      </c>
      <c r="G104" s="182" t="str" cm="1">
        <f t="array" ref="G104">Common_InputFunctions.Utility_DisplayArrayInTable(Fertiliser_SourceData.Fertiliser_Products_Data1(),FertiliserProducts[[#Headers],[Include or Exclude]], 0)</f>
        <v>Boost-It</v>
      </c>
      <c r="H104" s="182" t="str" cm="1">
        <f t="array" ref="H104">Common_InputFunctions.Utility_DisplayArrayInTable(Fertiliser_SourceData.Fertiliser_Products_Data1(),FertiliserProducts[[#Headers],[Include or Exclude]], 0,4)</f>
        <v>kg</v>
      </c>
      <c r="I104" s="182" cm="1">
        <f t="array" ref="I104">Common_InputFunctions.Utility_DisplayArrayInTable(Fertiliser_SourceData.Fertiliser_Products_Data1(),FertiliserProducts[[#Headers],[Include or Exclude]], 0,4)</f>
        <v>1</v>
      </c>
      <c r="J104" s="182" t="str" cm="1">
        <f t="array" ref="J104">Common_InputFunctions.Utility_DisplayArrayInTable(Fertiliser_SourceData.Fertiliser_Products_Data1(),FertiliserProducts[[#Headers],[Include or Exclude]], 0,4)</f>
        <v/>
      </c>
      <c r="K104" s="182" t="str" cm="1">
        <f t="array" ref="K104">Common_InputFunctions.Utility_DisplayArrayInTable(Fertiliser_SourceData.Fertiliser_Products_Data1(),FertiliserProducts[[#Headers],[Include or Exclude]], 0,4)</f>
        <v/>
      </c>
      <c r="L104" s="182" t="str" cm="1">
        <f t="array" ref="L104">Common_InputFunctions.Utility_DisplayArrayInTable(Fertiliser_SourceData.Fertiliser_Products_Data1(),FertiliserProducts[[#Headers],[Include or Exclude]], 0,4)</f>
        <v>Urea</v>
      </c>
      <c r="M104" s="182" cm="1">
        <f t="array" ref="M104">Common_InputFunctions.Utility_DisplayArrayInTable(Fertiliser_SourceData.Fertiliser_Products_Data1(),FertiliserProducts[[#Headers],[Include or Exclude]], 0,4)</f>
        <v>0.52173913000000005</v>
      </c>
      <c r="N104" s="182" t="str" cm="1">
        <f t="array" ref="N104">Common_InputFunctions.Utility_DisplayArrayInTable(Fertiliser_SourceData.Fertiliser_Products_Data1(),FertiliserProducts[[#Headers],[Include or Exclude]], 0,4)</f>
        <v>Potassium - Generic</v>
      </c>
      <c r="O104" s="182" cm="1">
        <f t="array" ref="O104">Common_InputFunctions.Utility_DisplayArrayInTable(Fertiliser_SourceData.Fertiliser_Products_Data1(),FertiliserProducts[[#Headers],[Include or Exclude]], 0,4)</f>
        <v>0.08</v>
      </c>
      <c r="P104" s="182" t="str" cm="1">
        <f t="array" ref="P104">Common_InputFunctions.Utility_DisplayArrayInTable(Fertiliser_SourceData.Fertiliser_Products_Data1(),FertiliserProducts[[#Headers],[Include or Exclude]], 0,4)</f>
        <v>Sulfur - Generic</v>
      </c>
      <c r="Q104" s="182" cm="1">
        <f t="array" ref="Q104">Common_InputFunctions.Utility_DisplayArrayInTable(Fertiliser_SourceData.Fertiliser_Products_Data1(),FertiliserProducts[[#Headers],[Include or Exclude]], 0,4)</f>
        <v>5.2999999999999999E-2</v>
      </c>
      <c r="R104" s="182" t="str" cm="1">
        <f t="array" ref="R104">Common_InputFunctions.Utility_DisplayArrayInTable(Fertiliser_SourceData.Fertiliser_Products_Data1(),FertiliserProducts[[#Headers],[Include or Exclude]], 0,4)</f>
        <v>Phosphorus - Generic</v>
      </c>
      <c r="S104" s="182" cm="1">
        <f t="array" ref="S104">Common_InputFunctions.Utility_DisplayArrayInTable(Fertiliser_SourceData.Fertiliser_Products_Data1(),FertiliserProducts[[#Headers],[Include or Exclude]], 0,4)</f>
        <v>5.1999999999999998E-2</v>
      </c>
      <c r="T104" s="182" t="str" cm="1">
        <f t="array" ref="T104">Common_InputFunctions.Utility_DisplayArrayInTable(Fertiliser_SourceData.Fertiliser_Products_Data1(),FertiliserProducts[[#Headers],[Include or Exclude]], 0,4)</f>
        <v>Magnesium</v>
      </c>
      <c r="U104" s="182" cm="1">
        <f t="array" ref="U104">Common_InputFunctions.Utility_DisplayArrayInTable(Fertiliser_SourceData.Fertiliser_Products_Data1(),FertiliserProducts[[#Headers],[Include or Exclude]], 0,4)</f>
        <v>1.2999999999999999E-2</v>
      </c>
      <c r="V104" s="182" t="str" cm="1">
        <f t="array" ref="V104">Common_InputFunctions.Utility_DisplayArrayInTable(Fertiliser_SourceData.Fertiliser_Products_Data1(),FertiliserProducts[[#Headers],[Include or Exclude]], 0,4)</f>
        <v>Zinc</v>
      </c>
      <c r="W104" s="182" cm="1">
        <f t="array" ref="W104">Common_InputFunctions.Utility_DisplayArrayInTable(Fertiliser_SourceData.Fertiliser_Products_Data1(),FertiliserProducts[[#Headers],[Include or Exclude]], 0,4)</f>
        <v>2E-3</v>
      </c>
      <c r="X104" s="182" t="str" cm="1">
        <f t="array" ref="X104">Common_InputFunctions.Utility_DisplayArrayInTable(Fertiliser_SourceData.Fertiliser_Products_Data1(),FertiliserProducts[[#Headers],[Include or Exclude]], 0,4)</f>
        <v>Manganese</v>
      </c>
      <c r="Y104" s="182" cm="1">
        <f t="array" ref="Y104">Common_InputFunctions.Utility_DisplayArrayInTable(Fertiliser_SourceData.Fertiliser_Products_Data1(),FertiliserProducts[[#Headers],[Include or Exclude]], 0,4)</f>
        <v>3.5000000000000001E-3</v>
      </c>
      <c r="Z104" s="182" t="str" cm="1">
        <f t="array" ref="Z104">Common_InputFunctions.Utility_DisplayArrayInTable(Fertiliser_SourceData.Fertiliser_Products_Data1(),FertiliserProducts[[#Headers],[Include or Exclude]], 0,4)</f>
        <v>Iron</v>
      </c>
      <c r="AA104" s="182" cm="1">
        <f t="array" ref="AA104">Common_InputFunctions.Utility_DisplayArrayInTable(Fertiliser_SourceData.Fertiliser_Products_Data1(),FertiliserProducts[[#Headers],[Include or Exclude]], 0,4)</f>
        <v>1.2999999999999999E-3</v>
      </c>
      <c r="AB104" s="182" t="str" cm="1">
        <f t="array" ref="AB104">Common_InputFunctions.Utility_DisplayArrayInTable(Fertiliser_SourceData.Fertiliser_Products_Data1(),FertiliserProducts[[#Headers],[Include or Exclude]], 0,4)</f>
        <v>Copper</v>
      </c>
      <c r="AC104" s="182" cm="1">
        <f t="array" ref="AC104">Common_InputFunctions.Utility_DisplayArrayInTable(Fertiliser_SourceData.Fertiliser_Products_Data1(),FertiliserProducts[[#Headers],[Include or Exclude]], 0,4)</f>
        <v>6.9999999999999999E-4</v>
      </c>
      <c r="AD104" s="182" t="str" cm="1">
        <f t="array" ref="AD104">Common_InputFunctions.Utility_DisplayArrayInTable(Fertiliser_SourceData.Fertiliser_Products_Data1(),FertiliserProducts[[#Headers],[Include or Exclude]], 0,4)</f>
        <v>Boron</v>
      </c>
      <c r="AE104" s="182" cm="1">
        <f t="array" ref="AE104">Common_InputFunctions.Utility_DisplayArrayInTable(Fertiliser_SourceData.Fertiliser_Products_Data1(),FertiliserProducts[[#Headers],[Include or Exclude]], 0,4)</f>
        <v>6.9999999999999999E-4</v>
      </c>
    </row>
    <row r="105" spans="4:31" ht="20.100000000000001" customHeight="1" x14ac:dyDescent="0.25">
      <c r="D105" s="182" t="str" cm="1">
        <f t="array" ref="D105">Common_InputFunctions.Utility_DisplayArrayInTable(Fertiliser_SourceData.Fertiliser_Products_Data1(),FertiliserProducts[[#Headers],[Include or Exclude]], -1)</f>
        <v>Exclude - Not relevant</v>
      </c>
      <c r="E105" s="182" t="str" cm="1">
        <f t="array" ref="E105">Common_InputFunctions.Utility_DisplayArrayInTable(Fertiliser_SourceData.Fertiliser_Products_Data1(),FertiliserProducts[[#Headers],[Include or Exclude]], 0)</f>
        <v/>
      </c>
      <c r="F105" s="182" t="str" cm="1">
        <f t="array" ref="F105">Common_InputFunctions.Utility_DisplayArrayInTable(Fertiliser_SourceData.Fertiliser_Products_Data1(),FertiliserProducts[[#Headers],[Include or Exclude]], 0)</f>
        <v>Campbells fertilisers Australia</v>
      </c>
      <c r="G105" s="182" t="str" cm="1">
        <f t="array" ref="G105">Common_InputFunctions.Utility_DisplayArrayInTable(Fertiliser_SourceData.Fertiliser_Products_Data1(),FertiliserProducts[[#Headers],[Include or Exclude]], 0)</f>
        <v>Boroplus</v>
      </c>
      <c r="H105" s="182" t="str" cm="1">
        <f t="array" ref="H105">Common_InputFunctions.Utility_DisplayArrayInTable(Fertiliser_SourceData.Fertiliser_Products_Data1(),FertiliserProducts[[#Headers],[Include or Exclude]], 0,4)</f>
        <v/>
      </c>
      <c r="I105" s="182" t="str" cm="1">
        <f t="array" ref="I105">Common_InputFunctions.Utility_DisplayArrayInTable(Fertiliser_SourceData.Fertiliser_Products_Data1(),FertiliserProducts[[#Headers],[Include or Exclude]], 0,4)</f>
        <v/>
      </c>
      <c r="J105" s="182" t="str" cm="1">
        <f t="array" ref="J105">Common_InputFunctions.Utility_DisplayArrayInTable(Fertiliser_SourceData.Fertiliser_Products_Data1(),FertiliserProducts[[#Headers],[Include or Exclude]], 0,4)</f>
        <v/>
      </c>
      <c r="K105" s="182" t="str" cm="1">
        <f t="array" ref="K105">Common_InputFunctions.Utility_DisplayArrayInTable(Fertiliser_SourceData.Fertiliser_Products_Data1(),FertiliserProducts[[#Headers],[Include or Exclude]], 0,4)</f>
        <v/>
      </c>
      <c r="L105" s="182" t="str" cm="1">
        <f t="array" ref="L105">Common_InputFunctions.Utility_DisplayArrayInTable(Fertiliser_SourceData.Fertiliser_Products_Data1(),FertiliserProducts[[#Headers],[Include or Exclude]], 0,4)</f>
        <v/>
      </c>
      <c r="M105" s="182" t="str" cm="1">
        <f t="array" ref="M105">Common_InputFunctions.Utility_DisplayArrayInTable(Fertiliser_SourceData.Fertiliser_Products_Data1(),FertiliserProducts[[#Headers],[Include or Exclude]], 0,4)</f>
        <v/>
      </c>
      <c r="N105" s="182" t="str" cm="1">
        <f t="array" ref="N105">Common_InputFunctions.Utility_DisplayArrayInTable(Fertiliser_SourceData.Fertiliser_Products_Data1(),FertiliserProducts[[#Headers],[Include or Exclude]], 0,4)</f>
        <v/>
      </c>
      <c r="O105" s="182" t="str" cm="1">
        <f t="array" ref="O105">Common_InputFunctions.Utility_DisplayArrayInTable(Fertiliser_SourceData.Fertiliser_Products_Data1(),FertiliserProducts[[#Headers],[Include or Exclude]], 0,4)</f>
        <v/>
      </c>
      <c r="P105" s="182" t="str" cm="1">
        <f t="array" ref="P105">Common_InputFunctions.Utility_DisplayArrayInTable(Fertiliser_SourceData.Fertiliser_Products_Data1(),FertiliserProducts[[#Headers],[Include or Exclude]], 0,4)</f>
        <v/>
      </c>
      <c r="Q105" s="182" t="str" cm="1">
        <f t="array" ref="Q105">Common_InputFunctions.Utility_DisplayArrayInTable(Fertiliser_SourceData.Fertiliser_Products_Data1(),FertiliserProducts[[#Headers],[Include or Exclude]], 0,4)</f>
        <v/>
      </c>
      <c r="R105" s="182" t="str" cm="1">
        <f t="array" ref="R105">Common_InputFunctions.Utility_DisplayArrayInTable(Fertiliser_SourceData.Fertiliser_Products_Data1(),FertiliserProducts[[#Headers],[Include or Exclude]], 0,4)</f>
        <v/>
      </c>
      <c r="S105" s="182" t="str" cm="1">
        <f t="array" ref="S105">Common_InputFunctions.Utility_DisplayArrayInTable(Fertiliser_SourceData.Fertiliser_Products_Data1(),FertiliserProducts[[#Headers],[Include or Exclude]], 0,4)</f>
        <v/>
      </c>
      <c r="T105" s="182" t="str" cm="1">
        <f t="array" ref="T105">Common_InputFunctions.Utility_DisplayArrayInTable(Fertiliser_SourceData.Fertiliser_Products_Data1(),FertiliserProducts[[#Headers],[Include or Exclude]], 0,4)</f>
        <v/>
      </c>
      <c r="U105" s="182" t="str" cm="1">
        <f t="array" ref="U105">Common_InputFunctions.Utility_DisplayArrayInTable(Fertiliser_SourceData.Fertiliser_Products_Data1(),FertiliserProducts[[#Headers],[Include or Exclude]], 0,4)</f>
        <v/>
      </c>
      <c r="V105" s="182" t="str" cm="1">
        <f t="array" ref="V105">Common_InputFunctions.Utility_DisplayArrayInTable(Fertiliser_SourceData.Fertiliser_Products_Data1(),FertiliserProducts[[#Headers],[Include or Exclude]], 0,4)</f>
        <v/>
      </c>
      <c r="W105" s="182" t="str" cm="1">
        <f t="array" ref="W105">Common_InputFunctions.Utility_DisplayArrayInTable(Fertiliser_SourceData.Fertiliser_Products_Data1(),FertiliserProducts[[#Headers],[Include or Exclude]], 0,4)</f>
        <v/>
      </c>
      <c r="X105" s="182" t="str" cm="1">
        <f t="array" ref="X105">Common_InputFunctions.Utility_DisplayArrayInTable(Fertiliser_SourceData.Fertiliser_Products_Data1(),FertiliserProducts[[#Headers],[Include or Exclude]], 0,4)</f>
        <v/>
      </c>
      <c r="Y105" s="182" t="str" cm="1">
        <f t="array" ref="Y105">Common_InputFunctions.Utility_DisplayArrayInTable(Fertiliser_SourceData.Fertiliser_Products_Data1(),FertiliserProducts[[#Headers],[Include or Exclude]], 0,4)</f>
        <v/>
      </c>
      <c r="Z105" s="182" t="str" cm="1">
        <f t="array" ref="Z105">Common_InputFunctions.Utility_DisplayArrayInTable(Fertiliser_SourceData.Fertiliser_Products_Data1(),FertiliserProducts[[#Headers],[Include or Exclude]], 0,4)</f>
        <v/>
      </c>
      <c r="AA105" s="182" t="str" cm="1">
        <f t="array" ref="AA105">Common_InputFunctions.Utility_DisplayArrayInTable(Fertiliser_SourceData.Fertiliser_Products_Data1(),FertiliserProducts[[#Headers],[Include or Exclude]], 0,4)</f>
        <v/>
      </c>
      <c r="AB105" s="182" t="str" cm="1">
        <f t="array" ref="AB105">Common_InputFunctions.Utility_DisplayArrayInTable(Fertiliser_SourceData.Fertiliser_Products_Data1(),FertiliserProducts[[#Headers],[Include or Exclude]], 0,4)</f>
        <v/>
      </c>
      <c r="AC105" s="182" t="str" cm="1">
        <f t="array" ref="AC105">Common_InputFunctions.Utility_DisplayArrayInTable(Fertiliser_SourceData.Fertiliser_Products_Data1(),FertiliserProducts[[#Headers],[Include or Exclude]], 0,4)</f>
        <v/>
      </c>
      <c r="AD105" s="182" t="str" cm="1">
        <f t="array" ref="AD105">Common_InputFunctions.Utility_DisplayArrayInTable(Fertiliser_SourceData.Fertiliser_Products_Data1(),FertiliserProducts[[#Headers],[Include or Exclude]], 0,4)</f>
        <v/>
      </c>
      <c r="AE105" s="182" t="str" cm="1">
        <f t="array" ref="AE105">Common_InputFunctions.Utility_DisplayArrayInTable(Fertiliser_SourceData.Fertiliser_Products_Data1(),FertiliserProducts[[#Headers],[Include or Exclude]], 0,4)</f>
        <v/>
      </c>
    </row>
    <row r="106" spans="4:31" ht="20.100000000000001" customHeight="1" x14ac:dyDescent="0.25">
      <c r="D106" s="182" t="str" cm="1">
        <f t="array" ref="D106">Common_InputFunctions.Utility_DisplayArrayInTable(Fertiliser_SourceData.Fertiliser_Products_Data1(),FertiliserProducts[[#Headers],[Include or Exclude]], -1)</f>
        <v>Exclude - Not relevant</v>
      </c>
      <c r="E106" s="182" t="str" cm="1">
        <f t="array" ref="E106">Common_InputFunctions.Utility_DisplayArrayInTable(Fertiliser_SourceData.Fertiliser_Products_Data1(),FertiliserProducts[[#Headers],[Include or Exclude]], 0)</f>
        <v/>
      </c>
      <c r="F106" s="182" t="str" cm="1">
        <f t="array" ref="F106">Common_InputFunctions.Utility_DisplayArrayInTable(Fertiliser_SourceData.Fertiliser_Products_Data1(),FertiliserProducts[[#Headers],[Include or Exclude]], 0)</f>
        <v>Campbells fertilisers Australia</v>
      </c>
      <c r="G106" s="182" t="str" cm="1">
        <f t="array" ref="G106">Common_InputFunctions.Utility_DisplayArrayInTable(Fertiliser_SourceData.Fertiliser_Products_Data1(),FertiliserProducts[[#Headers],[Include or Exclude]], 0)</f>
        <v>Brevisol Range</v>
      </c>
      <c r="H106" s="182" t="str" cm="1">
        <f t="array" ref="H106">Common_InputFunctions.Utility_DisplayArrayInTable(Fertiliser_SourceData.Fertiliser_Products_Data1(),FertiliserProducts[[#Headers],[Include or Exclude]], 0,4)</f>
        <v/>
      </c>
      <c r="I106" s="182" t="str" cm="1">
        <f t="array" ref="I106">Common_InputFunctions.Utility_DisplayArrayInTable(Fertiliser_SourceData.Fertiliser_Products_Data1(),FertiliserProducts[[#Headers],[Include or Exclude]], 0,4)</f>
        <v/>
      </c>
      <c r="J106" s="182" t="str" cm="1">
        <f t="array" ref="J106">Common_InputFunctions.Utility_DisplayArrayInTable(Fertiliser_SourceData.Fertiliser_Products_Data1(),FertiliserProducts[[#Headers],[Include or Exclude]], 0,4)</f>
        <v/>
      </c>
      <c r="K106" s="182" t="str" cm="1">
        <f t="array" ref="K106">Common_InputFunctions.Utility_DisplayArrayInTable(Fertiliser_SourceData.Fertiliser_Products_Data1(),FertiliserProducts[[#Headers],[Include or Exclude]], 0,4)</f>
        <v/>
      </c>
      <c r="L106" s="182" t="str" cm="1">
        <f t="array" ref="L106">Common_InputFunctions.Utility_DisplayArrayInTable(Fertiliser_SourceData.Fertiliser_Products_Data1(),FertiliserProducts[[#Headers],[Include or Exclude]], 0,4)</f>
        <v/>
      </c>
      <c r="M106" s="182" t="str" cm="1">
        <f t="array" ref="M106">Common_InputFunctions.Utility_DisplayArrayInTable(Fertiliser_SourceData.Fertiliser_Products_Data1(),FertiliserProducts[[#Headers],[Include or Exclude]], 0,4)</f>
        <v/>
      </c>
      <c r="N106" s="182" t="str" cm="1">
        <f t="array" ref="N106">Common_InputFunctions.Utility_DisplayArrayInTable(Fertiliser_SourceData.Fertiliser_Products_Data1(),FertiliserProducts[[#Headers],[Include or Exclude]], 0,4)</f>
        <v/>
      </c>
      <c r="O106" s="182" t="str" cm="1">
        <f t="array" ref="O106">Common_InputFunctions.Utility_DisplayArrayInTable(Fertiliser_SourceData.Fertiliser_Products_Data1(),FertiliserProducts[[#Headers],[Include or Exclude]], 0,4)</f>
        <v/>
      </c>
      <c r="P106" s="182" t="str" cm="1">
        <f t="array" ref="P106">Common_InputFunctions.Utility_DisplayArrayInTable(Fertiliser_SourceData.Fertiliser_Products_Data1(),FertiliserProducts[[#Headers],[Include or Exclude]], 0,4)</f>
        <v/>
      </c>
      <c r="Q106" s="182" t="str" cm="1">
        <f t="array" ref="Q106">Common_InputFunctions.Utility_DisplayArrayInTable(Fertiliser_SourceData.Fertiliser_Products_Data1(),FertiliserProducts[[#Headers],[Include or Exclude]], 0,4)</f>
        <v/>
      </c>
      <c r="R106" s="182" t="str" cm="1">
        <f t="array" ref="R106">Common_InputFunctions.Utility_DisplayArrayInTable(Fertiliser_SourceData.Fertiliser_Products_Data1(),FertiliserProducts[[#Headers],[Include or Exclude]], 0,4)</f>
        <v/>
      </c>
      <c r="S106" s="182" t="str" cm="1">
        <f t="array" ref="S106">Common_InputFunctions.Utility_DisplayArrayInTable(Fertiliser_SourceData.Fertiliser_Products_Data1(),FertiliserProducts[[#Headers],[Include or Exclude]], 0,4)</f>
        <v/>
      </c>
      <c r="T106" s="182" t="str" cm="1">
        <f t="array" ref="T106">Common_InputFunctions.Utility_DisplayArrayInTable(Fertiliser_SourceData.Fertiliser_Products_Data1(),FertiliserProducts[[#Headers],[Include or Exclude]], 0,4)</f>
        <v/>
      </c>
      <c r="U106" s="182" t="str" cm="1">
        <f t="array" ref="U106">Common_InputFunctions.Utility_DisplayArrayInTable(Fertiliser_SourceData.Fertiliser_Products_Data1(),FertiliserProducts[[#Headers],[Include or Exclude]], 0,4)</f>
        <v/>
      </c>
      <c r="V106" s="182" t="str" cm="1">
        <f t="array" ref="V106">Common_InputFunctions.Utility_DisplayArrayInTable(Fertiliser_SourceData.Fertiliser_Products_Data1(),FertiliserProducts[[#Headers],[Include or Exclude]], 0,4)</f>
        <v/>
      </c>
      <c r="W106" s="182" t="str" cm="1">
        <f t="array" ref="W106">Common_InputFunctions.Utility_DisplayArrayInTable(Fertiliser_SourceData.Fertiliser_Products_Data1(),FertiliserProducts[[#Headers],[Include or Exclude]], 0,4)</f>
        <v/>
      </c>
      <c r="X106" s="182" t="str" cm="1">
        <f t="array" ref="X106">Common_InputFunctions.Utility_DisplayArrayInTable(Fertiliser_SourceData.Fertiliser_Products_Data1(),FertiliserProducts[[#Headers],[Include or Exclude]], 0,4)</f>
        <v/>
      </c>
      <c r="Y106" s="182" t="str" cm="1">
        <f t="array" ref="Y106">Common_InputFunctions.Utility_DisplayArrayInTable(Fertiliser_SourceData.Fertiliser_Products_Data1(),FertiliserProducts[[#Headers],[Include or Exclude]], 0,4)</f>
        <v/>
      </c>
      <c r="Z106" s="182" t="str" cm="1">
        <f t="array" ref="Z106">Common_InputFunctions.Utility_DisplayArrayInTable(Fertiliser_SourceData.Fertiliser_Products_Data1(),FertiliserProducts[[#Headers],[Include or Exclude]], 0,4)</f>
        <v/>
      </c>
      <c r="AA106" s="182" t="str" cm="1">
        <f t="array" ref="AA106">Common_InputFunctions.Utility_DisplayArrayInTable(Fertiliser_SourceData.Fertiliser_Products_Data1(),FertiliserProducts[[#Headers],[Include or Exclude]], 0,4)</f>
        <v/>
      </c>
      <c r="AB106" s="182" t="str" cm="1">
        <f t="array" ref="AB106">Common_InputFunctions.Utility_DisplayArrayInTable(Fertiliser_SourceData.Fertiliser_Products_Data1(),FertiliserProducts[[#Headers],[Include or Exclude]], 0,4)</f>
        <v/>
      </c>
      <c r="AC106" s="182" t="str" cm="1">
        <f t="array" ref="AC106">Common_InputFunctions.Utility_DisplayArrayInTable(Fertiliser_SourceData.Fertiliser_Products_Data1(),FertiliserProducts[[#Headers],[Include or Exclude]], 0,4)</f>
        <v/>
      </c>
      <c r="AD106" s="182" t="str" cm="1">
        <f t="array" ref="AD106">Common_InputFunctions.Utility_DisplayArrayInTable(Fertiliser_SourceData.Fertiliser_Products_Data1(),FertiliserProducts[[#Headers],[Include or Exclude]], 0,4)</f>
        <v/>
      </c>
      <c r="AE106" s="182" t="str" cm="1">
        <f t="array" ref="AE106">Common_InputFunctions.Utility_DisplayArrayInTable(Fertiliser_SourceData.Fertiliser_Products_Data1(),FertiliserProducts[[#Headers],[Include or Exclude]], 0,4)</f>
        <v/>
      </c>
    </row>
    <row r="107" spans="4:31" ht="20.100000000000001" customHeight="1" x14ac:dyDescent="0.25">
      <c r="D107" s="182" t="str" cm="1">
        <f t="array" ref="D107">Common_InputFunctions.Utility_DisplayArrayInTable(Fertiliser_SourceData.Fertiliser_Products_Data1(),FertiliserProducts[[#Headers],[Include or Exclude]], -1)</f>
        <v>Include</v>
      </c>
      <c r="E107" s="182" t="str" cm="1">
        <f t="array" ref="E107">Common_InputFunctions.Utility_DisplayArrayInTable(Fertiliser_SourceData.Fertiliser_Products_Data1(),FertiliserProducts[[#Headers],[Include or Exclude]], 0)</f>
        <v/>
      </c>
      <c r="F107" s="182" t="str" cm="1">
        <f t="array" ref="F107">Common_InputFunctions.Utility_DisplayArrayInTable(Fertiliser_SourceData.Fertiliser_Products_Data1(),FertiliserProducts[[#Headers],[Include or Exclude]], 0)</f>
        <v>Campbells fertilisers Australia</v>
      </c>
      <c r="G107" s="182" t="str" cm="1">
        <f t="array" ref="G107">Common_InputFunctions.Utility_DisplayArrayInTable(Fertiliser_SourceData.Fertiliser_Products_Data1(),FertiliserProducts[[#Headers],[Include or Exclude]], 0)</f>
        <v>Brexil Line</v>
      </c>
      <c r="H107" s="182" t="str" cm="1">
        <f t="array" ref="H107">Common_InputFunctions.Utility_DisplayArrayInTable(Fertiliser_SourceData.Fertiliser_Products_Data1(),FertiliserProducts[[#Headers],[Include or Exclude]], 0,4)</f>
        <v/>
      </c>
      <c r="I107" s="182" t="str" cm="1">
        <f t="array" ref="I107">Common_InputFunctions.Utility_DisplayArrayInTable(Fertiliser_SourceData.Fertiliser_Products_Data1(),FertiliserProducts[[#Headers],[Include or Exclude]], 0,4)</f>
        <v/>
      </c>
      <c r="J107" s="182" t="str" cm="1">
        <f t="array" ref="J107">Common_InputFunctions.Utility_DisplayArrayInTable(Fertiliser_SourceData.Fertiliser_Products_Data1(),FertiliserProducts[[#Headers],[Include or Exclude]], 0,4)</f>
        <v/>
      </c>
      <c r="K107" s="182" t="str" cm="1">
        <f t="array" ref="K107">Common_InputFunctions.Utility_DisplayArrayInTable(Fertiliser_SourceData.Fertiliser_Products_Data1(),FertiliserProducts[[#Headers],[Include or Exclude]], 0,4)</f>
        <v/>
      </c>
      <c r="L107" s="182" t="str" cm="1">
        <f t="array" ref="L107">Common_InputFunctions.Utility_DisplayArrayInTable(Fertiliser_SourceData.Fertiliser_Products_Data1(),FertiliserProducts[[#Headers],[Include or Exclude]], 0,4)</f>
        <v/>
      </c>
      <c r="M107" s="182" t="str" cm="1">
        <f t="array" ref="M107">Common_InputFunctions.Utility_DisplayArrayInTable(Fertiliser_SourceData.Fertiliser_Products_Data1(),FertiliserProducts[[#Headers],[Include or Exclude]], 0,4)</f>
        <v/>
      </c>
      <c r="N107" s="182" t="str" cm="1">
        <f t="array" ref="N107">Common_InputFunctions.Utility_DisplayArrayInTable(Fertiliser_SourceData.Fertiliser_Products_Data1(),FertiliserProducts[[#Headers],[Include or Exclude]], 0,4)</f>
        <v/>
      </c>
      <c r="O107" s="182" t="str" cm="1">
        <f t="array" ref="O107">Common_InputFunctions.Utility_DisplayArrayInTable(Fertiliser_SourceData.Fertiliser_Products_Data1(),FertiliserProducts[[#Headers],[Include or Exclude]], 0,4)</f>
        <v/>
      </c>
      <c r="P107" s="182" t="str" cm="1">
        <f t="array" ref="P107">Common_InputFunctions.Utility_DisplayArrayInTable(Fertiliser_SourceData.Fertiliser_Products_Data1(),FertiliserProducts[[#Headers],[Include or Exclude]], 0,4)</f>
        <v/>
      </c>
      <c r="Q107" s="182" t="str" cm="1">
        <f t="array" ref="Q107">Common_InputFunctions.Utility_DisplayArrayInTable(Fertiliser_SourceData.Fertiliser_Products_Data1(),FertiliserProducts[[#Headers],[Include or Exclude]], 0,4)</f>
        <v/>
      </c>
      <c r="R107" s="182" t="str" cm="1">
        <f t="array" ref="R107">Common_InputFunctions.Utility_DisplayArrayInTable(Fertiliser_SourceData.Fertiliser_Products_Data1(),FertiliserProducts[[#Headers],[Include or Exclude]], 0,4)</f>
        <v/>
      </c>
      <c r="S107" s="182" t="str" cm="1">
        <f t="array" ref="S107">Common_InputFunctions.Utility_DisplayArrayInTable(Fertiliser_SourceData.Fertiliser_Products_Data1(),FertiliserProducts[[#Headers],[Include or Exclude]], 0,4)</f>
        <v/>
      </c>
      <c r="T107" s="182" t="str" cm="1">
        <f t="array" ref="T107">Common_InputFunctions.Utility_DisplayArrayInTable(Fertiliser_SourceData.Fertiliser_Products_Data1(),FertiliserProducts[[#Headers],[Include or Exclude]], 0,4)</f>
        <v/>
      </c>
      <c r="U107" s="182" t="str" cm="1">
        <f t="array" ref="U107">Common_InputFunctions.Utility_DisplayArrayInTable(Fertiliser_SourceData.Fertiliser_Products_Data1(),FertiliserProducts[[#Headers],[Include or Exclude]], 0,4)</f>
        <v/>
      </c>
      <c r="V107" s="182" t="str" cm="1">
        <f t="array" ref="V107">Common_InputFunctions.Utility_DisplayArrayInTable(Fertiliser_SourceData.Fertiliser_Products_Data1(),FertiliserProducts[[#Headers],[Include or Exclude]], 0,4)</f>
        <v/>
      </c>
      <c r="W107" s="182" t="str" cm="1">
        <f t="array" ref="W107">Common_InputFunctions.Utility_DisplayArrayInTable(Fertiliser_SourceData.Fertiliser_Products_Data1(),FertiliserProducts[[#Headers],[Include or Exclude]], 0,4)</f>
        <v/>
      </c>
      <c r="X107" s="182" t="str" cm="1">
        <f t="array" ref="X107">Common_InputFunctions.Utility_DisplayArrayInTable(Fertiliser_SourceData.Fertiliser_Products_Data1(),FertiliserProducts[[#Headers],[Include or Exclude]], 0,4)</f>
        <v/>
      </c>
      <c r="Y107" s="182" t="str" cm="1">
        <f t="array" ref="Y107">Common_InputFunctions.Utility_DisplayArrayInTable(Fertiliser_SourceData.Fertiliser_Products_Data1(),FertiliserProducts[[#Headers],[Include or Exclude]], 0,4)</f>
        <v/>
      </c>
      <c r="Z107" s="182" t="str" cm="1">
        <f t="array" ref="Z107">Common_InputFunctions.Utility_DisplayArrayInTable(Fertiliser_SourceData.Fertiliser_Products_Data1(),FertiliserProducts[[#Headers],[Include or Exclude]], 0,4)</f>
        <v/>
      </c>
      <c r="AA107" s="182" t="str" cm="1">
        <f t="array" ref="AA107">Common_InputFunctions.Utility_DisplayArrayInTable(Fertiliser_SourceData.Fertiliser_Products_Data1(),FertiliserProducts[[#Headers],[Include or Exclude]], 0,4)</f>
        <v/>
      </c>
      <c r="AB107" s="182" t="str" cm="1">
        <f t="array" ref="AB107">Common_InputFunctions.Utility_DisplayArrayInTable(Fertiliser_SourceData.Fertiliser_Products_Data1(),FertiliserProducts[[#Headers],[Include or Exclude]], 0,4)</f>
        <v/>
      </c>
      <c r="AC107" s="182" t="str" cm="1">
        <f t="array" ref="AC107">Common_InputFunctions.Utility_DisplayArrayInTable(Fertiliser_SourceData.Fertiliser_Products_Data1(),FertiliserProducts[[#Headers],[Include or Exclude]], 0,4)</f>
        <v/>
      </c>
      <c r="AD107" s="182" t="str" cm="1">
        <f t="array" ref="AD107">Common_InputFunctions.Utility_DisplayArrayInTable(Fertiliser_SourceData.Fertiliser_Products_Data1(),FertiliserProducts[[#Headers],[Include or Exclude]], 0,4)</f>
        <v/>
      </c>
      <c r="AE107" s="182" t="str" cm="1">
        <f t="array" ref="AE107">Common_InputFunctions.Utility_DisplayArrayInTable(Fertiliser_SourceData.Fertiliser_Products_Data1(),FertiliserProducts[[#Headers],[Include or Exclude]], 0,4)</f>
        <v/>
      </c>
    </row>
    <row r="108" spans="4:31" ht="20.100000000000001" customHeight="1" x14ac:dyDescent="0.25">
      <c r="D108" s="182" t="str" cm="1">
        <f t="array" ref="D108">Common_InputFunctions.Utility_DisplayArrayInTable(Fertiliser_SourceData.Fertiliser_Products_Data1(),FertiliserProducts[[#Headers],[Include or Exclude]], -1)</f>
        <v>Exclude - Absent ingredients &gt; 2%</v>
      </c>
      <c r="E108" s="182" t="str" cm="1">
        <f t="array" ref="E108">Common_InputFunctions.Utility_DisplayArrayInTable(Fertiliser_SourceData.Fertiliser_Products_Data1(),FertiliserProducts[[#Headers],[Include or Exclude]], 0)</f>
        <v/>
      </c>
      <c r="F108" s="182" t="str" cm="1">
        <f t="array" ref="F108">Common_InputFunctions.Utility_DisplayArrayInTable(Fertiliser_SourceData.Fertiliser_Products_Data1(),FertiliserProducts[[#Headers],[Include or Exclude]], 0)</f>
        <v>Campbells fertilisers Australia</v>
      </c>
      <c r="G108" s="182" t="str" cm="1">
        <f t="array" ref="G108">Common_InputFunctions.Utility_DisplayArrayInTable(Fertiliser_SourceData.Fertiliser_Products_Data1(),FertiliserProducts[[#Headers],[Include or Exclude]], 0)</f>
        <v>Bronze</v>
      </c>
      <c r="H108" s="182" t="str" cm="1">
        <f t="array" ref="H108">Common_InputFunctions.Utility_DisplayArrayInTable(Fertiliser_SourceData.Fertiliser_Products_Data1(),FertiliserProducts[[#Headers],[Include or Exclude]], 0,4)</f>
        <v>kg</v>
      </c>
      <c r="I108" s="182" t="str" cm="1">
        <f t="array" ref="I108">Common_InputFunctions.Utility_DisplayArrayInTable(Fertiliser_SourceData.Fertiliser_Products_Data1(),FertiliserProducts[[#Headers],[Include or Exclude]], 0,4)</f>
        <v/>
      </c>
      <c r="J108" s="182" t="str" cm="1">
        <f t="array" ref="J108">Common_InputFunctions.Utility_DisplayArrayInTable(Fertiliser_SourceData.Fertiliser_Products_Data1(),FertiliserProducts[[#Headers],[Include or Exclude]], 0,4)</f>
        <v/>
      </c>
      <c r="K108" s="182" t="str" cm="1">
        <f t="array" ref="K108">Common_InputFunctions.Utility_DisplayArrayInTable(Fertiliser_SourceData.Fertiliser_Products_Data1(),FertiliserProducts[[#Headers],[Include or Exclude]], 0,4)</f>
        <v/>
      </c>
      <c r="L108" s="182" t="str" cm="1">
        <f t="array" ref="L108">Common_InputFunctions.Utility_DisplayArrayInTable(Fertiliser_SourceData.Fertiliser_Products_Data1(),FertiliserProducts[[#Headers],[Include or Exclude]], 0,4)</f>
        <v>Muriate of Potash (MOP)</v>
      </c>
      <c r="M108" s="182" cm="1">
        <f t="array" ref="M108">Common_InputFunctions.Utility_DisplayArrayInTable(Fertiliser_SourceData.Fertiliser_Products_Data1(),FertiliserProducts[[#Headers],[Include or Exclude]], 0,4)</f>
        <v>0.23200000000000001</v>
      </c>
      <c r="N108" s="182" t="str" cm="1">
        <f t="array" ref="N108">Common_InputFunctions.Utility_DisplayArrayInTable(Fertiliser_SourceData.Fertiliser_Products_Data1(),FertiliserProducts[[#Headers],[Include or Exclude]], 0,4)</f>
        <v>Nitrogen - Generic</v>
      </c>
      <c r="O108" s="182" cm="1">
        <f t="array" ref="O108">Common_InputFunctions.Utility_DisplayArrayInTable(Fertiliser_SourceData.Fertiliser_Products_Data1(),FertiliserProducts[[#Headers],[Include or Exclude]], 0,4)</f>
        <v>0.17</v>
      </c>
      <c r="P108" s="182" t="str" cm="1">
        <f t="array" ref="P108">Common_InputFunctions.Utility_DisplayArrayInTable(Fertiliser_SourceData.Fertiliser_Products_Data1(),FertiliserProducts[[#Headers],[Include or Exclude]], 0,4)</f>
        <v>Sulfur - Generic</v>
      </c>
      <c r="Q108" s="182" cm="1">
        <f t="array" ref="Q108">Common_InputFunctions.Utility_DisplayArrayInTable(Fertiliser_SourceData.Fertiliser_Products_Data1(),FertiliserProducts[[#Headers],[Include or Exclude]], 0,4)</f>
        <v>5.0000000000000001E-3</v>
      </c>
      <c r="R108" s="182" t="str" cm="1">
        <f t="array" ref="R108">Common_InputFunctions.Utility_DisplayArrayInTable(Fertiliser_SourceData.Fertiliser_Products_Data1(),FertiliserProducts[[#Headers],[Include or Exclude]], 0,4)</f>
        <v>Magnesium</v>
      </c>
      <c r="S108" s="182" cm="1">
        <f t="array" ref="S108">Common_InputFunctions.Utility_DisplayArrayInTable(Fertiliser_SourceData.Fertiliser_Products_Data1(),FertiliserProducts[[#Headers],[Include or Exclude]], 0,4)</f>
        <v>2.3999999999999998E-3</v>
      </c>
      <c r="T108" s="182" t="str" cm="1">
        <f t="array" ref="T108">Common_InputFunctions.Utility_DisplayArrayInTable(Fertiliser_SourceData.Fertiliser_Products_Data1(),FertiliserProducts[[#Headers],[Include or Exclude]], 0,4)</f>
        <v>Phosphorus - Generic</v>
      </c>
      <c r="U108" s="182" cm="1">
        <f t="array" ref="U108">Common_InputFunctions.Utility_DisplayArrayInTable(Fertiliser_SourceData.Fertiliser_Products_Data1(),FertiliserProducts[[#Headers],[Include or Exclude]], 0,4)</f>
        <v>4.0000000000000002E-4</v>
      </c>
      <c r="V108" s="182" t="str" cm="1">
        <f t="array" ref="V108">Common_InputFunctions.Utility_DisplayArrayInTable(Fertiliser_SourceData.Fertiliser_Products_Data1(),FertiliserProducts[[#Headers],[Include or Exclude]], 0,4)</f>
        <v/>
      </c>
      <c r="W108" s="182" t="str" cm="1">
        <f t="array" ref="W108">Common_InputFunctions.Utility_DisplayArrayInTable(Fertiliser_SourceData.Fertiliser_Products_Data1(),FertiliserProducts[[#Headers],[Include or Exclude]], 0,4)</f>
        <v/>
      </c>
      <c r="X108" s="182" t="str" cm="1">
        <f t="array" ref="X108">Common_InputFunctions.Utility_DisplayArrayInTable(Fertiliser_SourceData.Fertiliser_Products_Data1(),FertiliserProducts[[#Headers],[Include or Exclude]], 0,4)</f>
        <v/>
      </c>
      <c r="Y108" s="182" t="str" cm="1">
        <f t="array" ref="Y108">Common_InputFunctions.Utility_DisplayArrayInTable(Fertiliser_SourceData.Fertiliser_Products_Data1(),FertiliserProducts[[#Headers],[Include or Exclude]], 0,4)</f>
        <v/>
      </c>
      <c r="Z108" s="182" t="str" cm="1">
        <f t="array" ref="Z108">Common_InputFunctions.Utility_DisplayArrayInTable(Fertiliser_SourceData.Fertiliser_Products_Data1(),FertiliserProducts[[#Headers],[Include or Exclude]], 0,4)</f>
        <v/>
      </c>
      <c r="AA108" s="182" t="str" cm="1">
        <f t="array" ref="AA108">Common_InputFunctions.Utility_DisplayArrayInTable(Fertiliser_SourceData.Fertiliser_Products_Data1(),FertiliserProducts[[#Headers],[Include or Exclude]], 0,4)</f>
        <v/>
      </c>
      <c r="AB108" s="182" t="str" cm="1">
        <f t="array" ref="AB108">Common_InputFunctions.Utility_DisplayArrayInTable(Fertiliser_SourceData.Fertiliser_Products_Data1(),FertiliserProducts[[#Headers],[Include or Exclude]], 0,4)</f>
        <v/>
      </c>
      <c r="AC108" s="182" t="str" cm="1">
        <f t="array" ref="AC108">Common_InputFunctions.Utility_DisplayArrayInTable(Fertiliser_SourceData.Fertiliser_Products_Data1(),FertiliserProducts[[#Headers],[Include or Exclude]], 0,4)</f>
        <v/>
      </c>
      <c r="AD108" s="182" t="str" cm="1">
        <f t="array" ref="AD108">Common_InputFunctions.Utility_DisplayArrayInTable(Fertiliser_SourceData.Fertiliser_Products_Data1(),FertiliserProducts[[#Headers],[Include or Exclude]], 0,4)</f>
        <v/>
      </c>
      <c r="AE108" s="182" t="str" cm="1">
        <f t="array" ref="AE108">Common_InputFunctions.Utility_DisplayArrayInTable(Fertiliser_SourceData.Fertiliser_Products_Data1(),FertiliserProducts[[#Headers],[Include or Exclude]], 0,4)</f>
        <v/>
      </c>
    </row>
    <row r="109" spans="4:31" ht="20.100000000000001" customHeight="1" x14ac:dyDescent="0.25">
      <c r="D109" s="182" t="str" cm="1">
        <f t="array" ref="D109">Common_InputFunctions.Utility_DisplayArrayInTable(Fertiliser_SourceData.Fertiliser_Products_Data1(),FertiliserProducts[[#Headers],[Include or Exclude]], -1)</f>
        <v>Exclude - Not relevant</v>
      </c>
      <c r="E109" s="182" t="str" cm="1">
        <f t="array" ref="E109">Common_InputFunctions.Utility_DisplayArrayInTable(Fertiliser_SourceData.Fertiliser_Products_Data1(),FertiliserProducts[[#Headers],[Include or Exclude]], 0)</f>
        <v/>
      </c>
      <c r="F109" s="182" t="str" cm="1">
        <f t="array" ref="F109">Common_InputFunctions.Utility_DisplayArrayInTable(Fertiliser_SourceData.Fertiliser_Products_Data1(),FertiliserProducts[[#Headers],[Include or Exclude]], 0)</f>
        <v>Campbells fertilisers Australia</v>
      </c>
      <c r="G109" s="182" t="str" cm="1">
        <f t="array" ref="G109">Common_InputFunctions.Utility_DisplayArrayInTable(Fertiliser_SourceData.Fertiliser_Products_Data1(),FertiliserProducts[[#Headers],[Include or Exclude]], 0)</f>
        <v>Bud-Wiser Dry</v>
      </c>
      <c r="H109" s="182" t="str" cm="1">
        <f t="array" ref="H109">Common_InputFunctions.Utility_DisplayArrayInTable(Fertiliser_SourceData.Fertiliser_Products_Data1(),FertiliserProducts[[#Headers],[Include or Exclude]], 0,4)</f>
        <v>kg</v>
      </c>
      <c r="I109" s="182" t="str" cm="1">
        <f t="array" ref="I109">Common_InputFunctions.Utility_DisplayArrayInTable(Fertiliser_SourceData.Fertiliser_Products_Data1(),FertiliserProducts[[#Headers],[Include or Exclude]], 0,4)</f>
        <v/>
      </c>
      <c r="J109" s="182" t="str" cm="1">
        <f t="array" ref="J109">Common_InputFunctions.Utility_DisplayArrayInTable(Fertiliser_SourceData.Fertiliser_Products_Data1(),FertiliserProducts[[#Headers],[Include or Exclude]], 0,4)</f>
        <v/>
      </c>
      <c r="K109" s="182" t="str" cm="1">
        <f t="array" ref="K109">Common_InputFunctions.Utility_DisplayArrayInTable(Fertiliser_SourceData.Fertiliser_Products_Data1(),FertiliserProducts[[#Headers],[Include or Exclude]], 0,4)</f>
        <v/>
      </c>
      <c r="L109" s="182" t="str" cm="1">
        <f t="array" ref="L109">Common_InputFunctions.Utility_DisplayArrayInTable(Fertiliser_SourceData.Fertiliser_Products_Data1(),FertiliserProducts[[#Headers],[Include or Exclude]], 0,4)</f>
        <v>Sulfur - Generic</v>
      </c>
      <c r="M109" s="182" cm="1">
        <f t="array" ref="M109">Common_InputFunctions.Utility_DisplayArrayInTable(Fertiliser_SourceData.Fertiliser_Products_Data1(),FertiliserProducts[[#Headers],[Include or Exclude]], 0,4)</f>
        <v>9.4E-2</v>
      </c>
      <c r="N109" s="182" t="str" cm="1">
        <f t="array" ref="N109">Common_InputFunctions.Utility_DisplayArrayInTable(Fertiliser_SourceData.Fertiliser_Products_Data1(),FertiliserProducts[[#Headers],[Include or Exclude]], 0,4)</f>
        <v>Magnesium</v>
      </c>
      <c r="O109" s="182" cm="1">
        <f t="array" ref="O109">Common_InputFunctions.Utility_DisplayArrayInTable(Fertiliser_SourceData.Fertiliser_Products_Data1(),FertiliserProducts[[#Headers],[Include or Exclude]], 0,4)</f>
        <v>0.06</v>
      </c>
      <c r="P109" s="182" t="str" cm="1">
        <f t="array" ref="P109">Common_InputFunctions.Utility_DisplayArrayInTable(Fertiliser_SourceData.Fertiliser_Products_Data1(),FertiliserProducts[[#Headers],[Include or Exclude]], 0,4)</f>
        <v>Boron</v>
      </c>
      <c r="Q109" s="182" cm="1">
        <f t="array" ref="Q109">Common_InputFunctions.Utility_DisplayArrayInTable(Fertiliser_SourceData.Fertiliser_Products_Data1(),FertiliserProducts[[#Headers],[Include or Exclude]], 0,4)</f>
        <v>4.4999999999999998E-2</v>
      </c>
      <c r="R109" s="182" t="str" cm="1">
        <f t="array" ref="R109">Common_InputFunctions.Utility_DisplayArrayInTable(Fertiliser_SourceData.Fertiliser_Products_Data1(),FertiliserProducts[[#Headers],[Include or Exclude]], 0,4)</f>
        <v>Zinc</v>
      </c>
      <c r="S109" s="182" cm="1">
        <f t="array" ref="S109">Common_InputFunctions.Utility_DisplayArrayInTable(Fertiliser_SourceData.Fertiliser_Products_Data1(),FertiliserProducts[[#Headers],[Include or Exclude]], 0,4)</f>
        <v>2.7E-2</v>
      </c>
      <c r="T109" s="182" t="str" cm="1">
        <f t="array" ref="T109">Common_InputFunctions.Utility_DisplayArrayInTable(Fertiliser_SourceData.Fertiliser_Products_Data1(),FertiliserProducts[[#Headers],[Include or Exclude]], 0,4)</f>
        <v/>
      </c>
      <c r="U109" s="182" t="str" cm="1">
        <f t="array" ref="U109">Common_InputFunctions.Utility_DisplayArrayInTable(Fertiliser_SourceData.Fertiliser_Products_Data1(),FertiliserProducts[[#Headers],[Include or Exclude]], 0,4)</f>
        <v/>
      </c>
      <c r="V109" s="182" t="str" cm="1">
        <f t="array" ref="V109">Common_InputFunctions.Utility_DisplayArrayInTable(Fertiliser_SourceData.Fertiliser_Products_Data1(),FertiliserProducts[[#Headers],[Include or Exclude]], 0,4)</f>
        <v/>
      </c>
      <c r="W109" s="182" t="str" cm="1">
        <f t="array" ref="W109">Common_InputFunctions.Utility_DisplayArrayInTable(Fertiliser_SourceData.Fertiliser_Products_Data1(),FertiliserProducts[[#Headers],[Include or Exclude]], 0,4)</f>
        <v/>
      </c>
      <c r="X109" s="182" t="str" cm="1">
        <f t="array" ref="X109">Common_InputFunctions.Utility_DisplayArrayInTable(Fertiliser_SourceData.Fertiliser_Products_Data1(),FertiliserProducts[[#Headers],[Include or Exclude]], 0,4)</f>
        <v/>
      </c>
      <c r="Y109" s="182" t="str" cm="1">
        <f t="array" ref="Y109">Common_InputFunctions.Utility_DisplayArrayInTable(Fertiliser_SourceData.Fertiliser_Products_Data1(),FertiliserProducts[[#Headers],[Include or Exclude]], 0,4)</f>
        <v/>
      </c>
      <c r="Z109" s="182" t="str" cm="1">
        <f t="array" ref="Z109">Common_InputFunctions.Utility_DisplayArrayInTable(Fertiliser_SourceData.Fertiliser_Products_Data1(),FertiliserProducts[[#Headers],[Include or Exclude]], 0,4)</f>
        <v/>
      </c>
      <c r="AA109" s="182" t="str" cm="1">
        <f t="array" ref="AA109">Common_InputFunctions.Utility_DisplayArrayInTable(Fertiliser_SourceData.Fertiliser_Products_Data1(),FertiliserProducts[[#Headers],[Include or Exclude]], 0,4)</f>
        <v/>
      </c>
      <c r="AB109" s="182" t="str" cm="1">
        <f t="array" ref="AB109">Common_InputFunctions.Utility_DisplayArrayInTable(Fertiliser_SourceData.Fertiliser_Products_Data1(),FertiliserProducts[[#Headers],[Include or Exclude]], 0,4)</f>
        <v/>
      </c>
      <c r="AC109" s="182" t="str" cm="1">
        <f t="array" ref="AC109">Common_InputFunctions.Utility_DisplayArrayInTable(Fertiliser_SourceData.Fertiliser_Products_Data1(),FertiliserProducts[[#Headers],[Include or Exclude]], 0,4)</f>
        <v/>
      </c>
      <c r="AD109" s="182" t="str" cm="1">
        <f t="array" ref="AD109">Common_InputFunctions.Utility_DisplayArrayInTable(Fertiliser_SourceData.Fertiliser_Products_Data1(),FertiliserProducts[[#Headers],[Include or Exclude]], 0,4)</f>
        <v/>
      </c>
      <c r="AE109" s="182" t="str" cm="1">
        <f t="array" ref="AE109">Common_InputFunctions.Utility_DisplayArrayInTable(Fertiliser_SourceData.Fertiliser_Products_Data1(),FertiliserProducts[[#Headers],[Include or Exclude]], 0,4)</f>
        <v/>
      </c>
    </row>
    <row r="110" spans="4:31" ht="20.100000000000001" customHeight="1" x14ac:dyDescent="0.25">
      <c r="D110" s="182" t="str" cm="1">
        <f t="array" ref="D110">Common_InputFunctions.Utility_DisplayArrayInTable(Fertiliser_SourceData.Fertiliser_Products_Data1(),FertiliserProducts[[#Headers],[Include or Exclude]], -1)</f>
        <v>Exclude - Not relevant</v>
      </c>
      <c r="E110" s="182" t="str" cm="1">
        <f t="array" ref="E110">Common_InputFunctions.Utility_DisplayArrayInTable(Fertiliser_SourceData.Fertiliser_Products_Data1(),FertiliserProducts[[#Headers],[Include or Exclude]], 0)</f>
        <v/>
      </c>
      <c r="F110" s="182" t="str" cm="1">
        <f t="array" ref="F110">Common_InputFunctions.Utility_DisplayArrayInTable(Fertiliser_SourceData.Fertiliser_Products_Data1(),FertiliserProducts[[#Headers],[Include or Exclude]], 0)</f>
        <v>Campbells fertilisers Australia</v>
      </c>
      <c r="G110" s="182" t="str" cm="1">
        <f t="array" ref="G110">Common_InputFunctions.Utility_DisplayArrayInTable(Fertiliser_SourceData.Fertiliser_Products_Data1(),FertiliserProducts[[#Headers],[Include or Exclude]], 0)</f>
        <v>Calbit C</v>
      </c>
      <c r="H110" s="182" t="str" cm="1">
        <f t="array" ref="H110">Common_InputFunctions.Utility_DisplayArrayInTable(Fertiliser_SourceData.Fertiliser_Products_Data1(),FertiliserProducts[[#Headers],[Include or Exclude]], 0,4)</f>
        <v>L</v>
      </c>
      <c r="I110" s="182" t="str" cm="1">
        <f t="array" ref="I110">Common_InputFunctions.Utility_DisplayArrayInTable(Fertiliser_SourceData.Fertiliser_Products_Data1(),FertiliserProducts[[#Headers],[Include or Exclude]], 0,4)</f>
        <v/>
      </c>
      <c r="J110" s="182" t="str" cm="1">
        <f t="array" ref="J110">Common_InputFunctions.Utility_DisplayArrayInTable(Fertiliser_SourceData.Fertiliser_Products_Data1(),FertiliserProducts[[#Headers],[Include or Exclude]], 0,4)</f>
        <v/>
      </c>
      <c r="K110" s="182" t="str" cm="1">
        <f t="array" ref="K110">Common_InputFunctions.Utility_DisplayArrayInTable(Fertiliser_SourceData.Fertiliser_Products_Data1(),FertiliserProducts[[#Headers],[Include or Exclude]], 0,4)</f>
        <v/>
      </c>
      <c r="L110" s="182" t="str" cm="1">
        <f t="array" ref="L110">Common_InputFunctions.Utility_DisplayArrayInTable(Fertiliser_SourceData.Fertiliser_Products_Data1(),FertiliserProducts[[#Headers],[Include or Exclude]], 0,4)</f>
        <v/>
      </c>
      <c r="M110" s="182" t="str" cm="1">
        <f t="array" ref="M110">Common_InputFunctions.Utility_DisplayArrayInTable(Fertiliser_SourceData.Fertiliser_Products_Data1(),FertiliserProducts[[#Headers],[Include or Exclude]], 0,4)</f>
        <v/>
      </c>
      <c r="N110" s="182" t="str" cm="1">
        <f t="array" ref="N110">Common_InputFunctions.Utility_DisplayArrayInTable(Fertiliser_SourceData.Fertiliser_Products_Data1(),FertiliserProducts[[#Headers],[Include or Exclude]], 0,4)</f>
        <v/>
      </c>
      <c r="O110" s="182" t="str" cm="1">
        <f t="array" ref="O110">Common_InputFunctions.Utility_DisplayArrayInTable(Fertiliser_SourceData.Fertiliser_Products_Data1(),FertiliserProducts[[#Headers],[Include or Exclude]], 0,4)</f>
        <v/>
      </c>
      <c r="P110" s="182" t="str" cm="1">
        <f t="array" ref="P110">Common_InputFunctions.Utility_DisplayArrayInTable(Fertiliser_SourceData.Fertiliser_Products_Data1(),FertiliserProducts[[#Headers],[Include or Exclude]], 0,4)</f>
        <v/>
      </c>
      <c r="Q110" s="182" t="str" cm="1">
        <f t="array" ref="Q110">Common_InputFunctions.Utility_DisplayArrayInTable(Fertiliser_SourceData.Fertiliser_Products_Data1(),FertiliserProducts[[#Headers],[Include or Exclude]], 0,4)</f>
        <v/>
      </c>
      <c r="R110" s="182" t="str" cm="1">
        <f t="array" ref="R110">Common_InputFunctions.Utility_DisplayArrayInTable(Fertiliser_SourceData.Fertiliser_Products_Data1(),FertiliserProducts[[#Headers],[Include or Exclude]], 0,4)</f>
        <v/>
      </c>
      <c r="S110" s="182" t="str" cm="1">
        <f t="array" ref="S110">Common_InputFunctions.Utility_DisplayArrayInTable(Fertiliser_SourceData.Fertiliser_Products_Data1(),FertiliserProducts[[#Headers],[Include or Exclude]], 0,4)</f>
        <v/>
      </c>
      <c r="T110" s="182" t="str" cm="1">
        <f t="array" ref="T110">Common_InputFunctions.Utility_DisplayArrayInTable(Fertiliser_SourceData.Fertiliser_Products_Data1(),FertiliserProducts[[#Headers],[Include or Exclude]], 0,4)</f>
        <v/>
      </c>
      <c r="U110" s="182" t="str" cm="1">
        <f t="array" ref="U110">Common_InputFunctions.Utility_DisplayArrayInTable(Fertiliser_SourceData.Fertiliser_Products_Data1(),FertiliserProducts[[#Headers],[Include or Exclude]], 0,4)</f>
        <v/>
      </c>
      <c r="V110" s="182" t="str" cm="1">
        <f t="array" ref="V110">Common_InputFunctions.Utility_DisplayArrayInTable(Fertiliser_SourceData.Fertiliser_Products_Data1(),FertiliserProducts[[#Headers],[Include or Exclude]], 0,4)</f>
        <v/>
      </c>
      <c r="W110" s="182" t="str" cm="1">
        <f t="array" ref="W110">Common_InputFunctions.Utility_DisplayArrayInTable(Fertiliser_SourceData.Fertiliser_Products_Data1(),FertiliserProducts[[#Headers],[Include or Exclude]], 0,4)</f>
        <v/>
      </c>
      <c r="X110" s="182" t="str" cm="1">
        <f t="array" ref="X110">Common_InputFunctions.Utility_DisplayArrayInTable(Fertiliser_SourceData.Fertiliser_Products_Data1(),FertiliserProducts[[#Headers],[Include or Exclude]], 0,4)</f>
        <v/>
      </c>
      <c r="Y110" s="182" t="str" cm="1">
        <f t="array" ref="Y110">Common_InputFunctions.Utility_DisplayArrayInTable(Fertiliser_SourceData.Fertiliser_Products_Data1(),FertiliserProducts[[#Headers],[Include or Exclude]], 0,4)</f>
        <v/>
      </c>
      <c r="Z110" s="182" t="str" cm="1">
        <f t="array" ref="Z110">Common_InputFunctions.Utility_DisplayArrayInTable(Fertiliser_SourceData.Fertiliser_Products_Data1(),FertiliserProducts[[#Headers],[Include or Exclude]], 0,4)</f>
        <v/>
      </c>
      <c r="AA110" s="182" t="str" cm="1">
        <f t="array" ref="AA110">Common_InputFunctions.Utility_DisplayArrayInTable(Fertiliser_SourceData.Fertiliser_Products_Data1(),FertiliserProducts[[#Headers],[Include or Exclude]], 0,4)</f>
        <v/>
      </c>
      <c r="AB110" s="182" t="str" cm="1">
        <f t="array" ref="AB110">Common_InputFunctions.Utility_DisplayArrayInTable(Fertiliser_SourceData.Fertiliser_Products_Data1(),FertiliserProducts[[#Headers],[Include or Exclude]], 0,4)</f>
        <v/>
      </c>
      <c r="AC110" s="182" t="str" cm="1">
        <f t="array" ref="AC110">Common_InputFunctions.Utility_DisplayArrayInTable(Fertiliser_SourceData.Fertiliser_Products_Data1(),FertiliserProducts[[#Headers],[Include or Exclude]], 0,4)</f>
        <v/>
      </c>
      <c r="AD110" s="182" t="str" cm="1">
        <f t="array" ref="AD110">Common_InputFunctions.Utility_DisplayArrayInTable(Fertiliser_SourceData.Fertiliser_Products_Data1(),FertiliserProducts[[#Headers],[Include or Exclude]], 0,4)</f>
        <v/>
      </c>
      <c r="AE110" s="182" t="str" cm="1">
        <f t="array" ref="AE110">Common_InputFunctions.Utility_DisplayArrayInTable(Fertiliser_SourceData.Fertiliser_Products_Data1(),FertiliserProducts[[#Headers],[Include or Exclude]], 0,4)</f>
        <v/>
      </c>
    </row>
    <row r="111" spans="4:31" ht="20.100000000000001" customHeight="1" x14ac:dyDescent="0.25">
      <c r="D111" s="182" t="str" cm="1">
        <f t="array" ref="D111">Common_InputFunctions.Utility_DisplayArrayInTable(Fertiliser_SourceData.Fertiliser_Products_Data1(),FertiliserProducts[[#Headers],[Include or Exclude]], -1)</f>
        <v>Include</v>
      </c>
      <c r="E111" s="182" t="str" cm="1">
        <f t="array" ref="E111">Common_InputFunctions.Utility_DisplayArrayInTable(Fertiliser_SourceData.Fertiliser_Products_Data1(),FertiliserProducts[[#Headers],[Include or Exclude]], 0)</f>
        <v/>
      </c>
      <c r="F111" s="182" t="str" cm="1">
        <f t="array" ref="F111">Common_InputFunctions.Utility_DisplayArrayInTable(Fertiliser_SourceData.Fertiliser_Products_Data1(),FertiliserProducts[[#Headers],[Include or Exclude]], 0)</f>
        <v>Campbells fertilisers Australia</v>
      </c>
      <c r="G111" s="182" t="str" cm="1">
        <f t="array" ref="G111">Common_InputFunctions.Utility_DisplayArrayInTable(Fertiliser_SourceData.Fertiliser_Products_Data1(),FertiliserProducts[[#Headers],[Include or Exclude]], 0)</f>
        <v>Calcium 175</v>
      </c>
      <c r="H111" s="182" t="str" cm="1">
        <f t="array" ref="H111">Common_InputFunctions.Utility_DisplayArrayInTable(Fertiliser_SourceData.Fertiliser_Products_Data1(),FertiliserProducts[[#Headers],[Include or Exclude]], 0,4)</f>
        <v>L</v>
      </c>
      <c r="I111" s="182" t="str" cm="1">
        <f t="array" ref="I111">Common_InputFunctions.Utility_DisplayArrayInTable(Fertiliser_SourceData.Fertiliser_Products_Data1(),FertiliserProducts[[#Headers],[Include or Exclude]], 0,4)</f>
        <v/>
      </c>
      <c r="J111" s="182" t="str" cm="1">
        <f t="array" ref="J111">Common_InputFunctions.Utility_DisplayArrayInTable(Fertiliser_SourceData.Fertiliser_Products_Data1(),FertiliserProducts[[#Headers],[Include or Exclude]], 0,4)</f>
        <v/>
      </c>
      <c r="K111" s="182" t="str" cm="1">
        <f t="array" ref="K111">Common_InputFunctions.Utility_DisplayArrayInTable(Fertiliser_SourceData.Fertiliser_Products_Data1(),FertiliserProducts[[#Headers],[Include or Exclude]], 0,4)</f>
        <v/>
      </c>
      <c r="L111" s="182" t="str" cm="1">
        <f t="array" ref="L111">Common_InputFunctions.Utility_DisplayArrayInTable(Fertiliser_SourceData.Fertiliser_Products_Data1(),FertiliserProducts[[#Headers],[Include or Exclude]], 0,4)</f>
        <v/>
      </c>
      <c r="M111" s="182" t="str" cm="1">
        <f t="array" ref="M111">Common_InputFunctions.Utility_DisplayArrayInTable(Fertiliser_SourceData.Fertiliser_Products_Data1(),FertiliserProducts[[#Headers],[Include or Exclude]], 0,4)</f>
        <v/>
      </c>
      <c r="N111" s="182" t="str" cm="1">
        <f t="array" ref="N111">Common_InputFunctions.Utility_DisplayArrayInTable(Fertiliser_SourceData.Fertiliser_Products_Data1(),FertiliserProducts[[#Headers],[Include or Exclude]], 0,4)</f>
        <v/>
      </c>
      <c r="O111" s="182" t="str" cm="1">
        <f t="array" ref="O111">Common_InputFunctions.Utility_DisplayArrayInTable(Fertiliser_SourceData.Fertiliser_Products_Data1(),FertiliserProducts[[#Headers],[Include or Exclude]], 0,4)</f>
        <v/>
      </c>
      <c r="P111" s="182" t="str" cm="1">
        <f t="array" ref="P111">Common_InputFunctions.Utility_DisplayArrayInTable(Fertiliser_SourceData.Fertiliser_Products_Data1(),FertiliserProducts[[#Headers],[Include or Exclude]], 0,4)</f>
        <v/>
      </c>
      <c r="Q111" s="182" t="str" cm="1">
        <f t="array" ref="Q111">Common_InputFunctions.Utility_DisplayArrayInTable(Fertiliser_SourceData.Fertiliser_Products_Data1(),FertiliserProducts[[#Headers],[Include or Exclude]], 0,4)</f>
        <v/>
      </c>
      <c r="R111" s="182" t="str" cm="1">
        <f t="array" ref="R111">Common_InputFunctions.Utility_DisplayArrayInTable(Fertiliser_SourceData.Fertiliser_Products_Data1(),FertiliserProducts[[#Headers],[Include or Exclude]], 0,4)</f>
        <v/>
      </c>
      <c r="S111" s="182" t="str" cm="1">
        <f t="array" ref="S111">Common_InputFunctions.Utility_DisplayArrayInTable(Fertiliser_SourceData.Fertiliser_Products_Data1(),FertiliserProducts[[#Headers],[Include or Exclude]], 0,4)</f>
        <v/>
      </c>
      <c r="T111" s="182" t="str" cm="1">
        <f t="array" ref="T111">Common_InputFunctions.Utility_DisplayArrayInTable(Fertiliser_SourceData.Fertiliser_Products_Data1(),FertiliserProducts[[#Headers],[Include or Exclude]], 0,4)</f>
        <v/>
      </c>
      <c r="U111" s="182" t="str" cm="1">
        <f t="array" ref="U111">Common_InputFunctions.Utility_DisplayArrayInTable(Fertiliser_SourceData.Fertiliser_Products_Data1(),FertiliserProducts[[#Headers],[Include or Exclude]], 0,4)</f>
        <v/>
      </c>
      <c r="V111" s="182" t="str" cm="1">
        <f t="array" ref="V111">Common_InputFunctions.Utility_DisplayArrayInTable(Fertiliser_SourceData.Fertiliser_Products_Data1(),FertiliserProducts[[#Headers],[Include or Exclude]], 0,4)</f>
        <v/>
      </c>
      <c r="W111" s="182" t="str" cm="1">
        <f t="array" ref="W111">Common_InputFunctions.Utility_DisplayArrayInTable(Fertiliser_SourceData.Fertiliser_Products_Data1(),FertiliserProducts[[#Headers],[Include or Exclude]], 0,4)</f>
        <v/>
      </c>
      <c r="X111" s="182" t="str" cm="1">
        <f t="array" ref="X111">Common_InputFunctions.Utility_DisplayArrayInTable(Fertiliser_SourceData.Fertiliser_Products_Data1(),FertiliserProducts[[#Headers],[Include or Exclude]], 0,4)</f>
        <v/>
      </c>
      <c r="Y111" s="182" t="str" cm="1">
        <f t="array" ref="Y111">Common_InputFunctions.Utility_DisplayArrayInTable(Fertiliser_SourceData.Fertiliser_Products_Data1(),FertiliserProducts[[#Headers],[Include or Exclude]], 0,4)</f>
        <v/>
      </c>
      <c r="Z111" s="182" t="str" cm="1">
        <f t="array" ref="Z111">Common_InputFunctions.Utility_DisplayArrayInTable(Fertiliser_SourceData.Fertiliser_Products_Data1(),FertiliserProducts[[#Headers],[Include or Exclude]], 0,4)</f>
        <v/>
      </c>
      <c r="AA111" s="182" t="str" cm="1">
        <f t="array" ref="AA111">Common_InputFunctions.Utility_DisplayArrayInTable(Fertiliser_SourceData.Fertiliser_Products_Data1(),FertiliserProducts[[#Headers],[Include or Exclude]], 0,4)</f>
        <v/>
      </c>
      <c r="AB111" s="182" t="str" cm="1">
        <f t="array" ref="AB111">Common_InputFunctions.Utility_DisplayArrayInTable(Fertiliser_SourceData.Fertiliser_Products_Data1(),FertiliserProducts[[#Headers],[Include or Exclude]], 0,4)</f>
        <v/>
      </c>
      <c r="AC111" s="182" t="str" cm="1">
        <f t="array" ref="AC111">Common_InputFunctions.Utility_DisplayArrayInTable(Fertiliser_SourceData.Fertiliser_Products_Data1(),FertiliserProducts[[#Headers],[Include or Exclude]], 0,4)</f>
        <v/>
      </c>
      <c r="AD111" s="182" t="str" cm="1">
        <f t="array" ref="AD111">Common_InputFunctions.Utility_DisplayArrayInTable(Fertiliser_SourceData.Fertiliser_Products_Data1(),FertiliserProducts[[#Headers],[Include or Exclude]], 0,4)</f>
        <v/>
      </c>
      <c r="AE111" s="182" t="str" cm="1">
        <f t="array" ref="AE111">Common_InputFunctions.Utility_DisplayArrayInTable(Fertiliser_SourceData.Fertiliser_Products_Data1(),FertiliserProducts[[#Headers],[Include or Exclude]], 0,4)</f>
        <v/>
      </c>
    </row>
    <row r="112" spans="4:31" ht="20.100000000000001" customHeight="1" x14ac:dyDescent="0.25">
      <c r="D112" s="182" t="str" cm="1">
        <f t="array" ref="D112">Common_InputFunctions.Utility_DisplayArrayInTable(Fertiliser_SourceData.Fertiliser_Products_Data1(),FertiliserProducts[[#Headers],[Include or Exclude]], -1)</f>
        <v/>
      </c>
      <c r="E112" s="182" t="str" cm="1">
        <f t="array" ref="E112">Common_InputFunctions.Utility_DisplayArrayInTable(Fertiliser_SourceData.Fertiliser_Products_Data1(),FertiliserProducts[[#Headers],[Include or Exclude]], 0)</f>
        <v>Use Lime EF for calcium</v>
      </c>
      <c r="F112" s="182" t="str" cm="1">
        <f t="array" ref="F112">Common_InputFunctions.Utility_DisplayArrayInTable(Fertiliser_SourceData.Fertiliser_Products_Data1(),FertiliserProducts[[#Headers],[Include or Exclude]], 0)</f>
        <v>Campbells fertilisers Australia</v>
      </c>
      <c r="G112" s="182" t="str" cm="1">
        <f t="array" ref="G112">Common_InputFunctions.Utility_DisplayArrayInTable(Fertiliser_SourceData.Fertiliser_Products_Data1(),FertiliserProducts[[#Headers],[Include or Exclude]], 0)</f>
        <v>CalPhos</v>
      </c>
      <c r="H112" s="182" t="str" cm="1">
        <f t="array" ref="H112">Common_InputFunctions.Utility_DisplayArrayInTable(Fertiliser_SourceData.Fertiliser_Products_Data1(),FertiliserProducts[[#Headers],[Include or Exclude]], 0,4)</f>
        <v>L</v>
      </c>
      <c r="I112" s="182" cm="1">
        <f t="array" ref="I112">Common_InputFunctions.Utility_DisplayArrayInTable(Fertiliser_SourceData.Fertiliser_Products_Data1(),FertiliserProducts[[#Headers],[Include or Exclude]], 0,4)</f>
        <v>1.2849999999999999</v>
      </c>
      <c r="J112" s="182" t="str" cm="1">
        <f t="array" ref="J112">Common_InputFunctions.Utility_DisplayArrayInTable(Fertiliser_SourceData.Fertiliser_Products_Data1(),FertiliserProducts[[#Headers],[Include or Exclude]], 0,4)</f>
        <v/>
      </c>
      <c r="K112" s="182" t="str" cm="1">
        <f t="array" ref="K112">Common_InputFunctions.Utility_DisplayArrayInTable(Fertiliser_SourceData.Fertiliser_Products_Data1(),FertiliserProducts[[#Headers],[Include or Exclude]], 0,4)</f>
        <v/>
      </c>
      <c r="L112" s="182" t="str" cm="1">
        <f t="array" ref="L112">Common_InputFunctions.Utility_DisplayArrayInTable(Fertiliser_SourceData.Fertiliser_Products_Data1(),FertiliserProducts[[#Headers],[Include or Exclude]], 0,4)</f>
        <v>Phosphorus - Generic</v>
      </c>
      <c r="M112" s="182" cm="1">
        <f t="array" ref="M112">Common_InputFunctions.Utility_DisplayArrayInTable(Fertiliser_SourceData.Fertiliser_Products_Data1(),FertiliserProducts[[#Headers],[Include or Exclude]], 0,4)</f>
        <v>0.13500000000000001</v>
      </c>
      <c r="N112" s="182" t="str" cm="1">
        <f t="array" ref="N112">Common_InputFunctions.Utility_DisplayArrayInTable(Fertiliser_SourceData.Fertiliser_Products_Data1(),FertiliserProducts[[#Headers],[Include or Exclude]], 0,4)</f>
        <v>Calcium - Generic</v>
      </c>
      <c r="O112" s="182" cm="1">
        <f t="array" ref="O112">Common_InputFunctions.Utility_DisplayArrayInTable(Fertiliser_SourceData.Fertiliser_Products_Data1(),FertiliserProducts[[#Headers],[Include or Exclude]], 0,4)</f>
        <v>0.04</v>
      </c>
      <c r="P112" s="182" t="str" cm="1">
        <f t="array" ref="P112">Common_InputFunctions.Utility_DisplayArrayInTable(Fertiliser_SourceData.Fertiliser_Products_Data1(),FertiliserProducts[[#Headers],[Include or Exclude]], 0,4)</f>
        <v/>
      </c>
      <c r="Q112" s="182" t="str" cm="1">
        <f t="array" ref="Q112">Common_InputFunctions.Utility_DisplayArrayInTable(Fertiliser_SourceData.Fertiliser_Products_Data1(),FertiliserProducts[[#Headers],[Include or Exclude]], 0,4)</f>
        <v/>
      </c>
      <c r="R112" s="182" t="str" cm="1">
        <f t="array" ref="R112">Common_InputFunctions.Utility_DisplayArrayInTable(Fertiliser_SourceData.Fertiliser_Products_Data1(),FertiliserProducts[[#Headers],[Include or Exclude]], 0,4)</f>
        <v/>
      </c>
      <c r="S112" s="182" t="str" cm="1">
        <f t="array" ref="S112">Common_InputFunctions.Utility_DisplayArrayInTable(Fertiliser_SourceData.Fertiliser_Products_Data1(),FertiliserProducts[[#Headers],[Include or Exclude]], 0,4)</f>
        <v/>
      </c>
      <c r="T112" s="182" t="str" cm="1">
        <f t="array" ref="T112">Common_InputFunctions.Utility_DisplayArrayInTable(Fertiliser_SourceData.Fertiliser_Products_Data1(),FertiliserProducts[[#Headers],[Include or Exclude]], 0,4)</f>
        <v/>
      </c>
      <c r="U112" s="182" t="str" cm="1">
        <f t="array" ref="U112">Common_InputFunctions.Utility_DisplayArrayInTable(Fertiliser_SourceData.Fertiliser_Products_Data1(),FertiliserProducts[[#Headers],[Include or Exclude]], 0,4)</f>
        <v/>
      </c>
      <c r="V112" s="182" t="str" cm="1">
        <f t="array" ref="V112">Common_InputFunctions.Utility_DisplayArrayInTable(Fertiliser_SourceData.Fertiliser_Products_Data1(),FertiliserProducts[[#Headers],[Include or Exclude]], 0,4)</f>
        <v/>
      </c>
      <c r="W112" s="182" t="str" cm="1">
        <f t="array" ref="W112">Common_InputFunctions.Utility_DisplayArrayInTable(Fertiliser_SourceData.Fertiliser_Products_Data1(),FertiliserProducts[[#Headers],[Include or Exclude]], 0,4)</f>
        <v/>
      </c>
      <c r="X112" s="182" t="str" cm="1">
        <f t="array" ref="X112">Common_InputFunctions.Utility_DisplayArrayInTable(Fertiliser_SourceData.Fertiliser_Products_Data1(),FertiliserProducts[[#Headers],[Include or Exclude]], 0,4)</f>
        <v/>
      </c>
      <c r="Y112" s="182" t="str" cm="1">
        <f t="array" ref="Y112">Common_InputFunctions.Utility_DisplayArrayInTable(Fertiliser_SourceData.Fertiliser_Products_Data1(),FertiliserProducts[[#Headers],[Include or Exclude]], 0,4)</f>
        <v/>
      </c>
      <c r="Z112" s="182" t="str" cm="1">
        <f t="array" ref="Z112">Common_InputFunctions.Utility_DisplayArrayInTable(Fertiliser_SourceData.Fertiliser_Products_Data1(),FertiliserProducts[[#Headers],[Include or Exclude]], 0,4)</f>
        <v/>
      </c>
      <c r="AA112" s="182" t="str" cm="1">
        <f t="array" ref="AA112">Common_InputFunctions.Utility_DisplayArrayInTable(Fertiliser_SourceData.Fertiliser_Products_Data1(),FertiliserProducts[[#Headers],[Include or Exclude]], 0,4)</f>
        <v/>
      </c>
      <c r="AB112" s="182" t="str" cm="1">
        <f t="array" ref="AB112">Common_InputFunctions.Utility_DisplayArrayInTable(Fertiliser_SourceData.Fertiliser_Products_Data1(),FertiliserProducts[[#Headers],[Include or Exclude]], 0,4)</f>
        <v/>
      </c>
      <c r="AC112" s="182" t="str" cm="1">
        <f t="array" ref="AC112">Common_InputFunctions.Utility_DisplayArrayInTable(Fertiliser_SourceData.Fertiliser_Products_Data1(),FertiliserProducts[[#Headers],[Include or Exclude]], 0,4)</f>
        <v/>
      </c>
      <c r="AD112" s="182" t="str" cm="1">
        <f t="array" ref="AD112">Common_InputFunctions.Utility_DisplayArrayInTable(Fertiliser_SourceData.Fertiliser_Products_Data1(),FertiliserProducts[[#Headers],[Include or Exclude]], 0,4)</f>
        <v/>
      </c>
      <c r="AE112" s="182" t="str" cm="1">
        <f t="array" ref="AE112">Common_InputFunctions.Utility_DisplayArrayInTable(Fertiliser_SourceData.Fertiliser_Products_Data1(),FertiliserProducts[[#Headers],[Include or Exclude]], 0,4)</f>
        <v/>
      </c>
    </row>
    <row r="113" spans="4:31" ht="20.100000000000001" customHeight="1" x14ac:dyDescent="0.25">
      <c r="D113" s="182" t="str" cm="1">
        <f t="array" ref="D113">Common_InputFunctions.Utility_DisplayArrayInTable(Fertiliser_SourceData.Fertiliser_Products_Data1(),FertiliserProducts[[#Headers],[Include or Exclude]], -1)</f>
        <v/>
      </c>
      <c r="E113" s="182" t="str" cm="1">
        <f t="array" ref="E113">Common_InputFunctions.Utility_DisplayArrayInTable(Fertiliser_SourceData.Fertiliser_Products_Data1(),FertiliserProducts[[#Headers],[Include or Exclude]], 0)</f>
        <v/>
      </c>
      <c r="F113" s="182" t="str" cm="1">
        <f t="array" ref="F113">Common_InputFunctions.Utility_DisplayArrayInTable(Fertiliser_SourceData.Fertiliser_Products_Data1(),FertiliserProducts[[#Headers],[Include or Exclude]], 0)</f>
        <v/>
      </c>
      <c r="G113" s="182" t="str" cm="1">
        <f t="array" ref="G113">Common_InputFunctions.Utility_DisplayArrayInTable(Fertiliser_SourceData.Fertiliser_Products_Data1(),FertiliserProducts[[#Headers],[Include or Exclude]], 0)</f>
        <v/>
      </c>
      <c r="H113" s="182" t="str" cm="1">
        <f t="array" ref="H113">Common_InputFunctions.Utility_DisplayArrayInTable(Fertiliser_SourceData.Fertiliser_Products_Data1(),FertiliserProducts[[#Headers],[Include or Exclude]], 0,4)</f>
        <v/>
      </c>
      <c r="I113" s="182" t="str" cm="1">
        <f t="array" ref="I113">Common_InputFunctions.Utility_DisplayArrayInTable(Fertiliser_SourceData.Fertiliser_Products_Data1(),FertiliserProducts[[#Headers],[Include or Exclude]], 0,4)</f>
        <v/>
      </c>
      <c r="J113" s="182" t="str" cm="1">
        <f t="array" ref="J113">Common_InputFunctions.Utility_DisplayArrayInTable(Fertiliser_SourceData.Fertiliser_Products_Data1(),FertiliserProducts[[#Headers],[Include or Exclude]], 0,4)</f>
        <v/>
      </c>
      <c r="K113" s="182" t="str" cm="1">
        <f t="array" ref="K113">Common_InputFunctions.Utility_DisplayArrayInTable(Fertiliser_SourceData.Fertiliser_Products_Data1(),FertiliserProducts[[#Headers],[Include or Exclude]], 0,4)</f>
        <v/>
      </c>
      <c r="L113" s="182" t="str" cm="1">
        <f t="array" ref="L113">Common_InputFunctions.Utility_DisplayArrayInTable(Fertiliser_SourceData.Fertiliser_Products_Data1(),FertiliserProducts[[#Headers],[Include or Exclude]], 0,4)</f>
        <v/>
      </c>
      <c r="M113" s="182" t="str" cm="1">
        <f t="array" ref="M113">Common_InputFunctions.Utility_DisplayArrayInTable(Fertiliser_SourceData.Fertiliser_Products_Data1(),FertiliserProducts[[#Headers],[Include or Exclude]], 0,4)</f>
        <v/>
      </c>
      <c r="N113" s="182" t="str" cm="1">
        <f t="array" ref="N113">Common_InputFunctions.Utility_DisplayArrayInTable(Fertiliser_SourceData.Fertiliser_Products_Data1(),FertiliserProducts[[#Headers],[Include or Exclude]], 0,4)</f>
        <v/>
      </c>
      <c r="O113" s="182" t="str" cm="1">
        <f t="array" ref="O113">Common_InputFunctions.Utility_DisplayArrayInTable(Fertiliser_SourceData.Fertiliser_Products_Data1(),FertiliserProducts[[#Headers],[Include or Exclude]], 0,4)</f>
        <v/>
      </c>
      <c r="P113" s="182" t="str" cm="1">
        <f t="array" ref="P113">Common_InputFunctions.Utility_DisplayArrayInTable(Fertiliser_SourceData.Fertiliser_Products_Data1(),FertiliserProducts[[#Headers],[Include or Exclude]], 0,4)</f>
        <v/>
      </c>
      <c r="Q113" s="182" t="str" cm="1">
        <f t="array" ref="Q113">Common_InputFunctions.Utility_DisplayArrayInTable(Fertiliser_SourceData.Fertiliser_Products_Data1(),FertiliserProducts[[#Headers],[Include or Exclude]], 0,4)</f>
        <v/>
      </c>
      <c r="R113" s="182" t="str" cm="1">
        <f t="array" ref="R113">Common_InputFunctions.Utility_DisplayArrayInTable(Fertiliser_SourceData.Fertiliser_Products_Data1(),FertiliserProducts[[#Headers],[Include or Exclude]], 0,4)</f>
        <v/>
      </c>
      <c r="S113" s="182" t="str" cm="1">
        <f t="array" ref="S113">Common_InputFunctions.Utility_DisplayArrayInTable(Fertiliser_SourceData.Fertiliser_Products_Data1(),FertiliserProducts[[#Headers],[Include or Exclude]], 0,4)</f>
        <v/>
      </c>
      <c r="T113" s="182" t="str" cm="1">
        <f t="array" ref="T113">Common_InputFunctions.Utility_DisplayArrayInTable(Fertiliser_SourceData.Fertiliser_Products_Data1(),FertiliserProducts[[#Headers],[Include or Exclude]], 0,4)</f>
        <v/>
      </c>
      <c r="U113" s="182" t="str" cm="1">
        <f t="array" ref="U113">Common_InputFunctions.Utility_DisplayArrayInTable(Fertiliser_SourceData.Fertiliser_Products_Data1(),FertiliserProducts[[#Headers],[Include or Exclude]], 0,4)</f>
        <v/>
      </c>
      <c r="V113" s="182" t="str" cm="1">
        <f t="array" ref="V113">Common_InputFunctions.Utility_DisplayArrayInTable(Fertiliser_SourceData.Fertiliser_Products_Data1(),FertiliserProducts[[#Headers],[Include or Exclude]], 0,4)</f>
        <v/>
      </c>
      <c r="W113" s="182" t="str" cm="1">
        <f t="array" ref="W113">Common_InputFunctions.Utility_DisplayArrayInTable(Fertiliser_SourceData.Fertiliser_Products_Data1(),FertiliserProducts[[#Headers],[Include or Exclude]], 0,4)</f>
        <v/>
      </c>
      <c r="X113" s="182" t="str" cm="1">
        <f t="array" ref="X113">Common_InputFunctions.Utility_DisplayArrayInTable(Fertiliser_SourceData.Fertiliser_Products_Data1(),FertiliserProducts[[#Headers],[Include or Exclude]], 0,4)</f>
        <v/>
      </c>
      <c r="Y113" s="182" t="str" cm="1">
        <f t="array" ref="Y113">Common_InputFunctions.Utility_DisplayArrayInTable(Fertiliser_SourceData.Fertiliser_Products_Data1(),FertiliserProducts[[#Headers],[Include or Exclude]], 0,4)</f>
        <v/>
      </c>
      <c r="Z113" s="182" t="str" cm="1">
        <f t="array" ref="Z113">Common_InputFunctions.Utility_DisplayArrayInTable(Fertiliser_SourceData.Fertiliser_Products_Data1(),FertiliserProducts[[#Headers],[Include or Exclude]], 0,4)</f>
        <v/>
      </c>
      <c r="AA113" s="182" t="str" cm="1">
        <f t="array" ref="AA113">Common_InputFunctions.Utility_DisplayArrayInTable(Fertiliser_SourceData.Fertiliser_Products_Data1(),FertiliserProducts[[#Headers],[Include or Exclude]], 0,4)</f>
        <v/>
      </c>
      <c r="AB113" s="182" t="str" cm="1">
        <f t="array" ref="AB113">Common_InputFunctions.Utility_DisplayArrayInTable(Fertiliser_SourceData.Fertiliser_Products_Data1(),FertiliserProducts[[#Headers],[Include or Exclude]], 0,4)</f>
        <v/>
      </c>
      <c r="AC113" s="182" t="str" cm="1">
        <f t="array" ref="AC113">Common_InputFunctions.Utility_DisplayArrayInTable(Fertiliser_SourceData.Fertiliser_Products_Data1(),FertiliserProducts[[#Headers],[Include or Exclude]], 0,4)</f>
        <v/>
      </c>
      <c r="AD113" s="182" t="str" cm="1">
        <f t="array" ref="AD113">Common_InputFunctions.Utility_DisplayArrayInTable(Fertiliser_SourceData.Fertiliser_Products_Data1(),FertiliserProducts[[#Headers],[Include or Exclude]], 0,4)</f>
        <v/>
      </c>
      <c r="AE113" s="182" t="str" cm="1">
        <f t="array" ref="AE113">Common_InputFunctions.Utility_DisplayArrayInTable(Fertiliser_SourceData.Fertiliser_Products_Data1(),FertiliserProducts[[#Headers],[Include or Exclude]], 0,4)</f>
        <v/>
      </c>
    </row>
    <row r="114" spans="4:31" ht="20.100000000000001" customHeight="1" x14ac:dyDescent="0.25">
      <c r="D114" s="182" t="str" cm="1">
        <f t="array" ref="D114">Common_InputFunctions.Utility_DisplayArrayInTable(Fertiliser_SourceData.Fertiliser_Products_Data1(),FertiliserProducts[[#Headers],[Include or Exclude]], -1)</f>
        <v/>
      </c>
      <c r="E114" s="182" t="str" cm="1">
        <f t="array" ref="E114">Common_InputFunctions.Utility_DisplayArrayInTable(Fertiliser_SourceData.Fertiliser_Products_Data1(),FertiliserProducts[[#Headers],[Include or Exclude]], 0)</f>
        <v/>
      </c>
      <c r="F114" s="182" t="str" cm="1">
        <f t="array" ref="F114">Common_InputFunctions.Utility_DisplayArrayInTable(Fertiliser_SourceData.Fertiliser_Products_Data1(),FertiliserProducts[[#Headers],[Include or Exclude]], 0)</f>
        <v/>
      </c>
      <c r="G114" s="182" t="str" cm="1">
        <f t="array" ref="G114">Common_InputFunctions.Utility_DisplayArrayInTable(Fertiliser_SourceData.Fertiliser_Products_Data1(),FertiliserProducts[[#Headers],[Include or Exclude]], 0)</f>
        <v/>
      </c>
      <c r="H114" s="182" t="str" cm="1">
        <f t="array" ref="H114">Common_InputFunctions.Utility_DisplayArrayInTable(Fertiliser_SourceData.Fertiliser_Products_Data1(),FertiliserProducts[[#Headers],[Include or Exclude]], 0,4)</f>
        <v/>
      </c>
      <c r="I114" s="182" t="str" cm="1">
        <f t="array" ref="I114">Common_InputFunctions.Utility_DisplayArrayInTable(Fertiliser_SourceData.Fertiliser_Products_Data1(),FertiliserProducts[[#Headers],[Include or Exclude]], 0,4)</f>
        <v/>
      </c>
      <c r="J114" s="182" t="str" cm="1">
        <f t="array" ref="J114">Common_InputFunctions.Utility_DisplayArrayInTable(Fertiliser_SourceData.Fertiliser_Products_Data1(),FertiliserProducts[[#Headers],[Include or Exclude]], 0,4)</f>
        <v/>
      </c>
      <c r="K114" s="182" t="str" cm="1">
        <f t="array" ref="K114">Common_InputFunctions.Utility_DisplayArrayInTable(Fertiliser_SourceData.Fertiliser_Products_Data1(),FertiliserProducts[[#Headers],[Include or Exclude]], 0,4)</f>
        <v/>
      </c>
      <c r="L114" s="182" t="str" cm="1">
        <f t="array" ref="L114">Common_InputFunctions.Utility_DisplayArrayInTable(Fertiliser_SourceData.Fertiliser_Products_Data1(),FertiliserProducts[[#Headers],[Include or Exclude]], 0,4)</f>
        <v/>
      </c>
      <c r="M114" s="182" t="str" cm="1">
        <f t="array" ref="M114">Common_InputFunctions.Utility_DisplayArrayInTable(Fertiliser_SourceData.Fertiliser_Products_Data1(),FertiliserProducts[[#Headers],[Include or Exclude]], 0,4)</f>
        <v/>
      </c>
      <c r="N114" s="182" t="str" cm="1">
        <f t="array" ref="N114">Common_InputFunctions.Utility_DisplayArrayInTable(Fertiliser_SourceData.Fertiliser_Products_Data1(),FertiliserProducts[[#Headers],[Include or Exclude]], 0,4)</f>
        <v/>
      </c>
      <c r="O114" s="182" t="str" cm="1">
        <f t="array" ref="O114">Common_InputFunctions.Utility_DisplayArrayInTable(Fertiliser_SourceData.Fertiliser_Products_Data1(),FertiliserProducts[[#Headers],[Include or Exclude]], 0,4)</f>
        <v/>
      </c>
      <c r="P114" s="182" t="str" cm="1">
        <f t="array" ref="P114">Common_InputFunctions.Utility_DisplayArrayInTable(Fertiliser_SourceData.Fertiliser_Products_Data1(),FertiliserProducts[[#Headers],[Include or Exclude]], 0,4)</f>
        <v/>
      </c>
      <c r="Q114" s="182" t="str" cm="1">
        <f t="array" ref="Q114">Common_InputFunctions.Utility_DisplayArrayInTable(Fertiliser_SourceData.Fertiliser_Products_Data1(),FertiliserProducts[[#Headers],[Include or Exclude]], 0,4)</f>
        <v/>
      </c>
      <c r="R114" s="182" t="str" cm="1">
        <f t="array" ref="R114">Common_InputFunctions.Utility_DisplayArrayInTable(Fertiliser_SourceData.Fertiliser_Products_Data1(),FertiliserProducts[[#Headers],[Include or Exclude]], 0,4)</f>
        <v/>
      </c>
      <c r="S114" s="182" t="str" cm="1">
        <f t="array" ref="S114">Common_InputFunctions.Utility_DisplayArrayInTable(Fertiliser_SourceData.Fertiliser_Products_Data1(),FertiliserProducts[[#Headers],[Include or Exclude]], 0,4)</f>
        <v/>
      </c>
      <c r="T114" s="182" t="str" cm="1">
        <f t="array" ref="T114">Common_InputFunctions.Utility_DisplayArrayInTable(Fertiliser_SourceData.Fertiliser_Products_Data1(),FertiliserProducts[[#Headers],[Include or Exclude]], 0,4)</f>
        <v/>
      </c>
      <c r="U114" s="182" t="str" cm="1">
        <f t="array" ref="U114">Common_InputFunctions.Utility_DisplayArrayInTable(Fertiliser_SourceData.Fertiliser_Products_Data1(),FertiliserProducts[[#Headers],[Include or Exclude]], 0,4)</f>
        <v/>
      </c>
      <c r="V114" s="182" t="str" cm="1">
        <f t="array" ref="V114">Common_InputFunctions.Utility_DisplayArrayInTable(Fertiliser_SourceData.Fertiliser_Products_Data1(),FertiliserProducts[[#Headers],[Include or Exclude]], 0,4)</f>
        <v/>
      </c>
      <c r="W114" s="182" t="str" cm="1">
        <f t="array" ref="W114">Common_InputFunctions.Utility_DisplayArrayInTable(Fertiliser_SourceData.Fertiliser_Products_Data1(),FertiliserProducts[[#Headers],[Include or Exclude]], 0,4)</f>
        <v/>
      </c>
      <c r="X114" s="182" t="str" cm="1">
        <f t="array" ref="X114">Common_InputFunctions.Utility_DisplayArrayInTable(Fertiliser_SourceData.Fertiliser_Products_Data1(),FertiliserProducts[[#Headers],[Include or Exclude]], 0,4)</f>
        <v/>
      </c>
      <c r="Y114" s="182" t="str" cm="1">
        <f t="array" ref="Y114">Common_InputFunctions.Utility_DisplayArrayInTable(Fertiliser_SourceData.Fertiliser_Products_Data1(),FertiliserProducts[[#Headers],[Include or Exclude]], 0,4)</f>
        <v/>
      </c>
      <c r="Z114" s="182" t="str" cm="1">
        <f t="array" ref="Z114">Common_InputFunctions.Utility_DisplayArrayInTable(Fertiliser_SourceData.Fertiliser_Products_Data1(),FertiliserProducts[[#Headers],[Include or Exclude]], 0,4)</f>
        <v/>
      </c>
      <c r="AA114" s="182" t="str" cm="1">
        <f t="array" ref="AA114">Common_InputFunctions.Utility_DisplayArrayInTable(Fertiliser_SourceData.Fertiliser_Products_Data1(),FertiliserProducts[[#Headers],[Include or Exclude]], 0,4)</f>
        <v/>
      </c>
      <c r="AB114" s="182" t="str" cm="1">
        <f t="array" ref="AB114">Common_InputFunctions.Utility_DisplayArrayInTable(Fertiliser_SourceData.Fertiliser_Products_Data1(),FertiliserProducts[[#Headers],[Include or Exclude]], 0,4)</f>
        <v/>
      </c>
      <c r="AC114" s="182" t="str" cm="1">
        <f t="array" ref="AC114">Common_InputFunctions.Utility_DisplayArrayInTable(Fertiliser_SourceData.Fertiliser_Products_Data1(),FertiliserProducts[[#Headers],[Include or Exclude]], 0,4)</f>
        <v/>
      </c>
      <c r="AD114" s="182" t="str" cm="1">
        <f t="array" ref="AD114">Common_InputFunctions.Utility_DisplayArrayInTable(Fertiliser_SourceData.Fertiliser_Products_Data1(),FertiliserProducts[[#Headers],[Include or Exclude]], 0,4)</f>
        <v/>
      </c>
      <c r="AE114" s="182" t="str" cm="1">
        <f t="array" ref="AE114">Common_InputFunctions.Utility_DisplayArrayInTable(Fertiliser_SourceData.Fertiliser_Products_Data1(),FertiliserProducts[[#Headers],[Include or Exclude]], 0,4)</f>
        <v/>
      </c>
    </row>
    <row r="115" spans="4:31" ht="20.100000000000001" customHeight="1" x14ac:dyDescent="0.25">
      <c r="D115" s="182" t="str" cm="1">
        <f t="array" ref="D115">Common_InputFunctions.Utility_DisplayArrayInTable(Fertiliser_SourceData.Fertiliser_Products_Data1(),FertiliserProducts[[#Headers],[Include or Exclude]], -1)</f>
        <v/>
      </c>
      <c r="E115" s="182" t="str" cm="1">
        <f t="array" ref="E115">Common_InputFunctions.Utility_DisplayArrayInTable(Fertiliser_SourceData.Fertiliser_Products_Data1(),FertiliserProducts[[#Headers],[Include or Exclude]], 0)</f>
        <v/>
      </c>
      <c r="F115" s="182" t="str" cm="1">
        <f t="array" ref="F115">Common_InputFunctions.Utility_DisplayArrayInTable(Fertiliser_SourceData.Fertiliser_Products_Data1(),FertiliserProducts[[#Headers],[Include or Exclude]], 0)</f>
        <v/>
      </c>
      <c r="G115" s="182" t="str" cm="1">
        <f t="array" ref="G115">Common_InputFunctions.Utility_DisplayArrayInTable(Fertiliser_SourceData.Fertiliser_Products_Data1(),FertiliserProducts[[#Headers],[Include or Exclude]], 0)</f>
        <v/>
      </c>
      <c r="H115" s="182" t="str" cm="1">
        <f t="array" ref="H115">Common_InputFunctions.Utility_DisplayArrayInTable(Fertiliser_SourceData.Fertiliser_Products_Data1(),FertiliserProducts[[#Headers],[Include or Exclude]], 0,4)</f>
        <v/>
      </c>
      <c r="I115" s="182" t="str" cm="1">
        <f t="array" ref="I115">Common_InputFunctions.Utility_DisplayArrayInTable(Fertiliser_SourceData.Fertiliser_Products_Data1(),FertiliserProducts[[#Headers],[Include or Exclude]], 0,4)</f>
        <v/>
      </c>
      <c r="J115" s="182" t="str" cm="1">
        <f t="array" ref="J115">Common_InputFunctions.Utility_DisplayArrayInTable(Fertiliser_SourceData.Fertiliser_Products_Data1(),FertiliserProducts[[#Headers],[Include or Exclude]], 0,4)</f>
        <v/>
      </c>
      <c r="K115" s="182" t="str" cm="1">
        <f t="array" ref="K115">Common_InputFunctions.Utility_DisplayArrayInTable(Fertiliser_SourceData.Fertiliser_Products_Data1(),FertiliserProducts[[#Headers],[Include or Exclude]], 0,4)</f>
        <v/>
      </c>
      <c r="L115" s="182" t="str" cm="1">
        <f t="array" ref="L115">Common_InputFunctions.Utility_DisplayArrayInTable(Fertiliser_SourceData.Fertiliser_Products_Data1(),FertiliserProducts[[#Headers],[Include or Exclude]], 0,4)</f>
        <v/>
      </c>
      <c r="M115" s="182" t="str" cm="1">
        <f t="array" ref="M115">Common_InputFunctions.Utility_DisplayArrayInTable(Fertiliser_SourceData.Fertiliser_Products_Data1(),FertiliserProducts[[#Headers],[Include or Exclude]], 0,4)</f>
        <v/>
      </c>
      <c r="N115" s="182" t="str" cm="1">
        <f t="array" ref="N115">Common_InputFunctions.Utility_DisplayArrayInTable(Fertiliser_SourceData.Fertiliser_Products_Data1(),FertiliserProducts[[#Headers],[Include or Exclude]], 0,4)</f>
        <v/>
      </c>
      <c r="O115" s="182" t="str" cm="1">
        <f t="array" ref="O115">Common_InputFunctions.Utility_DisplayArrayInTable(Fertiliser_SourceData.Fertiliser_Products_Data1(),FertiliserProducts[[#Headers],[Include or Exclude]], 0,4)</f>
        <v/>
      </c>
      <c r="P115" s="182" t="str" cm="1">
        <f t="array" ref="P115">Common_InputFunctions.Utility_DisplayArrayInTable(Fertiliser_SourceData.Fertiliser_Products_Data1(),FertiliserProducts[[#Headers],[Include or Exclude]], 0,4)</f>
        <v/>
      </c>
      <c r="Q115" s="182" t="str" cm="1">
        <f t="array" ref="Q115">Common_InputFunctions.Utility_DisplayArrayInTable(Fertiliser_SourceData.Fertiliser_Products_Data1(),FertiliserProducts[[#Headers],[Include or Exclude]], 0,4)</f>
        <v/>
      </c>
      <c r="R115" s="182" t="str" cm="1">
        <f t="array" ref="R115">Common_InputFunctions.Utility_DisplayArrayInTable(Fertiliser_SourceData.Fertiliser_Products_Data1(),FertiliserProducts[[#Headers],[Include or Exclude]], 0,4)</f>
        <v/>
      </c>
      <c r="S115" s="182" t="str" cm="1">
        <f t="array" ref="S115">Common_InputFunctions.Utility_DisplayArrayInTable(Fertiliser_SourceData.Fertiliser_Products_Data1(),FertiliserProducts[[#Headers],[Include or Exclude]], 0,4)</f>
        <v/>
      </c>
      <c r="T115" s="182" t="str" cm="1">
        <f t="array" ref="T115">Common_InputFunctions.Utility_DisplayArrayInTable(Fertiliser_SourceData.Fertiliser_Products_Data1(),FertiliserProducts[[#Headers],[Include or Exclude]], 0,4)</f>
        <v/>
      </c>
      <c r="U115" s="182" t="str" cm="1">
        <f t="array" ref="U115">Common_InputFunctions.Utility_DisplayArrayInTable(Fertiliser_SourceData.Fertiliser_Products_Data1(),FertiliserProducts[[#Headers],[Include or Exclude]], 0,4)</f>
        <v/>
      </c>
      <c r="V115" s="182" t="str" cm="1">
        <f t="array" ref="V115">Common_InputFunctions.Utility_DisplayArrayInTable(Fertiliser_SourceData.Fertiliser_Products_Data1(),FertiliserProducts[[#Headers],[Include or Exclude]], 0,4)</f>
        <v/>
      </c>
      <c r="W115" s="182" t="str" cm="1">
        <f t="array" ref="W115">Common_InputFunctions.Utility_DisplayArrayInTable(Fertiliser_SourceData.Fertiliser_Products_Data1(),FertiliserProducts[[#Headers],[Include or Exclude]], 0,4)</f>
        <v/>
      </c>
      <c r="X115" s="182" t="str" cm="1">
        <f t="array" ref="X115">Common_InputFunctions.Utility_DisplayArrayInTable(Fertiliser_SourceData.Fertiliser_Products_Data1(),FertiliserProducts[[#Headers],[Include or Exclude]], 0,4)</f>
        <v/>
      </c>
      <c r="Y115" s="182" t="str" cm="1">
        <f t="array" ref="Y115">Common_InputFunctions.Utility_DisplayArrayInTable(Fertiliser_SourceData.Fertiliser_Products_Data1(),FertiliserProducts[[#Headers],[Include or Exclude]], 0,4)</f>
        <v/>
      </c>
      <c r="Z115" s="182" t="str" cm="1">
        <f t="array" ref="Z115">Common_InputFunctions.Utility_DisplayArrayInTable(Fertiliser_SourceData.Fertiliser_Products_Data1(),FertiliserProducts[[#Headers],[Include or Exclude]], 0,4)</f>
        <v/>
      </c>
      <c r="AA115" s="182" t="str" cm="1">
        <f t="array" ref="AA115">Common_InputFunctions.Utility_DisplayArrayInTable(Fertiliser_SourceData.Fertiliser_Products_Data1(),FertiliserProducts[[#Headers],[Include or Exclude]], 0,4)</f>
        <v/>
      </c>
      <c r="AB115" s="182" t="str" cm="1">
        <f t="array" ref="AB115">Common_InputFunctions.Utility_DisplayArrayInTable(Fertiliser_SourceData.Fertiliser_Products_Data1(),FertiliserProducts[[#Headers],[Include or Exclude]], 0,4)</f>
        <v/>
      </c>
      <c r="AC115" s="182" t="str" cm="1">
        <f t="array" ref="AC115">Common_InputFunctions.Utility_DisplayArrayInTable(Fertiliser_SourceData.Fertiliser_Products_Data1(),FertiliserProducts[[#Headers],[Include or Exclude]], 0,4)</f>
        <v/>
      </c>
      <c r="AD115" s="182" t="str" cm="1">
        <f t="array" ref="AD115">Common_InputFunctions.Utility_DisplayArrayInTable(Fertiliser_SourceData.Fertiliser_Products_Data1(),FertiliserProducts[[#Headers],[Include or Exclude]], 0,4)</f>
        <v/>
      </c>
      <c r="AE115" s="182" t="str" cm="1">
        <f t="array" ref="AE115">Common_InputFunctions.Utility_DisplayArrayInTable(Fertiliser_SourceData.Fertiliser_Products_Data1(),FertiliserProducts[[#Headers],[Include or Exclude]], 0,4)</f>
        <v/>
      </c>
    </row>
    <row r="116" spans="4:31" ht="20.100000000000001" customHeight="1" x14ac:dyDescent="0.25">
      <c r="D116" s="182" t="str" cm="1">
        <f t="array" ref="D116">Common_InputFunctions.Utility_DisplayArrayInTable(Fertiliser_SourceData.Fertiliser_Products_Data1(),FertiliserProducts[[#Headers],[Include or Exclude]], -1)</f>
        <v/>
      </c>
      <c r="E116" s="182" t="str" cm="1">
        <f t="array" ref="E116">Common_InputFunctions.Utility_DisplayArrayInTable(Fertiliser_SourceData.Fertiliser_Products_Data1(),FertiliserProducts[[#Headers],[Include or Exclude]], 0)</f>
        <v/>
      </c>
      <c r="F116" s="182" t="str" cm="1">
        <f t="array" ref="F116">Common_InputFunctions.Utility_DisplayArrayInTable(Fertiliser_SourceData.Fertiliser_Products_Data1(),FertiliserProducts[[#Headers],[Include or Exclude]], 0)</f>
        <v/>
      </c>
      <c r="G116" s="182" t="str" cm="1">
        <f t="array" ref="G116">Common_InputFunctions.Utility_DisplayArrayInTable(Fertiliser_SourceData.Fertiliser_Products_Data1(),FertiliserProducts[[#Headers],[Include or Exclude]], 0)</f>
        <v/>
      </c>
      <c r="H116" s="182" t="str" cm="1">
        <f t="array" ref="H116">Common_InputFunctions.Utility_DisplayArrayInTable(Fertiliser_SourceData.Fertiliser_Products_Data1(),FertiliserProducts[[#Headers],[Include or Exclude]], 0,4)</f>
        <v/>
      </c>
      <c r="I116" s="182" t="str" cm="1">
        <f t="array" ref="I116">Common_InputFunctions.Utility_DisplayArrayInTable(Fertiliser_SourceData.Fertiliser_Products_Data1(),FertiliserProducts[[#Headers],[Include or Exclude]], 0,4)</f>
        <v/>
      </c>
      <c r="J116" s="182" t="str" cm="1">
        <f t="array" ref="J116">Common_InputFunctions.Utility_DisplayArrayInTable(Fertiliser_SourceData.Fertiliser_Products_Data1(),FertiliserProducts[[#Headers],[Include or Exclude]], 0,4)</f>
        <v/>
      </c>
      <c r="K116" s="182" t="str" cm="1">
        <f t="array" ref="K116">Common_InputFunctions.Utility_DisplayArrayInTable(Fertiliser_SourceData.Fertiliser_Products_Data1(),FertiliserProducts[[#Headers],[Include or Exclude]], 0,4)</f>
        <v/>
      </c>
      <c r="L116" s="182" t="str" cm="1">
        <f t="array" ref="L116">Common_InputFunctions.Utility_DisplayArrayInTable(Fertiliser_SourceData.Fertiliser_Products_Data1(),FertiliserProducts[[#Headers],[Include or Exclude]], 0,4)</f>
        <v/>
      </c>
      <c r="M116" s="182" t="str" cm="1">
        <f t="array" ref="M116">Common_InputFunctions.Utility_DisplayArrayInTable(Fertiliser_SourceData.Fertiliser_Products_Data1(),FertiliserProducts[[#Headers],[Include or Exclude]], 0,4)</f>
        <v/>
      </c>
      <c r="N116" s="182" t="str" cm="1">
        <f t="array" ref="N116">Common_InputFunctions.Utility_DisplayArrayInTable(Fertiliser_SourceData.Fertiliser_Products_Data1(),FertiliserProducts[[#Headers],[Include or Exclude]], 0,4)</f>
        <v/>
      </c>
      <c r="O116" s="182" t="str" cm="1">
        <f t="array" ref="O116">Common_InputFunctions.Utility_DisplayArrayInTable(Fertiliser_SourceData.Fertiliser_Products_Data1(),FertiliserProducts[[#Headers],[Include or Exclude]], 0,4)</f>
        <v/>
      </c>
      <c r="P116" s="182" t="str" cm="1">
        <f t="array" ref="P116">Common_InputFunctions.Utility_DisplayArrayInTable(Fertiliser_SourceData.Fertiliser_Products_Data1(),FertiliserProducts[[#Headers],[Include or Exclude]], 0,4)</f>
        <v/>
      </c>
      <c r="Q116" s="182" t="str" cm="1">
        <f t="array" ref="Q116">Common_InputFunctions.Utility_DisplayArrayInTable(Fertiliser_SourceData.Fertiliser_Products_Data1(),FertiliserProducts[[#Headers],[Include or Exclude]], 0,4)</f>
        <v/>
      </c>
      <c r="R116" s="182" t="str" cm="1">
        <f t="array" ref="R116">Common_InputFunctions.Utility_DisplayArrayInTable(Fertiliser_SourceData.Fertiliser_Products_Data1(),FertiliserProducts[[#Headers],[Include or Exclude]], 0,4)</f>
        <v/>
      </c>
      <c r="S116" s="182" t="str" cm="1">
        <f t="array" ref="S116">Common_InputFunctions.Utility_DisplayArrayInTable(Fertiliser_SourceData.Fertiliser_Products_Data1(),FertiliserProducts[[#Headers],[Include or Exclude]], 0,4)</f>
        <v/>
      </c>
      <c r="T116" s="182" t="str" cm="1">
        <f t="array" ref="T116">Common_InputFunctions.Utility_DisplayArrayInTable(Fertiliser_SourceData.Fertiliser_Products_Data1(),FertiliserProducts[[#Headers],[Include or Exclude]], 0,4)</f>
        <v/>
      </c>
      <c r="U116" s="182" t="str" cm="1">
        <f t="array" ref="U116">Common_InputFunctions.Utility_DisplayArrayInTable(Fertiliser_SourceData.Fertiliser_Products_Data1(),FertiliserProducts[[#Headers],[Include or Exclude]], 0,4)</f>
        <v/>
      </c>
      <c r="V116" s="182" t="str" cm="1">
        <f t="array" ref="V116">Common_InputFunctions.Utility_DisplayArrayInTable(Fertiliser_SourceData.Fertiliser_Products_Data1(),FertiliserProducts[[#Headers],[Include or Exclude]], 0,4)</f>
        <v/>
      </c>
      <c r="W116" s="182" t="str" cm="1">
        <f t="array" ref="W116">Common_InputFunctions.Utility_DisplayArrayInTable(Fertiliser_SourceData.Fertiliser_Products_Data1(),FertiliserProducts[[#Headers],[Include or Exclude]], 0,4)</f>
        <v/>
      </c>
      <c r="X116" s="182" t="str" cm="1">
        <f t="array" ref="X116">Common_InputFunctions.Utility_DisplayArrayInTable(Fertiliser_SourceData.Fertiliser_Products_Data1(),FertiliserProducts[[#Headers],[Include or Exclude]], 0,4)</f>
        <v/>
      </c>
      <c r="Y116" s="182" t="str" cm="1">
        <f t="array" ref="Y116">Common_InputFunctions.Utility_DisplayArrayInTable(Fertiliser_SourceData.Fertiliser_Products_Data1(),FertiliserProducts[[#Headers],[Include or Exclude]], 0,4)</f>
        <v/>
      </c>
      <c r="Z116" s="182" t="str" cm="1">
        <f t="array" ref="Z116">Common_InputFunctions.Utility_DisplayArrayInTable(Fertiliser_SourceData.Fertiliser_Products_Data1(),FertiliserProducts[[#Headers],[Include or Exclude]], 0,4)</f>
        <v/>
      </c>
      <c r="AA116" s="182" t="str" cm="1">
        <f t="array" ref="AA116">Common_InputFunctions.Utility_DisplayArrayInTable(Fertiliser_SourceData.Fertiliser_Products_Data1(),FertiliserProducts[[#Headers],[Include or Exclude]], 0,4)</f>
        <v/>
      </c>
      <c r="AB116" s="182" t="str" cm="1">
        <f t="array" ref="AB116">Common_InputFunctions.Utility_DisplayArrayInTable(Fertiliser_SourceData.Fertiliser_Products_Data1(),FertiliserProducts[[#Headers],[Include or Exclude]], 0,4)</f>
        <v/>
      </c>
      <c r="AC116" s="182" t="str" cm="1">
        <f t="array" ref="AC116">Common_InputFunctions.Utility_DisplayArrayInTable(Fertiliser_SourceData.Fertiliser_Products_Data1(),FertiliserProducts[[#Headers],[Include or Exclude]], 0,4)</f>
        <v/>
      </c>
      <c r="AD116" s="182" t="str" cm="1">
        <f t="array" ref="AD116">Common_InputFunctions.Utility_DisplayArrayInTable(Fertiliser_SourceData.Fertiliser_Products_Data1(),FertiliserProducts[[#Headers],[Include or Exclude]], 0,4)</f>
        <v/>
      </c>
      <c r="AE116" s="182" t="str" cm="1">
        <f t="array" ref="AE116">Common_InputFunctions.Utility_DisplayArrayInTable(Fertiliser_SourceData.Fertiliser_Products_Data1(),FertiliserProducts[[#Headers],[Include or Exclude]], 0,4)</f>
        <v/>
      </c>
    </row>
    <row r="117" spans="4:31" ht="20.100000000000001" customHeight="1" x14ac:dyDescent="0.25">
      <c r="D117" s="182" t="str" cm="1">
        <f t="array" ref="D117">Common_InputFunctions.Utility_DisplayArrayInTable(Fertiliser_SourceData.Fertiliser_Products_Data1(),FertiliserProducts[[#Headers],[Include or Exclude]], -1)</f>
        <v/>
      </c>
      <c r="E117" s="182" t="str" cm="1">
        <f t="array" ref="E117">Common_InputFunctions.Utility_DisplayArrayInTable(Fertiliser_SourceData.Fertiliser_Products_Data1(),FertiliserProducts[[#Headers],[Include or Exclude]], 0)</f>
        <v/>
      </c>
      <c r="F117" s="182" t="str" cm="1">
        <f t="array" ref="F117">Common_InputFunctions.Utility_DisplayArrayInTable(Fertiliser_SourceData.Fertiliser_Products_Data1(),FertiliserProducts[[#Headers],[Include or Exclude]], 0)</f>
        <v/>
      </c>
      <c r="G117" s="182" t="str" cm="1">
        <f t="array" ref="G117">Common_InputFunctions.Utility_DisplayArrayInTable(Fertiliser_SourceData.Fertiliser_Products_Data1(),FertiliserProducts[[#Headers],[Include or Exclude]], 0)</f>
        <v/>
      </c>
      <c r="H117" s="182" t="str" cm="1">
        <f t="array" ref="H117">Common_InputFunctions.Utility_DisplayArrayInTable(Fertiliser_SourceData.Fertiliser_Products_Data1(),FertiliserProducts[[#Headers],[Include or Exclude]], 0,4)</f>
        <v/>
      </c>
      <c r="I117" s="182" t="str" cm="1">
        <f t="array" ref="I117">Common_InputFunctions.Utility_DisplayArrayInTable(Fertiliser_SourceData.Fertiliser_Products_Data1(),FertiliserProducts[[#Headers],[Include or Exclude]], 0,4)</f>
        <v/>
      </c>
      <c r="J117" s="182" t="str" cm="1">
        <f t="array" ref="J117">Common_InputFunctions.Utility_DisplayArrayInTable(Fertiliser_SourceData.Fertiliser_Products_Data1(),FertiliserProducts[[#Headers],[Include or Exclude]], 0,4)</f>
        <v/>
      </c>
      <c r="K117" s="182" t="str" cm="1">
        <f t="array" ref="K117">Common_InputFunctions.Utility_DisplayArrayInTable(Fertiliser_SourceData.Fertiliser_Products_Data1(),FertiliserProducts[[#Headers],[Include or Exclude]], 0,4)</f>
        <v/>
      </c>
      <c r="L117" s="182" t="str" cm="1">
        <f t="array" ref="L117">Common_InputFunctions.Utility_DisplayArrayInTable(Fertiliser_SourceData.Fertiliser_Products_Data1(),FertiliserProducts[[#Headers],[Include or Exclude]], 0,4)</f>
        <v/>
      </c>
      <c r="M117" s="182" t="str" cm="1">
        <f t="array" ref="M117">Common_InputFunctions.Utility_DisplayArrayInTable(Fertiliser_SourceData.Fertiliser_Products_Data1(),FertiliserProducts[[#Headers],[Include or Exclude]], 0,4)</f>
        <v/>
      </c>
      <c r="N117" s="182" t="str" cm="1">
        <f t="array" ref="N117">Common_InputFunctions.Utility_DisplayArrayInTable(Fertiliser_SourceData.Fertiliser_Products_Data1(),FertiliserProducts[[#Headers],[Include or Exclude]], 0,4)</f>
        <v/>
      </c>
      <c r="O117" s="182" t="str" cm="1">
        <f t="array" ref="O117">Common_InputFunctions.Utility_DisplayArrayInTable(Fertiliser_SourceData.Fertiliser_Products_Data1(),FertiliserProducts[[#Headers],[Include or Exclude]], 0,4)</f>
        <v/>
      </c>
      <c r="P117" s="182" t="str" cm="1">
        <f t="array" ref="P117">Common_InputFunctions.Utility_DisplayArrayInTable(Fertiliser_SourceData.Fertiliser_Products_Data1(),FertiliserProducts[[#Headers],[Include or Exclude]], 0,4)</f>
        <v/>
      </c>
      <c r="Q117" s="182" t="str" cm="1">
        <f t="array" ref="Q117">Common_InputFunctions.Utility_DisplayArrayInTable(Fertiliser_SourceData.Fertiliser_Products_Data1(),FertiliserProducts[[#Headers],[Include or Exclude]], 0,4)</f>
        <v/>
      </c>
      <c r="R117" s="182" t="str" cm="1">
        <f t="array" ref="R117">Common_InputFunctions.Utility_DisplayArrayInTable(Fertiliser_SourceData.Fertiliser_Products_Data1(),FertiliserProducts[[#Headers],[Include or Exclude]], 0,4)</f>
        <v/>
      </c>
      <c r="S117" s="182" t="str" cm="1">
        <f t="array" ref="S117">Common_InputFunctions.Utility_DisplayArrayInTable(Fertiliser_SourceData.Fertiliser_Products_Data1(),FertiliserProducts[[#Headers],[Include or Exclude]], 0,4)</f>
        <v/>
      </c>
      <c r="T117" s="182" t="str" cm="1">
        <f t="array" ref="T117">Common_InputFunctions.Utility_DisplayArrayInTable(Fertiliser_SourceData.Fertiliser_Products_Data1(),FertiliserProducts[[#Headers],[Include or Exclude]], 0,4)</f>
        <v/>
      </c>
      <c r="U117" s="182" t="str" cm="1">
        <f t="array" ref="U117">Common_InputFunctions.Utility_DisplayArrayInTable(Fertiliser_SourceData.Fertiliser_Products_Data1(),FertiliserProducts[[#Headers],[Include or Exclude]], 0,4)</f>
        <v/>
      </c>
      <c r="V117" s="182" t="str" cm="1">
        <f t="array" ref="V117">Common_InputFunctions.Utility_DisplayArrayInTable(Fertiliser_SourceData.Fertiliser_Products_Data1(),FertiliserProducts[[#Headers],[Include or Exclude]], 0,4)</f>
        <v/>
      </c>
      <c r="W117" s="182" t="str" cm="1">
        <f t="array" ref="W117">Common_InputFunctions.Utility_DisplayArrayInTable(Fertiliser_SourceData.Fertiliser_Products_Data1(),FertiliserProducts[[#Headers],[Include or Exclude]], 0,4)</f>
        <v/>
      </c>
      <c r="X117" s="182" t="str" cm="1">
        <f t="array" ref="X117">Common_InputFunctions.Utility_DisplayArrayInTable(Fertiliser_SourceData.Fertiliser_Products_Data1(),FertiliserProducts[[#Headers],[Include or Exclude]], 0,4)</f>
        <v/>
      </c>
      <c r="Y117" s="182" t="str" cm="1">
        <f t="array" ref="Y117">Common_InputFunctions.Utility_DisplayArrayInTable(Fertiliser_SourceData.Fertiliser_Products_Data1(),FertiliserProducts[[#Headers],[Include or Exclude]], 0,4)</f>
        <v/>
      </c>
      <c r="Z117" s="182" t="str" cm="1">
        <f t="array" ref="Z117">Common_InputFunctions.Utility_DisplayArrayInTable(Fertiliser_SourceData.Fertiliser_Products_Data1(),FertiliserProducts[[#Headers],[Include or Exclude]], 0,4)</f>
        <v/>
      </c>
      <c r="AA117" s="182" t="str" cm="1">
        <f t="array" ref="AA117">Common_InputFunctions.Utility_DisplayArrayInTable(Fertiliser_SourceData.Fertiliser_Products_Data1(),FertiliserProducts[[#Headers],[Include or Exclude]], 0,4)</f>
        <v/>
      </c>
      <c r="AB117" s="182" t="str" cm="1">
        <f t="array" ref="AB117">Common_InputFunctions.Utility_DisplayArrayInTable(Fertiliser_SourceData.Fertiliser_Products_Data1(),FertiliserProducts[[#Headers],[Include or Exclude]], 0,4)</f>
        <v/>
      </c>
      <c r="AC117" s="182" t="str" cm="1">
        <f t="array" ref="AC117">Common_InputFunctions.Utility_DisplayArrayInTable(Fertiliser_SourceData.Fertiliser_Products_Data1(),FertiliserProducts[[#Headers],[Include or Exclude]], 0,4)</f>
        <v/>
      </c>
      <c r="AD117" s="182" t="str" cm="1">
        <f t="array" ref="AD117">Common_InputFunctions.Utility_DisplayArrayInTable(Fertiliser_SourceData.Fertiliser_Products_Data1(),FertiliserProducts[[#Headers],[Include or Exclude]], 0,4)</f>
        <v/>
      </c>
      <c r="AE117" s="182" t="str" cm="1">
        <f t="array" ref="AE117">Common_InputFunctions.Utility_DisplayArrayInTable(Fertiliser_SourceData.Fertiliser_Products_Data1(),FertiliserProducts[[#Headers],[Include or Exclude]], 0,4)</f>
        <v/>
      </c>
    </row>
    <row r="118" spans="4:31" ht="20.100000000000001" customHeight="1" x14ac:dyDescent="0.25">
      <c r="D118" s="182" t="str" cm="1">
        <f t="array" ref="D118">Common_InputFunctions.Utility_DisplayArrayInTable(Fertiliser_SourceData.Fertiliser_Products_Data1(),FertiliserProducts[[#Headers],[Include or Exclude]], -1)</f>
        <v/>
      </c>
      <c r="E118" s="182" t="str" cm="1">
        <f t="array" ref="E118">Common_InputFunctions.Utility_DisplayArrayInTable(Fertiliser_SourceData.Fertiliser_Products_Data1(),FertiliserProducts[[#Headers],[Include or Exclude]], 0)</f>
        <v/>
      </c>
      <c r="F118" s="182" t="str" cm="1">
        <f t="array" ref="F118">Common_InputFunctions.Utility_DisplayArrayInTable(Fertiliser_SourceData.Fertiliser_Products_Data1(),FertiliserProducts[[#Headers],[Include or Exclude]], 0)</f>
        <v/>
      </c>
      <c r="G118" s="182" t="str" cm="1">
        <f t="array" ref="G118">Common_InputFunctions.Utility_DisplayArrayInTable(Fertiliser_SourceData.Fertiliser_Products_Data1(),FertiliserProducts[[#Headers],[Include or Exclude]], 0)</f>
        <v/>
      </c>
      <c r="H118" s="182" t="str" cm="1">
        <f t="array" ref="H118">Common_InputFunctions.Utility_DisplayArrayInTable(Fertiliser_SourceData.Fertiliser_Products_Data1(),FertiliserProducts[[#Headers],[Include or Exclude]], 0,4)</f>
        <v/>
      </c>
      <c r="I118" s="182" t="str" cm="1">
        <f t="array" ref="I118">Common_InputFunctions.Utility_DisplayArrayInTable(Fertiliser_SourceData.Fertiliser_Products_Data1(),FertiliserProducts[[#Headers],[Include or Exclude]], 0,4)</f>
        <v/>
      </c>
      <c r="J118" s="182" t="str" cm="1">
        <f t="array" ref="J118">Common_InputFunctions.Utility_DisplayArrayInTable(Fertiliser_SourceData.Fertiliser_Products_Data1(),FertiliserProducts[[#Headers],[Include or Exclude]], 0,4)</f>
        <v/>
      </c>
      <c r="K118" s="182" t="str" cm="1">
        <f t="array" ref="K118">Common_InputFunctions.Utility_DisplayArrayInTable(Fertiliser_SourceData.Fertiliser_Products_Data1(),FertiliserProducts[[#Headers],[Include or Exclude]], 0,4)</f>
        <v/>
      </c>
      <c r="L118" s="182" t="str" cm="1">
        <f t="array" ref="L118">Common_InputFunctions.Utility_DisplayArrayInTable(Fertiliser_SourceData.Fertiliser_Products_Data1(),FertiliserProducts[[#Headers],[Include or Exclude]], 0,4)</f>
        <v/>
      </c>
      <c r="M118" s="182" t="str" cm="1">
        <f t="array" ref="M118">Common_InputFunctions.Utility_DisplayArrayInTable(Fertiliser_SourceData.Fertiliser_Products_Data1(),FertiliserProducts[[#Headers],[Include or Exclude]], 0,4)</f>
        <v/>
      </c>
      <c r="N118" s="182" t="str" cm="1">
        <f t="array" ref="N118">Common_InputFunctions.Utility_DisplayArrayInTable(Fertiliser_SourceData.Fertiliser_Products_Data1(),FertiliserProducts[[#Headers],[Include or Exclude]], 0,4)</f>
        <v/>
      </c>
      <c r="O118" s="182" t="str" cm="1">
        <f t="array" ref="O118">Common_InputFunctions.Utility_DisplayArrayInTable(Fertiliser_SourceData.Fertiliser_Products_Data1(),FertiliserProducts[[#Headers],[Include or Exclude]], 0,4)</f>
        <v/>
      </c>
      <c r="P118" s="182" t="str" cm="1">
        <f t="array" ref="P118">Common_InputFunctions.Utility_DisplayArrayInTable(Fertiliser_SourceData.Fertiliser_Products_Data1(),FertiliserProducts[[#Headers],[Include or Exclude]], 0,4)</f>
        <v/>
      </c>
      <c r="Q118" s="182" t="str" cm="1">
        <f t="array" ref="Q118">Common_InputFunctions.Utility_DisplayArrayInTable(Fertiliser_SourceData.Fertiliser_Products_Data1(),FertiliserProducts[[#Headers],[Include or Exclude]], 0,4)</f>
        <v/>
      </c>
      <c r="R118" s="182" t="str" cm="1">
        <f t="array" ref="R118">Common_InputFunctions.Utility_DisplayArrayInTable(Fertiliser_SourceData.Fertiliser_Products_Data1(),FertiliserProducts[[#Headers],[Include or Exclude]], 0,4)</f>
        <v/>
      </c>
      <c r="S118" s="182" t="str" cm="1">
        <f t="array" ref="S118">Common_InputFunctions.Utility_DisplayArrayInTable(Fertiliser_SourceData.Fertiliser_Products_Data1(),FertiliserProducts[[#Headers],[Include or Exclude]], 0,4)</f>
        <v/>
      </c>
      <c r="T118" s="182" t="str" cm="1">
        <f t="array" ref="T118">Common_InputFunctions.Utility_DisplayArrayInTable(Fertiliser_SourceData.Fertiliser_Products_Data1(),FertiliserProducts[[#Headers],[Include or Exclude]], 0,4)</f>
        <v/>
      </c>
      <c r="U118" s="182" t="str" cm="1">
        <f t="array" ref="U118">Common_InputFunctions.Utility_DisplayArrayInTable(Fertiliser_SourceData.Fertiliser_Products_Data1(),FertiliserProducts[[#Headers],[Include or Exclude]], 0,4)</f>
        <v/>
      </c>
      <c r="V118" s="182" t="str" cm="1">
        <f t="array" ref="V118">Common_InputFunctions.Utility_DisplayArrayInTable(Fertiliser_SourceData.Fertiliser_Products_Data1(),FertiliserProducts[[#Headers],[Include or Exclude]], 0,4)</f>
        <v/>
      </c>
      <c r="W118" s="182" t="str" cm="1">
        <f t="array" ref="W118">Common_InputFunctions.Utility_DisplayArrayInTable(Fertiliser_SourceData.Fertiliser_Products_Data1(),FertiliserProducts[[#Headers],[Include or Exclude]], 0,4)</f>
        <v/>
      </c>
      <c r="X118" s="182" t="str" cm="1">
        <f t="array" ref="X118">Common_InputFunctions.Utility_DisplayArrayInTable(Fertiliser_SourceData.Fertiliser_Products_Data1(),FertiliserProducts[[#Headers],[Include or Exclude]], 0,4)</f>
        <v/>
      </c>
      <c r="Y118" s="182" t="str" cm="1">
        <f t="array" ref="Y118">Common_InputFunctions.Utility_DisplayArrayInTable(Fertiliser_SourceData.Fertiliser_Products_Data1(),FertiliserProducts[[#Headers],[Include or Exclude]], 0,4)</f>
        <v/>
      </c>
      <c r="Z118" s="182" t="str" cm="1">
        <f t="array" ref="Z118">Common_InputFunctions.Utility_DisplayArrayInTable(Fertiliser_SourceData.Fertiliser_Products_Data1(),FertiliserProducts[[#Headers],[Include or Exclude]], 0,4)</f>
        <v/>
      </c>
      <c r="AA118" s="182" t="str" cm="1">
        <f t="array" ref="AA118">Common_InputFunctions.Utility_DisplayArrayInTable(Fertiliser_SourceData.Fertiliser_Products_Data1(),FertiliserProducts[[#Headers],[Include or Exclude]], 0,4)</f>
        <v/>
      </c>
      <c r="AB118" s="182" t="str" cm="1">
        <f t="array" ref="AB118">Common_InputFunctions.Utility_DisplayArrayInTable(Fertiliser_SourceData.Fertiliser_Products_Data1(),FertiliserProducts[[#Headers],[Include or Exclude]], 0,4)</f>
        <v/>
      </c>
      <c r="AC118" s="182" t="str" cm="1">
        <f t="array" ref="AC118">Common_InputFunctions.Utility_DisplayArrayInTable(Fertiliser_SourceData.Fertiliser_Products_Data1(),FertiliserProducts[[#Headers],[Include or Exclude]], 0,4)</f>
        <v/>
      </c>
      <c r="AD118" s="182" t="str" cm="1">
        <f t="array" ref="AD118">Common_InputFunctions.Utility_DisplayArrayInTable(Fertiliser_SourceData.Fertiliser_Products_Data1(),FertiliserProducts[[#Headers],[Include or Exclude]], 0,4)</f>
        <v/>
      </c>
      <c r="AE118" s="182" t="str" cm="1">
        <f t="array" ref="AE118">Common_InputFunctions.Utility_DisplayArrayInTable(Fertiliser_SourceData.Fertiliser_Products_Data1(),FertiliserProducts[[#Headers],[Include or Exclude]], 0,4)</f>
        <v/>
      </c>
    </row>
    <row r="119" spans="4:31" ht="20.100000000000001" customHeight="1" x14ac:dyDescent="0.25">
      <c r="D119" s="182" t="str" cm="1">
        <f t="array" ref="D119">Common_InputFunctions.Utility_DisplayArrayInTable(Fertiliser_SourceData.Fertiliser_Products_Data1(),FertiliserProducts[[#Headers],[Include or Exclude]], -1)</f>
        <v/>
      </c>
      <c r="E119" s="182" t="str" cm="1">
        <f t="array" ref="E119">Common_InputFunctions.Utility_DisplayArrayInTable(Fertiliser_SourceData.Fertiliser_Products_Data1(),FertiliserProducts[[#Headers],[Include or Exclude]], 0)</f>
        <v/>
      </c>
      <c r="F119" s="182" t="str" cm="1">
        <f t="array" ref="F119">Common_InputFunctions.Utility_DisplayArrayInTable(Fertiliser_SourceData.Fertiliser_Products_Data1(),FertiliserProducts[[#Headers],[Include or Exclude]], 0)</f>
        <v/>
      </c>
      <c r="G119" s="182" t="str" cm="1">
        <f t="array" ref="G119">Common_InputFunctions.Utility_DisplayArrayInTable(Fertiliser_SourceData.Fertiliser_Products_Data1(),FertiliserProducts[[#Headers],[Include or Exclude]], 0)</f>
        <v/>
      </c>
      <c r="H119" s="182" t="str" cm="1">
        <f t="array" ref="H119">Common_InputFunctions.Utility_DisplayArrayInTable(Fertiliser_SourceData.Fertiliser_Products_Data1(),FertiliserProducts[[#Headers],[Include or Exclude]], 0,4)</f>
        <v/>
      </c>
      <c r="I119" s="182" t="str" cm="1">
        <f t="array" ref="I119">Common_InputFunctions.Utility_DisplayArrayInTable(Fertiliser_SourceData.Fertiliser_Products_Data1(),FertiliserProducts[[#Headers],[Include or Exclude]], 0,4)</f>
        <v/>
      </c>
      <c r="J119" s="182" t="str" cm="1">
        <f t="array" ref="J119">Common_InputFunctions.Utility_DisplayArrayInTable(Fertiliser_SourceData.Fertiliser_Products_Data1(),FertiliserProducts[[#Headers],[Include or Exclude]], 0,4)</f>
        <v/>
      </c>
      <c r="K119" s="182" t="str" cm="1">
        <f t="array" ref="K119">Common_InputFunctions.Utility_DisplayArrayInTable(Fertiliser_SourceData.Fertiliser_Products_Data1(),FertiliserProducts[[#Headers],[Include or Exclude]], 0,4)</f>
        <v/>
      </c>
      <c r="L119" s="182" t="str" cm="1">
        <f t="array" ref="L119">Common_InputFunctions.Utility_DisplayArrayInTable(Fertiliser_SourceData.Fertiliser_Products_Data1(),FertiliserProducts[[#Headers],[Include or Exclude]], 0,4)</f>
        <v/>
      </c>
      <c r="M119" s="182" t="str" cm="1">
        <f t="array" ref="M119">Common_InputFunctions.Utility_DisplayArrayInTable(Fertiliser_SourceData.Fertiliser_Products_Data1(),FertiliserProducts[[#Headers],[Include or Exclude]], 0,4)</f>
        <v/>
      </c>
      <c r="N119" s="182" t="str" cm="1">
        <f t="array" ref="N119">Common_InputFunctions.Utility_DisplayArrayInTable(Fertiliser_SourceData.Fertiliser_Products_Data1(),FertiliserProducts[[#Headers],[Include or Exclude]], 0,4)</f>
        <v/>
      </c>
      <c r="O119" s="182" t="str" cm="1">
        <f t="array" ref="O119">Common_InputFunctions.Utility_DisplayArrayInTable(Fertiliser_SourceData.Fertiliser_Products_Data1(),FertiliserProducts[[#Headers],[Include or Exclude]], 0,4)</f>
        <v/>
      </c>
      <c r="P119" s="182" t="str" cm="1">
        <f t="array" ref="P119">Common_InputFunctions.Utility_DisplayArrayInTable(Fertiliser_SourceData.Fertiliser_Products_Data1(),FertiliserProducts[[#Headers],[Include or Exclude]], 0,4)</f>
        <v/>
      </c>
      <c r="Q119" s="182" t="str" cm="1">
        <f t="array" ref="Q119">Common_InputFunctions.Utility_DisplayArrayInTable(Fertiliser_SourceData.Fertiliser_Products_Data1(),FertiliserProducts[[#Headers],[Include or Exclude]], 0,4)</f>
        <v/>
      </c>
      <c r="R119" s="182" t="str" cm="1">
        <f t="array" ref="R119">Common_InputFunctions.Utility_DisplayArrayInTable(Fertiliser_SourceData.Fertiliser_Products_Data1(),FertiliserProducts[[#Headers],[Include or Exclude]], 0,4)</f>
        <v/>
      </c>
      <c r="S119" s="182" t="str" cm="1">
        <f t="array" ref="S119">Common_InputFunctions.Utility_DisplayArrayInTable(Fertiliser_SourceData.Fertiliser_Products_Data1(),FertiliserProducts[[#Headers],[Include or Exclude]], 0,4)</f>
        <v/>
      </c>
      <c r="T119" s="182" t="str" cm="1">
        <f t="array" ref="T119">Common_InputFunctions.Utility_DisplayArrayInTable(Fertiliser_SourceData.Fertiliser_Products_Data1(),FertiliserProducts[[#Headers],[Include or Exclude]], 0,4)</f>
        <v/>
      </c>
      <c r="U119" s="182" t="str" cm="1">
        <f t="array" ref="U119">Common_InputFunctions.Utility_DisplayArrayInTable(Fertiliser_SourceData.Fertiliser_Products_Data1(),FertiliserProducts[[#Headers],[Include or Exclude]], 0,4)</f>
        <v/>
      </c>
      <c r="V119" s="182" t="str" cm="1">
        <f t="array" ref="V119">Common_InputFunctions.Utility_DisplayArrayInTable(Fertiliser_SourceData.Fertiliser_Products_Data1(),FertiliserProducts[[#Headers],[Include or Exclude]], 0,4)</f>
        <v/>
      </c>
      <c r="W119" s="182" t="str" cm="1">
        <f t="array" ref="W119">Common_InputFunctions.Utility_DisplayArrayInTable(Fertiliser_SourceData.Fertiliser_Products_Data1(),FertiliserProducts[[#Headers],[Include or Exclude]], 0,4)</f>
        <v/>
      </c>
      <c r="X119" s="182" t="str" cm="1">
        <f t="array" ref="X119">Common_InputFunctions.Utility_DisplayArrayInTable(Fertiliser_SourceData.Fertiliser_Products_Data1(),FertiliserProducts[[#Headers],[Include or Exclude]], 0,4)</f>
        <v/>
      </c>
      <c r="Y119" s="182" t="str" cm="1">
        <f t="array" ref="Y119">Common_InputFunctions.Utility_DisplayArrayInTable(Fertiliser_SourceData.Fertiliser_Products_Data1(),FertiliserProducts[[#Headers],[Include or Exclude]], 0,4)</f>
        <v/>
      </c>
      <c r="Z119" s="182" t="str" cm="1">
        <f t="array" ref="Z119">Common_InputFunctions.Utility_DisplayArrayInTable(Fertiliser_SourceData.Fertiliser_Products_Data1(),FertiliserProducts[[#Headers],[Include or Exclude]], 0,4)</f>
        <v/>
      </c>
      <c r="AA119" s="182" t="str" cm="1">
        <f t="array" ref="AA119">Common_InputFunctions.Utility_DisplayArrayInTable(Fertiliser_SourceData.Fertiliser_Products_Data1(),FertiliserProducts[[#Headers],[Include or Exclude]], 0,4)</f>
        <v/>
      </c>
      <c r="AB119" s="182" t="str" cm="1">
        <f t="array" ref="AB119">Common_InputFunctions.Utility_DisplayArrayInTable(Fertiliser_SourceData.Fertiliser_Products_Data1(),FertiliserProducts[[#Headers],[Include or Exclude]], 0,4)</f>
        <v/>
      </c>
      <c r="AC119" s="182" t="str" cm="1">
        <f t="array" ref="AC119">Common_InputFunctions.Utility_DisplayArrayInTable(Fertiliser_SourceData.Fertiliser_Products_Data1(),FertiliserProducts[[#Headers],[Include or Exclude]], 0,4)</f>
        <v/>
      </c>
      <c r="AD119" s="182" t="str" cm="1">
        <f t="array" ref="AD119">Common_InputFunctions.Utility_DisplayArrayInTable(Fertiliser_SourceData.Fertiliser_Products_Data1(),FertiliserProducts[[#Headers],[Include or Exclude]], 0,4)</f>
        <v/>
      </c>
      <c r="AE119" s="182" t="str" cm="1">
        <f t="array" ref="AE119">Common_InputFunctions.Utility_DisplayArrayInTable(Fertiliser_SourceData.Fertiliser_Products_Data1(),FertiliserProducts[[#Headers],[Include or Exclude]], 0,4)</f>
        <v/>
      </c>
    </row>
    <row r="120" spans="4:31" ht="20.100000000000001" customHeight="1" x14ac:dyDescent="0.25">
      <c r="D120" s="182" t="str" cm="1">
        <f t="array" ref="D120">Common_InputFunctions.Utility_DisplayArrayInTable(Fertiliser_SourceData.Fertiliser_Products_Data1(),FertiliserProducts[[#Headers],[Include or Exclude]], -1)</f>
        <v/>
      </c>
      <c r="E120" s="182" t="str" cm="1">
        <f t="array" ref="E120">Common_InputFunctions.Utility_DisplayArrayInTable(Fertiliser_SourceData.Fertiliser_Products_Data1(),FertiliserProducts[[#Headers],[Include or Exclude]], 0)</f>
        <v/>
      </c>
      <c r="F120" s="182" t="str" cm="1">
        <f t="array" ref="F120">Common_InputFunctions.Utility_DisplayArrayInTable(Fertiliser_SourceData.Fertiliser_Products_Data1(),FertiliserProducts[[#Headers],[Include or Exclude]], 0)</f>
        <v/>
      </c>
      <c r="G120" s="182" t="str" cm="1">
        <f t="array" ref="G120">Common_InputFunctions.Utility_DisplayArrayInTable(Fertiliser_SourceData.Fertiliser_Products_Data1(),FertiliserProducts[[#Headers],[Include or Exclude]], 0)</f>
        <v/>
      </c>
      <c r="H120" s="182" t="str" cm="1">
        <f t="array" ref="H120">Common_InputFunctions.Utility_DisplayArrayInTable(Fertiliser_SourceData.Fertiliser_Products_Data1(),FertiliserProducts[[#Headers],[Include or Exclude]], 0,4)</f>
        <v/>
      </c>
      <c r="I120" s="182" t="str" cm="1">
        <f t="array" ref="I120">Common_InputFunctions.Utility_DisplayArrayInTable(Fertiliser_SourceData.Fertiliser_Products_Data1(),FertiliserProducts[[#Headers],[Include or Exclude]], 0,4)</f>
        <v/>
      </c>
      <c r="J120" s="182" t="str" cm="1">
        <f t="array" ref="J120">Common_InputFunctions.Utility_DisplayArrayInTable(Fertiliser_SourceData.Fertiliser_Products_Data1(),FertiliserProducts[[#Headers],[Include or Exclude]], 0,4)</f>
        <v/>
      </c>
      <c r="K120" s="182" t="str" cm="1">
        <f t="array" ref="K120">Common_InputFunctions.Utility_DisplayArrayInTable(Fertiliser_SourceData.Fertiliser_Products_Data1(),FertiliserProducts[[#Headers],[Include or Exclude]], 0,4)</f>
        <v/>
      </c>
      <c r="L120" s="182" t="str" cm="1">
        <f t="array" ref="L120">Common_InputFunctions.Utility_DisplayArrayInTable(Fertiliser_SourceData.Fertiliser_Products_Data1(),FertiliserProducts[[#Headers],[Include or Exclude]], 0,4)</f>
        <v/>
      </c>
      <c r="M120" s="182" t="str" cm="1">
        <f t="array" ref="M120">Common_InputFunctions.Utility_DisplayArrayInTable(Fertiliser_SourceData.Fertiliser_Products_Data1(),FertiliserProducts[[#Headers],[Include or Exclude]], 0,4)</f>
        <v/>
      </c>
      <c r="N120" s="182" t="str" cm="1">
        <f t="array" ref="N120">Common_InputFunctions.Utility_DisplayArrayInTable(Fertiliser_SourceData.Fertiliser_Products_Data1(),FertiliserProducts[[#Headers],[Include or Exclude]], 0,4)</f>
        <v/>
      </c>
      <c r="O120" s="182" t="str" cm="1">
        <f t="array" ref="O120">Common_InputFunctions.Utility_DisplayArrayInTable(Fertiliser_SourceData.Fertiliser_Products_Data1(),FertiliserProducts[[#Headers],[Include or Exclude]], 0,4)</f>
        <v/>
      </c>
      <c r="P120" s="182" t="str" cm="1">
        <f t="array" ref="P120">Common_InputFunctions.Utility_DisplayArrayInTable(Fertiliser_SourceData.Fertiliser_Products_Data1(),FertiliserProducts[[#Headers],[Include or Exclude]], 0,4)</f>
        <v/>
      </c>
      <c r="Q120" s="182" t="str" cm="1">
        <f t="array" ref="Q120">Common_InputFunctions.Utility_DisplayArrayInTable(Fertiliser_SourceData.Fertiliser_Products_Data1(),FertiliserProducts[[#Headers],[Include or Exclude]], 0,4)</f>
        <v/>
      </c>
      <c r="R120" s="182" t="str" cm="1">
        <f t="array" ref="R120">Common_InputFunctions.Utility_DisplayArrayInTable(Fertiliser_SourceData.Fertiliser_Products_Data1(),FertiliserProducts[[#Headers],[Include or Exclude]], 0,4)</f>
        <v/>
      </c>
      <c r="S120" s="182" t="str" cm="1">
        <f t="array" ref="S120">Common_InputFunctions.Utility_DisplayArrayInTable(Fertiliser_SourceData.Fertiliser_Products_Data1(),FertiliserProducts[[#Headers],[Include or Exclude]], 0,4)</f>
        <v/>
      </c>
      <c r="T120" s="182" t="str" cm="1">
        <f t="array" ref="T120">Common_InputFunctions.Utility_DisplayArrayInTable(Fertiliser_SourceData.Fertiliser_Products_Data1(),FertiliserProducts[[#Headers],[Include or Exclude]], 0,4)</f>
        <v/>
      </c>
      <c r="U120" s="182" t="str" cm="1">
        <f t="array" ref="U120">Common_InputFunctions.Utility_DisplayArrayInTable(Fertiliser_SourceData.Fertiliser_Products_Data1(),FertiliserProducts[[#Headers],[Include or Exclude]], 0,4)</f>
        <v/>
      </c>
      <c r="V120" s="182" t="str" cm="1">
        <f t="array" ref="V120">Common_InputFunctions.Utility_DisplayArrayInTable(Fertiliser_SourceData.Fertiliser_Products_Data1(),FertiliserProducts[[#Headers],[Include or Exclude]], 0,4)</f>
        <v/>
      </c>
      <c r="W120" s="182" t="str" cm="1">
        <f t="array" ref="W120">Common_InputFunctions.Utility_DisplayArrayInTable(Fertiliser_SourceData.Fertiliser_Products_Data1(),FertiliserProducts[[#Headers],[Include or Exclude]], 0,4)</f>
        <v/>
      </c>
      <c r="X120" s="182" t="str" cm="1">
        <f t="array" ref="X120">Common_InputFunctions.Utility_DisplayArrayInTable(Fertiliser_SourceData.Fertiliser_Products_Data1(),FertiliserProducts[[#Headers],[Include or Exclude]], 0,4)</f>
        <v/>
      </c>
      <c r="Y120" s="182" t="str" cm="1">
        <f t="array" ref="Y120">Common_InputFunctions.Utility_DisplayArrayInTable(Fertiliser_SourceData.Fertiliser_Products_Data1(),FertiliserProducts[[#Headers],[Include or Exclude]], 0,4)</f>
        <v/>
      </c>
      <c r="Z120" s="182" t="str" cm="1">
        <f t="array" ref="Z120">Common_InputFunctions.Utility_DisplayArrayInTable(Fertiliser_SourceData.Fertiliser_Products_Data1(),FertiliserProducts[[#Headers],[Include or Exclude]], 0,4)</f>
        <v/>
      </c>
      <c r="AA120" s="182" t="str" cm="1">
        <f t="array" ref="AA120">Common_InputFunctions.Utility_DisplayArrayInTable(Fertiliser_SourceData.Fertiliser_Products_Data1(),FertiliserProducts[[#Headers],[Include or Exclude]], 0,4)</f>
        <v/>
      </c>
      <c r="AB120" s="182" t="str" cm="1">
        <f t="array" ref="AB120">Common_InputFunctions.Utility_DisplayArrayInTable(Fertiliser_SourceData.Fertiliser_Products_Data1(),FertiliserProducts[[#Headers],[Include or Exclude]], 0,4)</f>
        <v/>
      </c>
      <c r="AC120" s="182" t="str" cm="1">
        <f t="array" ref="AC120">Common_InputFunctions.Utility_DisplayArrayInTable(Fertiliser_SourceData.Fertiliser_Products_Data1(),FertiliserProducts[[#Headers],[Include or Exclude]], 0,4)</f>
        <v/>
      </c>
      <c r="AD120" s="182" t="str" cm="1">
        <f t="array" ref="AD120">Common_InputFunctions.Utility_DisplayArrayInTable(Fertiliser_SourceData.Fertiliser_Products_Data1(),FertiliserProducts[[#Headers],[Include or Exclude]], 0,4)</f>
        <v/>
      </c>
      <c r="AE120" s="182" t="str" cm="1">
        <f t="array" ref="AE120">Common_InputFunctions.Utility_DisplayArrayInTable(Fertiliser_SourceData.Fertiliser_Products_Data1(),FertiliserProducts[[#Headers],[Include or Exclude]], 0,4)</f>
        <v/>
      </c>
    </row>
    <row r="121" spans="4:31" ht="20.100000000000001" customHeight="1" x14ac:dyDescent="0.25">
      <c r="D121" s="182" t="str" cm="1">
        <f t="array" ref="D121">Common_InputFunctions.Utility_DisplayArrayInTable(Fertiliser_SourceData.Fertiliser_Products_Data1(),FertiliserProducts[[#Headers],[Include or Exclude]], -1)</f>
        <v/>
      </c>
      <c r="E121" s="182" t="str" cm="1">
        <f t="array" ref="E121">Common_InputFunctions.Utility_DisplayArrayInTable(Fertiliser_SourceData.Fertiliser_Products_Data1(),FertiliserProducts[[#Headers],[Include or Exclude]], 0)</f>
        <v/>
      </c>
      <c r="F121" s="182" t="str" cm="1">
        <f t="array" ref="F121">Common_InputFunctions.Utility_DisplayArrayInTable(Fertiliser_SourceData.Fertiliser_Products_Data1(),FertiliserProducts[[#Headers],[Include or Exclude]], 0)</f>
        <v/>
      </c>
      <c r="G121" s="182" t="str" cm="1">
        <f t="array" ref="G121">Common_InputFunctions.Utility_DisplayArrayInTable(Fertiliser_SourceData.Fertiliser_Products_Data1(),FertiliserProducts[[#Headers],[Include or Exclude]], 0)</f>
        <v/>
      </c>
      <c r="H121" s="182" t="str" cm="1">
        <f t="array" ref="H121">Common_InputFunctions.Utility_DisplayArrayInTable(Fertiliser_SourceData.Fertiliser_Products_Data1(),FertiliserProducts[[#Headers],[Include or Exclude]], 0,4)</f>
        <v/>
      </c>
      <c r="I121" s="182" t="str" cm="1">
        <f t="array" ref="I121">Common_InputFunctions.Utility_DisplayArrayInTable(Fertiliser_SourceData.Fertiliser_Products_Data1(),FertiliserProducts[[#Headers],[Include or Exclude]], 0,4)</f>
        <v/>
      </c>
      <c r="J121" s="182" t="str" cm="1">
        <f t="array" ref="J121">Common_InputFunctions.Utility_DisplayArrayInTable(Fertiliser_SourceData.Fertiliser_Products_Data1(),FertiliserProducts[[#Headers],[Include or Exclude]], 0,4)</f>
        <v/>
      </c>
      <c r="K121" s="182" t="str" cm="1">
        <f t="array" ref="K121">Common_InputFunctions.Utility_DisplayArrayInTable(Fertiliser_SourceData.Fertiliser_Products_Data1(),FertiliserProducts[[#Headers],[Include or Exclude]], 0,4)</f>
        <v/>
      </c>
      <c r="L121" s="182" t="str" cm="1">
        <f t="array" ref="L121">Common_InputFunctions.Utility_DisplayArrayInTable(Fertiliser_SourceData.Fertiliser_Products_Data1(),FertiliserProducts[[#Headers],[Include or Exclude]], 0,4)</f>
        <v/>
      </c>
      <c r="M121" s="182" t="str" cm="1">
        <f t="array" ref="M121">Common_InputFunctions.Utility_DisplayArrayInTable(Fertiliser_SourceData.Fertiliser_Products_Data1(),FertiliserProducts[[#Headers],[Include or Exclude]], 0,4)</f>
        <v/>
      </c>
      <c r="N121" s="182" t="str" cm="1">
        <f t="array" ref="N121">Common_InputFunctions.Utility_DisplayArrayInTable(Fertiliser_SourceData.Fertiliser_Products_Data1(),FertiliserProducts[[#Headers],[Include or Exclude]], 0,4)</f>
        <v/>
      </c>
      <c r="O121" s="182" t="str" cm="1">
        <f t="array" ref="O121">Common_InputFunctions.Utility_DisplayArrayInTable(Fertiliser_SourceData.Fertiliser_Products_Data1(),FertiliserProducts[[#Headers],[Include or Exclude]], 0,4)</f>
        <v/>
      </c>
      <c r="P121" s="182" t="str" cm="1">
        <f t="array" ref="P121">Common_InputFunctions.Utility_DisplayArrayInTable(Fertiliser_SourceData.Fertiliser_Products_Data1(),FertiliserProducts[[#Headers],[Include or Exclude]], 0,4)</f>
        <v/>
      </c>
      <c r="Q121" s="182" t="str" cm="1">
        <f t="array" ref="Q121">Common_InputFunctions.Utility_DisplayArrayInTable(Fertiliser_SourceData.Fertiliser_Products_Data1(),FertiliserProducts[[#Headers],[Include or Exclude]], 0,4)</f>
        <v/>
      </c>
      <c r="R121" s="182" t="str" cm="1">
        <f t="array" ref="R121">Common_InputFunctions.Utility_DisplayArrayInTable(Fertiliser_SourceData.Fertiliser_Products_Data1(),FertiliserProducts[[#Headers],[Include or Exclude]], 0,4)</f>
        <v/>
      </c>
      <c r="S121" s="182" t="str" cm="1">
        <f t="array" ref="S121">Common_InputFunctions.Utility_DisplayArrayInTable(Fertiliser_SourceData.Fertiliser_Products_Data1(),FertiliserProducts[[#Headers],[Include or Exclude]], 0,4)</f>
        <v/>
      </c>
      <c r="T121" s="182" t="str" cm="1">
        <f t="array" ref="T121">Common_InputFunctions.Utility_DisplayArrayInTable(Fertiliser_SourceData.Fertiliser_Products_Data1(),FertiliserProducts[[#Headers],[Include or Exclude]], 0,4)</f>
        <v/>
      </c>
      <c r="U121" s="182" t="str" cm="1">
        <f t="array" ref="U121">Common_InputFunctions.Utility_DisplayArrayInTable(Fertiliser_SourceData.Fertiliser_Products_Data1(),FertiliserProducts[[#Headers],[Include or Exclude]], 0,4)</f>
        <v/>
      </c>
      <c r="V121" s="182" t="str" cm="1">
        <f t="array" ref="V121">Common_InputFunctions.Utility_DisplayArrayInTable(Fertiliser_SourceData.Fertiliser_Products_Data1(),FertiliserProducts[[#Headers],[Include or Exclude]], 0,4)</f>
        <v/>
      </c>
      <c r="W121" s="182" t="str" cm="1">
        <f t="array" ref="W121">Common_InputFunctions.Utility_DisplayArrayInTable(Fertiliser_SourceData.Fertiliser_Products_Data1(),FertiliserProducts[[#Headers],[Include or Exclude]], 0,4)</f>
        <v/>
      </c>
      <c r="X121" s="182" t="str" cm="1">
        <f t="array" ref="X121">Common_InputFunctions.Utility_DisplayArrayInTable(Fertiliser_SourceData.Fertiliser_Products_Data1(),FertiliserProducts[[#Headers],[Include or Exclude]], 0,4)</f>
        <v/>
      </c>
      <c r="Y121" s="182" t="str" cm="1">
        <f t="array" ref="Y121">Common_InputFunctions.Utility_DisplayArrayInTable(Fertiliser_SourceData.Fertiliser_Products_Data1(),FertiliserProducts[[#Headers],[Include or Exclude]], 0,4)</f>
        <v/>
      </c>
      <c r="Z121" s="182" t="str" cm="1">
        <f t="array" ref="Z121">Common_InputFunctions.Utility_DisplayArrayInTable(Fertiliser_SourceData.Fertiliser_Products_Data1(),FertiliserProducts[[#Headers],[Include or Exclude]], 0,4)</f>
        <v/>
      </c>
      <c r="AA121" s="182" t="str" cm="1">
        <f t="array" ref="AA121">Common_InputFunctions.Utility_DisplayArrayInTable(Fertiliser_SourceData.Fertiliser_Products_Data1(),FertiliserProducts[[#Headers],[Include or Exclude]], 0,4)</f>
        <v/>
      </c>
      <c r="AB121" s="182" t="str" cm="1">
        <f t="array" ref="AB121">Common_InputFunctions.Utility_DisplayArrayInTable(Fertiliser_SourceData.Fertiliser_Products_Data1(),FertiliserProducts[[#Headers],[Include or Exclude]], 0,4)</f>
        <v/>
      </c>
      <c r="AC121" s="182" t="str" cm="1">
        <f t="array" ref="AC121">Common_InputFunctions.Utility_DisplayArrayInTable(Fertiliser_SourceData.Fertiliser_Products_Data1(),FertiliserProducts[[#Headers],[Include or Exclude]], 0,4)</f>
        <v/>
      </c>
      <c r="AD121" s="182" t="str" cm="1">
        <f t="array" ref="AD121">Common_InputFunctions.Utility_DisplayArrayInTable(Fertiliser_SourceData.Fertiliser_Products_Data1(),FertiliserProducts[[#Headers],[Include or Exclude]], 0,4)</f>
        <v/>
      </c>
      <c r="AE121" s="182" t="str" cm="1">
        <f t="array" ref="AE121">Common_InputFunctions.Utility_DisplayArrayInTable(Fertiliser_SourceData.Fertiliser_Products_Data1(),FertiliserProducts[[#Headers],[Include or Exclude]], 0,4)</f>
        <v/>
      </c>
    </row>
    <row r="122" spans="4:31" ht="20.100000000000001" customHeight="1" x14ac:dyDescent="0.25">
      <c r="D122" s="182" t="str" cm="1">
        <f t="array" ref="D122">Common_InputFunctions.Utility_DisplayArrayInTable(Fertiliser_SourceData.Fertiliser_Products_Data1(),FertiliserProducts[[#Headers],[Include or Exclude]], -1)</f>
        <v/>
      </c>
      <c r="E122" s="182" t="str" cm="1">
        <f t="array" ref="E122">Common_InputFunctions.Utility_DisplayArrayInTable(Fertiliser_SourceData.Fertiliser_Products_Data1(),FertiliserProducts[[#Headers],[Include or Exclude]], 0)</f>
        <v/>
      </c>
      <c r="F122" s="182" t="str" cm="1">
        <f t="array" ref="F122">Common_InputFunctions.Utility_DisplayArrayInTable(Fertiliser_SourceData.Fertiliser_Products_Data1(),FertiliserProducts[[#Headers],[Include or Exclude]], 0)</f>
        <v/>
      </c>
      <c r="G122" s="182" t="str" cm="1">
        <f t="array" ref="G122">Common_InputFunctions.Utility_DisplayArrayInTable(Fertiliser_SourceData.Fertiliser_Products_Data1(),FertiliserProducts[[#Headers],[Include or Exclude]], 0)</f>
        <v/>
      </c>
      <c r="H122" s="182" t="str" cm="1">
        <f t="array" ref="H122">Common_InputFunctions.Utility_DisplayArrayInTable(Fertiliser_SourceData.Fertiliser_Products_Data1(),FertiliserProducts[[#Headers],[Include or Exclude]], 0,4)</f>
        <v/>
      </c>
      <c r="I122" s="182" t="str" cm="1">
        <f t="array" ref="I122">Common_InputFunctions.Utility_DisplayArrayInTable(Fertiliser_SourceData.Fertiliser_Products_Data1(),FertiliserProducts[[#Headers],[Include or Exclude]], 0,4)</f>
        <v/>
      </c>
      <c r="J122" s="182" t="str" cm="1">
        <f t="array" ref="J122">Common_InputFunctions.Utility_DisplayArrayInTable(Fertiliser_SourceData.Fertiliser_Products_Data1(),FertiliserProducts[[#Headers],[Include or Exclude]], 0,4)</f>
        <v/>
      </c>
      <c r="K122" s="182" t="str" cm="1">
        <f t="array" ref="K122">Common_InputFunctions.Utility_DisplayArrayInTable(Fertiliser_SourceData.Fertiliser_Products_Data1(),FertiliserProducts[[#Headers],[Include or Exclude]], 0,4)</f>
        <v/>
      </c>
      <c r="L122" s="182" t="str" cm="1">
        <f t="array" ref="L122">Common_InputFunctions.Utility_DisplayArrayInTable(Fertiliser_SourceData.Fertiliser_Products_Data1(),FertiliserProducts[[#Headers],[Include or Exclude]], 0,4)</f>
        <v/>
      </c>
      <c r="M122" s="182" t="str" cm="1">
        <f t="array" ref="M122">Common_InputFunctions.Utility_DisplayArrayInTable(Fertiliser_SourceData.Fertiliser_Products_Data1(),FertiliserProducts[[#Headers],[Include or Exclude]], 0,4)</f>
        <v/>
      </c>
      <c r="N122" s="182" t="str" cm="1">
        <f t="array" ref="N122">Common_InputFunctions.Utility_DisplayArrayInTable(Fertiliser_SourceData.Fertiliser_Products_Data1(),FertiliserProducts[[#Headers],[Include or Exclude]], 0,4)</f>
        <v/>
      </c>
      <c r="O122" s="182" t="str" cm="1">
        <f t="array" ref="O122">Common_InputFunctions.Utility_DisplayArrayInTable(Fertiliser_SourceData.Fertiliser_Products_Data1(),FertiliserProducts[[#Headers],[Include or Exclude]], 0,4)</f>
        <v/>
      </c>
      <c r="P122" s="182" t="str" cm="1">
        <f t="array" ref="P122">Common_InputFunctions.Utility_DisplayArrayInTable(Fertiliser_SourceData.Fertiliser_Products_Data1(),FertiliserProducts[[#Headers],[Include or Exclude]], 0,4)</f>
        <v/>
      </c>
      <c r="Q122" s="182" t="str" cm="1">
        <f t="array" ref="Q122">Common_InputFunctions.Utility_DisplayArrayInTable(Fertiliser_SourceData.Fertiliser_Products_Data1(),FertiliserProducts[[#Headers],[Include or Exclude]], 0,4)</f>
        <v/>
      </c>
      <c r="R122" s="182" t="str" cm="1">
        <f t="array" ref="R122">Common_InputFunctions.Utility_DisplayArrayInTable(Fertiliser_SourceData.Fertiliser_Products_Data1(),FertiliserProducts[[#Headers],[Include or Exclude]], 0,4)</f>
        <v/>
      </c>
      <c r="S122" s="182" t="str" cm="1">
        <f t="array" ref="S122">Common_InputFunctions.Utility_DisplayArrayInTable(Fertiliser_SourceData.Fertiliser_Products_Data1(),FertiliserProducts[[#Headers],[Include or Exclude]], 0,4)</f>
        <v/>
      </c>
      <c r="T122" s="182" t="str" cm="1">
        <f t="array" ref="T122">Common_InputFunctions.Utility_DisplayArrayInTable(Fertiliser_SourceData.Fertiliser_Products_Data1(),FertiliserProducts[[#Headers],[Include or Exclude]], 0,4)</f>
        <v/>
      </c>
      <c r="U122" s="182" t="str" cm="1">
        <f t="array" ref="U122">Common_InputFunctions.Utility_DisplayArrayInTable(Fertiliser_SourceData.Fertiliser_Products_Data1(),FertiliserProducts[[#Headers],[Include or Exclude]], 0,4)</f>
        <v/>
      </c>
      <c r="V122" s="182" t="str" cm="1">
        <f t="array" ref="V122">Common_InputFunctions.Utility_DisplayArrayInTable(Fertiliser_SourceData.Fertiliser_Products_Data1(),FertiliserProducts[[#Headers],[Include or Exclude]], 0,4)</f>
        <v/>
      </c>
      <c r="W122" s="182" t="str" cm="1">
        <f t="array" ref="W122">Common_InputFunctions.Utility_DisplayArrayInTable(Fertiliser_SourceData.Fertiliser_Products_Data1(),FertiliserProducts[[#Headers],[Include or Exclude]], 0,4)</f>
        <v/>
      </c>
      <c r="X122" s="182" t="str" cm="1">
        <f t="array" ref="X122">Common_InputFunctions.Utility_DisplayArrayInTable(Fertiliser_SourceData.Fertiliser_Products_Data1(),FertiliserProducts[[#Headers],[Include or Exclude]], 0,4)</f>
        <v/>
      </c>
      <c r="Y122" s="182" t="str" cm="1">
        <f t="array" ref="Y122">Common_InputFunctions.Utility_DisplayArrayInTable(Fertiliser_SourceData.Fertiliser_Products_Data1(),FertiliserProducts[[#Headers],[Include or Exclude]], 0,4)</f>
        <v/>
      </c>
      <c r="Z122" s="182" t="str" cm="1">
        <f t="array" ref="Z122">Common_InputFunctions.Utility_DisplayArrayInTable(Fertiliser_SourceData.Fertiliser_Products_Data1(),FertiliserProducts[[#Headers],[Include or Exclude]], 0,4)</f>
        <v/>
      </c>
      <c r="AA122" s="182" t="str" cm="1">
        <f t="array" ref="AA122">Common_InputFunctions.Utility_DisplayArrayInTable(Fertiliser_SourceData.Fertiliser_Products_Data1(),FertiliserProducts[[#Headers],[Include or Exclude]], 0,4)</f>
        <v/>
      </c>
      <c r="AB122" s="182" t="str" cm="1">
        <f t="array" ref="AB122">Common_InputFunctions.Utility_DisplayArrayInTable(Fertiliser_SourceData.Fertiliser_Products_Data1(),FertiliserProducts[[#Headers],[Include or Exclude]], 0,4)</f>
        <v/>
      </c>
      <c r="AC122" s="182" t="str" cm="1">
        <f t="array" ref="AC122">Common_InputFunctions.Utility_DisplayArrayInTable(Fertiliser_SourceData.Fertiliser_Products_Data1(),FertiliserProducts[[#Headers],[Include or Exclude]], 0,4)</f>
        <v/>
      </c>
      <c r="AD122" s="182" t="str" cm="1">
        <f t="array" ref="AD122">Common_InputFunctions.Utility_DisplayArrayInTable(Fertiliser_SourceData.Fertiliser_Products_Data1(),FertiliserProducts[[#Headers],[Include or Exclude]], 0,4)</f>
        <v/>
      </c>
      <c r="AE122" s="182" t="str" cm="1">
        <f t="array" ref="AE122">Common_InputFunctions.Utility_DisplayArrayInTable(Fertiliser_SourceData.Fertiliser_Products_Data1(),FertiliserProducts[[#Headers],[Include or Exclude]], 0,4)</f>
        <v/>
      </c>
    </row>
    <row r="123" spans="4:31" ht="20.100000000000001" customHeight="1" x14ac:dyDescent="0.25">
      <c r="D123" s="182" t="str" cm="1">
        <f t="array" ref="D123">Common_InputFunctions.Utility_DisplayArrayInTable(Fertiliser_SourceData.Fertiliser_Products_Data1(),FertiliserProducts[[#Headers],[Include or Exclude]], -1)</f>
        <v/>
      </c>
      <c r="E123" s="182" t="str" cm="1">
        <f t="array" ref="E123">Common_InputFunctions.Utility_DisplayArrayInTable(Fertiliser_SourceData.Fertiliser_Products_Data1(),FertiliserProducts[[#Headers],[Include or Exclude]], 0)</f>
        <v/>
      </c>
      <c r="F123" s="182" t="str" cm="1">
        <f t="array" ref="F123">Common_InputFunctions.Utility_DisplayArrayInTable(Fertiliser_SourceData.Fertiliser_Products_Data1(),FertiliserProducts[[#Headers],[Include or Exclude]], 0)</f>
        <v/>
      </c>
      <c r="G123" s="182" t="str" cm="1">
        <f t="array" ref="G123">Common_InputFunctions.Utility_DisplayArrayInTable(Fertiliser_SourceData.Fertiliser_Products_Data1(),FertiliserProducts[[#Headers],[Include or Exclude]], 0)</f>
        <v/>
      </c>
      <c r="H123" s="182" t="str" cm="1">
        <f t="array" ref="H123">Common_InputFunctions.Utility_DisplayArrayInTable(Fertiliser_SourceData.Fertiliser_Products_Data1(),FertiliserProducts[[#Headers],[Include or Exclude]], 0,4)</f>
        <v/>
      </c>
      <c r="I123" s="182" t="str" cm="1">
        <f t="array" ref="I123">Common_InputFunctions.Utility_DisplayArrayInTable(Fertiliser_SourceData.Fertiliser_Products_Data1(),FertiliserProducts[[#Headers],[Include or Exclude]], 0,4)</f>
        <v/>
      </c>
      <c r="J123" s="182" t="str" cm="1">
        <f t="array" ref="J123">Common_InputFunctions.Utility_DisplayArrayInTable(Fertiliser_SourceData.Fertiliser_Products_Data1(),FertiliserProducts[[#Headers],[Include or Exclude]], 0,4)</f>
        <v/>
      </c>
      <c r="K123" s="182" t="str" cm="1">
        <f t="array" ref="K123">Common_InputFunctions.Utility_DisplayArrayInTable(Fertiliser_SourceData.Fertiliser_Products_Data1(),FertiliserProducts[[#Headers],[Include or Exclude]], 0,4)</f>
        <v/>
      </c>
      <c r="L123" s="182" t="str" cm="1">
        <f t="array" ref="L123">Common_InputFunctions.Utility_DisplayArrayInTable(Fertiliser_SourceData.Fertiliser_Products_Data1(),FertiliserProducts[[#Headers],[Include or Exclude]], 0,4)</f>
        <v/>
      </c>
      <c r="M123" s="182" t="str" cm="1">
        <f t="array" ref="M123">Common_InputFunctions.Utility_DisplayArrayInTable(Fertiliser_SourceData.Fertiliser_Products_Data1(),FertiliserProducts[[#Headers],[Include or Exclude]], 0,4)</f>
        <v/>
      </c>
      <c r="N123" s="182" t="str" cm="1">
        <f t="array" ref="N123">Common_InputFunctions.Utility_DisplayArrayInTable(Fertiliser_SourceData.Fertiliser_Products_Data1(),FertiliserProducts[[#Headers],[Include or Exclude]], 0,4)</f>
        <v/>
      </c>
      <c r="O123" s="182" t="str" cm="1">
        <f t="array" ref="O123">Common_InputFunctions.Utility_DisplayArrayInTable(Fertiliser_SourceData.Fertiliser_Products_Data1(),FertiliserProducts[[#Headers],[Include or Exclude]], 0,4)</f>
        <v/>
      </c>
      <c r="P123" s="182" t="str" cm="1">
        <f t="array" ref="P123">Common_InputFunctions.Utility_DisplayArrayInTable(Fertiliser_SourceData.Fertiliser_Products_Data1(),FertiliserProducts[[#Headers],[Include or Exclude]], 0,4)</f>
        <v/>
      </c>
      <c r="Q123" s="182" t="str" cm="1">
        <f t="array" ref="Q123">Common_InputFunctions.Utility_DisplayArrayInTable(Fertiliser_SourceData.Fertiliser_Products_Data1(),FertiliserProducts[[#Headers],[Include or Exclude]], 0,4)</f>
        <v/>
      </c>
      <c r="R123" s="182" t="str" cm="1">
        <f t="array" ref="R123">Common_InputFunctions.Utility_DisplayArrayInTable(Fertiliser_SourceData.Fertiliser_Products_Data1(),FertiliserProducts[[#Headers],[Include or Exclude]], 0,4)</f>
        <v/>
      </c>
      <c r="S123" s="182" t="str" cm="1">
        <f t="array" ref="S123">Common_InputFunctions.Utility_DisplayArrayInTable(Fertiliser_SourceData.Fertiliser_Products_Data1(),FertiliserProducts[[#Headers],[Include or Exclude]], 0,4)</f>
        <v/>
      </c>
      <c r="T123" s="182" t="str" cm="1">
        <f t="array" ref="T123">Common_InputFunctions.Utility_DisplayArrayInTable(Fertiliser_SourceData.Fertiliser_Products_Data1(),FertiliserProducts[[#Headers],[Include or Exclude]], 0,4)</f>
        <v/>
      </c>
      <c r="U123" s="182" t="str" cm="1">
        <f t="array" ref="U123">Common_InputFunctions.Utility_DisplayArrayInTable(Fertiliser_SourceData.Fertiliser_Products_Data1(),FertiliserProducts[[#Headers],[Include or Exclude]], 0,4)</f>
        <v/>
      </c>
      <c r="V123" s="182" t="str" cm="1">
        <f t="array" ref="V123">Common_InputFunctions.Utility_DisplayArrayInTable(Fertiliser_SourceData.Fertiliser_Products_Data1(),FertiliserProducts[[#Headers],[Include or Exclude]], 0,4)</f>
        <v/>
      </c>
      <c r="W123" s="182" t="str" cm="1">
        <f t="array" ref="W123">Common_InputFunctions.Utility_DisplayArrayInTable(Fertiliser_SourceData.Fertiliser_Products_Data1(),FertiliserProducts[[#Headers],[Include or Exclude]], 0,4)</f>
        <v/>
      </c>
      <c r="X123" s="182" t="str" cm="1">
        <f t="array" ref="X123">Common_InputFunctions.Utility_DisplayArrayInTable(Fertiliser_SourceData.Fertiliser_Products_Data1(),FertiliserProducts[[#Headers],[Include or Exclude]], 0,4)</f>
        <v/>
      </c>
      <c r="Y123" s="182" t="str" cm="1">
        <f t="array" ref="Y123">Common_InputFunctions.Utility_DisplayArrayInTable(Fertiliser_SourceData.Fertiliser_Products_Data1(),FertiliserProducts[[#Headers],[Include or Exclude]], 0,4)</f>
        <v/>
      </c>
      <c r="Z123" s="182" t="str" cm="1">
        <f t="array" ref="Z123">Common_InputFunctions.Utility_DisplayArrayInTable(Fertiliser_SourceData.Fertiliser_Products_Data1(),FertiliserProducts[[#Headers],[Include or Exclude]], 0,4)</f>
        <v/>
      </c>
      <c r="AA123" s="182" t="str" cm="1">
        <f t="array" ref="AA123">Common_InputFunctions.Utility_DisplayArrayInTable(Fertiliser_SourceData.Fertiliser_Products_Data1(),FertiliserProducts[[#Headers],[Include or Exclude]], 0,4)</f>
        <v/>
      </c>
      <c r="AB123" s="182" t="str" cm="1">
        <f t="array" ref="AB123">Common_InputFunctions.Utility_DisplayArrayInTable(Fertiliser_SourceData.Fertiliser_Products_Data1(),FertiliserProducts[[#Headers],[Include or Exclude]], 0,4)</f>
        <v/>
      </c>
      <c r="AC123" s="182" t="str" cm="1">
        <f t="array" ref="AC123">Common_InputFunctions.Utility_DisplayArrayInTable(Fertiliser_SourceData.Fertiliser_Products_Data1(),FertiliserProducts[[#Headers],[Include or Exclude]], 0,4)</f>
        <v/>
      </c>
      <c r="AD123" s="182" t="str" cm="1">
        <f t="array" ref="AD123">Common_InputFunctions.Utility_DisplayArrayInTable(Fertiliser_SourceData.Fertiliser_Products_Data1(),FertiliserProducts[[#Headers],[Include or Exclude]], 0,4)</f>
        <v/>
      </c>
      <c r="AE123" s="182" t="str" cm="1">
        <f t="array" ref="AE123">Common_InputFunctions.Utility_DisplayArrayInTable(Fertiliser_SourceData.Fertiliser_Products_Data1(),FertiliserProducts[[#Headers],[Include or Exclude]], 0,4)</f>
        <v/>
      </c>
    </row>
    <row r="124" spans="4:31" ht="20.100000000000001" customHeight="1" x14ac:dyDescent="0.25">
      <c r="D124" s="182" t="str" cm="1">
        <f t="array" ref="D124">Common_InputFunctions.Utility_DisplayArrayInTable(Fertiliser_SourceData.Fertiliser_Products_Data1(),FertiliserProducts[[#Headers],[Include or Exclude]], -1)</f>
        <v/>
      </c>
      <c r="E124" s="182" t="str" cm="1">
        <f t="array" ref="E124">Common_InputFunctions.Utility_DisplayArrayInTable(Fertiliser_SourceData.Fertiliser_Products_Data1(),FertiliserProducts[[#Headers],[Include or Exclude]], 0)</f>
        <v/>
      </c>
      <c r="F124" s="182" t="str" cm="1">
        <f t="array" ref="F124">Common_InputFunctions.Utility_DisplayArrayInTable(Fertiliser_SourceData.Fertiliser_Products_Data1(),FertiliserProducts[[#Headers],[Include or Exclude]], 0)</f>
        <v/>
      </c>
      <c r="G124" s="182" t="str" cm="1">
        <f t="array" ref="G124">Common_InputFunctions.Utility_DisplayArrayInTable(Fertiliser_SourceData.Fertiliser_Products_Data1(),FertiliserProducts[[#Headers],[Include or Exclude]], 0)</f>
        <v/>
      </c>
      <c r="H124" s="182" t="str" cm="1">
        <f t="array" ref="H124">Common_InputFunctions.Utility_DisplayArrayInTable(Fertiliser_SourceData.Fertiliser_Products_Data1(),FertiliserProducts[[#Headers],[Include or Exclude]], 0,4)</f>
        <v/>
      </c>
      <c r="I124" s="182" t="str" cm="1">
        <f t="array" ref="I124">Common_InputFunctions.Utility_DisplayArrayInTable(Fertiliser_SourceData.Fertiliser_Products_Data1(),FertiliserProducts[[#Headers],[Include or Exclude]], 0,4)</f>
        <v/>
      </c>
      <c r="J124" s="182" t="str" cm="1">
        <f t="array" ref="J124">Common_InputFunctions.Utility_DisplayArrayInTable(Fertiliser_SourceData.Fertiliser_Products_Data1(),FertiliserProducts[[#Headers],[Include or Exclude]], 0,4)</f>
        <v/>
      </c>
      <c r="K124" s="182" t="str" cm="1">
        <f t="array" ref="K124">Common_InputFunctions.Utility_DisplayArrayInTable(Fertiliser_SourceData.Fertiliser_Products_Data1(),FertiliserProducts[[#Headers],[Include or Exclude]], 0,4)</f>
        <v/>
      </c>
      <c r="L124" s="182" t="str" cm="1">
        <f t="array" ref="L124">Common_InputFunctions.Utility_DisplayArrayInTable(Fertiliser_SourceData.Fertiliser_Products_Data1(),FertiliserProducts[[#Headers],[Include or Exclude]], 0,4)</f>
        <v/>
      </c>
      <c r="M124" s="182" t="str" cm="1">
        <f t="array" ref="M124">Common_InputFunctions.Utility_DisplayArrayInTable(Fertiliser_SourceData.Fertiliser_Products_Data1(),FertiliserProducts[[#Headers],[Include or Exclude]], 0,4)</f>
        <v/>
      </c>
      <c r="N124" s="182" t="str" cm="1">
        <f t="array" ref="N124">Common_InputFunctions.Utility_DisplayArrayInTable(Fertiliser_SourceData.Fertiliser_Products_Data1(),FertiliserProducts[[#Headers],[Include or Exclude]], 0,4)</f>
        <v/>
      </c>
      <c r="O124" s="182" t="str" cm="1">
        <f t="array" ref="O124">Common_InputFunctions.Utility_DisplayArrayInTable(Fertiliser_SourceData.Fertiliser_Products_Data1(),FertiliserProducts[[#Headers],[Include or Exclude]], 0,4)</f>
        <v/>
      </c>
      <c r="P124" s="182" t="str" cm="1">
        <f t="array" ref="P124">Common_InputFunctions.Utility_DisplayArrayInTable(Fertiliser_SourceData.Fertiliser_Products_Data1(),FertiliserProducts[[#Headers],[Include or Exclude]], 0,4)</f>
        <v/>
      </c>
      <c r="Q124" s="182" t="str" cm="1">
        <f t="array" ref="Q124">Common_InputFunctions.Utility_DisplayArrayInTable(Fertiliser_SourceData.Fertiliser_Products_Data1(),FertiliserProducts[[#Headers],[Include or Exclude]], 0,4)</f>
        <v/>
      </c>
      <c r="R124" s="182" t="str" cm="1">
        <f t="array" ref="R124">Common_InputFunctions.Utility_DisplayArrayInTable(Fertiliser_SourceData.Fertiliser_Products_Data1(),FertiliserProducts[[#Headers],[Include or Exclude]], 0,4)</f>
        <v/>
      </c>
      <c r="S124" s="182" t="str" cm="1">
        <f t="array" ref="S124">Common_InputFunctions.Utility_DisplayArrayInTable(Fertiliser_SourceData.Fertiliser_Products_Data1(),FertiliserProducts[[#Headers],[Include or Exclude]], 0,4)</f>
        <v/>
      </c>
      <c r="T124" s="182" t="str" cm="1">
        <f t="array" ref="T124">Common_InputFunctions.Utility_DisplayArrayInTable(Fertiliser_SourceData.Fertiliser_Products_Data1(),FertiliserProducts[[#Headers],[Include or Exclude]], 0,4)</f>
        <v/>
      </c>
      <c r="U124" s="182" t="str" cm="1">
        <f t="array" ref="U124">Common_InputFunctions.Utility_DisplayArrayInTable(Fertiliser_SourceData.Fertiliser_Products_Data1(),FertiliserProducts[[#Headers],[Include or Exclude]], 0,4)</f>
        <v/>
      </c>
      <c r="V124" s="182" t="str" cm="1">
        <f t="array" ref="V124">Common_InputFunctions.Utility_DisplayArrayInTable(Fertiliser_SourceData.Fertiliser_Products_Data1(),FertiliserProducts[[#Headers],[Include or Exclude]], 0,4)</f>
        <v/>
      </c>
      <c r="W124" s="182" t="str" cm="1">
        <f t="array" ref="W124">Common_InputFunctions.Utility_DisplayArrayInTable(Fertiliser_SourceData.Fertiliser_Products_Data1(),FertiliserProducts[[#Headers],[Include or Exclude]], 0,4)</f>
        <v/>
      </c>
      <c r="X124" s="182" t="str" cm="1">
        <f t="array" ref="X124">Common_InputFunctions.Utility_DisplayArrayInTable(Fertiliser_SourceData.Fertiliser_Products_Data1(),FertiliserProducts[[#Headers],[Include or Exclude]], 0,4)</f>
        <v/>
      </c>
      <c r="Y124" s="182" t="str" cm="1">
        <f t="array" ref="Y124">Common_InputFunctions.Utility_DisplayArrayInTable(Fertiliser_SourceData.Fertiliser_Products_Data1(),FertiliserProducts[[#Headers],[Include or Exclude]], 0,4)</f>
        <v/>
      </c>
      <c r="Z124" s="182" t="str" cm="1">
        <f t="array" ref="Z124">Common_InputFunctions.Utility_DisplayArrayInTable(Fertiliser_SourceData.Fertiliser_Products_Data1(),FertiliserProducts[[#Headers],[Include or Exclude]], 0,4)</f>
        <v/>
      </c>
      <c r="AA124" s="182" t="str" cm="1">
        <f t="array" ref="AA124">Common_InputFunctions.Utility_DisplayArrayInTable(Fertiliser_SourceData.Fertiliser_Products_Data1(),FertiliserProducts[[#Headers],[Include or Exclude]], 0,4)</f>
        <v/>
      </c>
      <c r="AB124" s="182" t="str" cm="1">
        <f t="array" ref="AB124">Common_InputFunctions.Utility_DisplayArrayInTable(Fertiliser_SourceData.Fertiliser_Products_Data1(),FertiliserProducts[[#Headers],[Include or Exclude]], 0,4)</f>
        <v/>
      </c>
      <c r="AC124" s="182" t="str" cm="1">
        <f t="array" ref="AC124">Common_InputFunctions.Utility_DisplayArrayInTable(Fertiliser_SourceData.Fertiliser_Products_Data1(),FertiliserProducts[[#Headers],[Include or Exclude]], 0,4)</f>
        <v/>
      </c>
      <c r="AD124" s="182" t="str" cm="1">
        <f t="array" ref="AD124">Common_InputFunctions.Utility_DisplayArrayInTable(Fertiliser_SourceData.Fertiliser_Products_Data1(),FertiliserProducts[[#Headers],[Include or Exclude]], 0,4)</f>
        <v/>
      </c>
      <c r="AE124" s="182" t="str" cm="1">
        <f t="array" ref="AE124">Common_InputFunctions.Utility_DisplayArrayInTable(Fertiliser_SourceData.Fertiliser_Products_Data1(),FertiliserProducts[[#Headers],[Include or Exclude]], 0,4)</f>
        <v/>
      </c>
    </row>
    <row r="125" spans="4:31" ht="20.100000000000001" customHeight="1" x14ac:dyDescent="0.25">
      <c r="D125" s="182" t="str" cm="1">
        <f t="array" ref="D125">Common_InputFunctions.Utility_DisplayArrayInTable(Fertiliser_SourceData.Fertiliser_Products_Data1(),FertiliserProducts[[#Headers],[Include or Exclude]], -1)</f>
        <v/>
      </c>
      <c r="E125" s="182" t="str" cm="1">
        <f t="array" ref="E125">Common_InputFunctions.Utility_DisplayArrayInTable(Fertiliser_SourceData.Fertiliser_Products_Data1(),FertiliserProducts[[#Headers],[Include or Exclude]], 0)</f>
        <v/>
      </c>
      <c r="F125" s="182" t="str" cm="1">
        <f t="array" ref="F125">Common_InputFunctions.Utility_DisplayArrayInTable(Fertiliser_SourceData.Fertiliser_Products_Data1(),FertiliserProducts[[#Headers],[Include or Exclude]], 0)</f>
        <v/>
      </c>
      <c r="G125" s="182" t="str" cm="1">
        <f t="array" ref="G125">Common_InputFunctions.Utility_DisplayArrayInTable(Fertiliser_SourceData.Fertiliser_Products_Data1(),FertiliserProducts[[#Headers],[Include or Exclude]], 0)</f>
        <v/>
      </c>
      <c r="H125" s="182" t="str" cm="1">
        <f t="array" ref="H125">Common_InputFunctions.Utility_DisplayArrayInTable(Fertiliser_SourceData.Fertiliser_Products_Data1(),FertiliserProducts[[#Headers],[Include or Exclude]], 0,4)</f>
        <v/>
      </c>
      <c r="I125" s="182" t="str" cm="1">
        <f t="array" ref="I125">Common_InputFunctions.Utility_DisplayArrayInTable(Fertiliser_SourceData.Fertiliser_Products_Data1(),FertiliserProducts[[#Headers],[Include or Exclude]], 0,4)</f>
        <v/>
      </c>
      <c r="J125" s="182" t="str" cm="1">
        <f t="array" ref="J125">Common_InputFunctions.Utility_DisplayArrayInTable(Fertiliser_SourceData.Fertiliser_Products_Data1(),FertiliserProducts[[#Headers],[Include or Exclude]], 0,4)</f>
        <v/>
      </c>
      <c r="K125" s="182" t="str" cm="1">
        <f t="array" ref="K125">Common_InputFunctions.Utility_DisplayArrayInTable(Fertiliser_SourceData.Fertiliser_Products_Data1(),FertiliserProducts[[#Headers],[Include or Exclude]], 0,4)</f>
        <v/>
      </c>
      <c r="L125" s="182" t="str" cm="1">
        <f t="array" ref="L125">Common_InputFunctions.Utility_DisplayArrayInTable(Fertiliser_SourceData.Fertiliser_Products_Data1(),FertiliserProducts[[#Headers],[Include or Exclude]], 0,4)</f>
        <v/>
      </c>
      <c r="M125" s="182" t="str" cm="1">
        <f t="array" ref="M125">Common_InputFunctions.Utility_DisplayArrayInTable(Fertiliser_SourceData.Fertiliser_Products_Data1(),FertiliserProducts[[#Headers],[Include or Exclude]], 0,4)</f>
        <v/>
      </c>
      <c r="N125" s="182" t="str" cm="1">
        <f t="array" ref="N125">Common_InputFunctions.Utility_DisplayArrayInTable(Fertiliser_SourceData.Fertiliser_Products_Data1(),FertiliserProducts[[#Headers],[Include or Exclude]], 0,4)</f>
        <v/>
      </c>
      <c r="O125" s="182" t="str" cm="1">
        <f t="array" ref="O125">Common_InputFunctions.Utility_DisplayArrayInTable(Fertiliser_SourceData.Fertiliser_Products_Data1(),FertiliserProducts[[#Headers],[Include or Exclude]], 0,4)</f>
        <v/>
      </c>
      <c r="P125" s="182" t="str" cm="1">
        <f t="array" ref="P125">Common_InputFunctions.Utility_DisplayArrayInTable(Fertiliser_SourceData.Fertiliser_Products_Data1(),FertiliserProducts[[#Headers],[Include or Exclude]], 0,4)</f>
        <v/>
      </c>
      <c r="Q125" s="182" t="str" cm="1">
        <f t="array" ref="Q125">Common_InputFunctions.Utility_DisplayArrayInTable(Fertiliser_SourceData.Fertiliser_Products_Data1(),FertiliserProducts[[#Headers],[Include or Exclude]], 0,4)</f>
        <v/>
      </c>
      <c r="R125" s="182" t="str" cm="1">
        <f t="array" ref="R125">Common_InputFunctions.Utility_DisplayArrayInTable(Fertiliser_SourceData.Fertiliser_Products_Data1(),FertiliserProducts[[#Headers],[Include or Exclude]], 0,4)</f>
        <v/>
      </c>
      <c r="S125" s="182" t="str" cm="1">
        <f t="array" ref="S125">Common_InputFunctions.Utility_DisplayArrayInTable(Fertiliser_SourceData.Fertiliser_Products_Data1(),FertiliserProducts[[#Headers],[Include or Exclude]], 0,4)</f>
        <v/>
      </c>
      <c r="T125" s="182" t="str" cm="1">
        <f t="array" ref="T125">Common_InputFunctions.Utility_DisplayArrayInTable(Fertiliser_SourceData.Fertiliser_Products_Data1(),FertiliserProducts[[#Headers],[Include or Exclude]], 0,4)</f>
        <v/>
      </c>
      <c r="U125" s="182" t="str" cm="1">
        <f t="array" ref="U125">Common_InputFunctions.Utility_DisplayArrayInTable(Fertiliser_SourceData.Fertiliser_Products_Data1(),FertiliserProducts[[#Headers],[Include or Exclude]], 0,4)</f>
        <v/>
      </c>
      <c r="V125" s="182" t="str" cm="1">
        <f t="array" ref="V125">Common_InputFunctions.Utility_DisplayArrayInTable(Fertiliser_SourceData.Fertiliser_Products_Data1(),FertiliserProducts[[#Headers],[Include or Exclude]], 0,4)</f>
        <v/>
      </c>
      <c r="W125" s="182" t="str" cm="1">
        <f t="array" ref="W125">Common_InputFunctions.Utility_DisplayArrayInTable(Fertiliser_SourceData.Fertiliser_Products_Data1(),FertiliserProducts[[#Headers],[Include or Exclude]], 0,4)</f>
        <v/>
      </c>
      <c r="X125" s="182" t="str" cm="1">
        <f t="array" ref="X125">Common_InputFunctions.Utility_DisplayArrayInTable(Fertiliser_SourceData.Fertiliser_Products_Data1(),FertiliserProducts[[#Headers],[Include or Exclude]], 0,4)</f>
        <v/>
      </c>
      <c r="Y125" s="182" t="str" cm="1">
        <f t="array" ref="Y125">Common_InputFunctions.Utility_DisplayArrayInTable(Fertiliser_SourceData.Fertiliser_Products_Data1(),FertiliserProducts[[#Headers],[Include or Exclude]], 0,4)</f>
        <v/>
      </c>
      <c r="Z125" s="182" t="str" cm="1">
        <f t="array" ref="Z125">Common_InputFunctions.Utility_DisplayArrayInTable(Fertiliser_SourceData.Fertiliser_Products_Data1(),FertiliserProducts[[#Headers],[Include or Exclude]], 0,4)</f>
        <v/>
      </c>
      <c r="AA125" s="182" t="str" cm="1">
        <f t="array" ref="AA125">Common_InputFunctions.Utility_DisplayArrayInTable(Fertiliser_SourceData.Fertiliser_Products_Data1(),FertiliserProducts[[#Headers],[Include or Exclude]], 0,4)</f>
        <v/>
      </c>
      <c r="AB125" s="182" t="str" cm="1">
        <f t="array" ref="AB125">Common_InputFunctions.Utility_DisplayArrayInTable(Fertiliser_SourceData.Fertiliser_Products_Data1(),FertiliserProducts[[#Headers],[Include or Exclude]], 0,4)</f>
        <v/>
      </c>
      <c r="AC125" s="182" t="str" cm="1">
        <f t="array" ref="AC125">Common_InputFunctions.Utility_DisplayArrayInTable(Fertiliser_SourceData.Fertiliser_Products_Data1(),FertiliserProducts[[#Headers],[Include or Exclude]], 0,4)</f>
        <v/>
      </c>
      <c r="AD125" s="182" t="str" cm="1">
        <f t="array" ref="AD125">Common_InputFunctions.Utility_DisplayArrayInTable(Fertiliser_SourceData.Fertiliser_Products_Data1(),FertiliserProducts[[#Headers],[Include or Exclude]], 0,4)</f>
        <v/>
      </c>
      <c r="AE125" s="182" t="str" cm="1">
        <f t="array" ref="AE125">Common_InputFunctions.Utility_DisplayArrayInTable(Fertiliser_SourceData.Fertiliser_Products_Data1(),FertiliserProducts[[#Headers],[Include or Exclude]], 0,4)</f>
        <v/>
      </c>
    </row>
    <row r="126" spans="4:31" ht="20.100000000000001" customHeight="1" x14ac:dyDescent="0.25">
      <c r="D126" s="182" t="str" cm="1">
        <f t="array" ref="D126">Common_InputFunctions.Utility_DisplayArrayInTable(Fertiliser_SourceData.Fertiliser_Products_Data1(),FertiliserProducts[[#Headers],[Include or Exclude]], -1)</f>
        <v/>
      </c>
      <c r="E126" s="182" t="str" cm="1">
        <f t="array" ref="E126">Common_InputFunctions.Utility_DisplayArrayInTable(Fertiliser_SourceData.Fertiliser_Products_Data1(),FertiliserProducts[[#Headers],[Include or Exclude]], 0)</f>
        <v/>
      </c>
      <c r="F126" s="182" t="str" cm="1">
        <f t="array" ref="F126">Common_InputFunctions.Utility_DisplayArrayInTable(Fertiliser_SourceData.Fertiliser_Products_Data1(),FertiliserProducts[[#Headers],[Include or Exclude]], 0)</f>
        <v/>
      </c>
      <c r="G126" s="182" t="str" cm="1">
        <f t="array" ref="G126">Common_InputFunctions.Utility_DisplayArrayInTable(Fertiliser_SourceData.Fertiliser_Products_Data1(),FertiliserProducts[[#Headers],[Include or Exclude]], 0)</f>
        <v/>
      </c>
      <c r="H126" s="182" t="str" cm="1">
        <f t="array" ref="H126">Common_InputFunctions.Utility_DisplayArrayInTable(Fertiliser_SourceData.Fertiliser_Products_Data1(),FertiliserProducts[[#Headers],[Include or Exclude]], 0,4)</f>
        <v/>
      </c>
      <c r="I126" s="182" t="str" cm="1">
        <f t="array" ref="I126">Common_InputFunctions.Utility_DisplayArrayInTable(Fertiliser_SourceData.Fertiliser_Products_Data1(),FertiliserProducts[[#Headers],[Include or Exclude]], 0,4)</f>
        <v/>
      </c>
      <c r="J126" s="182" t="str" cm="1">
        <f t="array" ref="J126">Common_InputFunctions.Utility_DisplayArrayInTable(Fertiliser_SourceData.Fertiliser_Products_Data1(),FertiliserProducts[[#Headers],[Include or Exclude]], 0,4)</f>
        <v/>
      </c>
      <c r="K126" s="182" t="str" cm="1">
        <f t="array" ref="K126">Common_InputFunctions.Utility_DisplayArrayInTable(Fertiliser_SourceData.Fertiliser_Products_Data1(),FertiliserProducts[[#Headers],[Include or Exclude]], 0,4)</f>
        <v/>
      </c>
      <c r="L126" s="182" t="str" cm="1">
        <f t="array" ref="L126">Common_InputFunctions.Utility_DisplayArrayInTable(Fertiliser_SourceData.Fertiliser_Products_Data1(),FertiliserProducts[[#Headers],[Include or Exclude]], 0,4)</f>
        <v/>
      </c>
      <c r="M126" s="182" t="str" cm="1">
        <f t="array" ref="M126">Common_InputFunctions.Utility_DisplayArrayInTable(Fertiliser_SourceData.Fertiliser_Products_Data1(),FertiliserProducts[[#Headers],[Include or Exclude]], 0,4)</f>
        <v/>
      </c>
      <c r="N126" s="182" t="str" cm="1">
        <f t="array" ref="N126">Common_InputFunctions.Utility_DisplayArrayInTable(Fertiliser_SourceData.Fertiliser_Products_Data1(),FertiliserProducts[[#Headers],[Include or Exclude]], 0,4)</f>
        <v/>
      </c>
      <c r="O126" s="182" t="str" cm="1">
        <f t="array" ref="O126">Common_InputFunctions.Utility_DisplayArrayInTable(Fertiliser_SourceData.Fertiliser_Products_Data1(),FertiliserProducts[[#Headers],[Include or Exclude]], 0,4)</f>
        <v/>
      </c>
      <c r="P126" s="182" t="str" cm="1">
        <f t="array" ref="P126">Common_InputFunctions.Utility_DisplayArrayInTable(Fertiliser_SourceData.Fertiliser_Products_Data1(),FertiliserProducts[[#Headers],[Include or Exclude]], 0,4)</f>
        <v/>
      </c>
      <c r="Q126" s="182" t="str" cm="1">
        <f t="array" ref="Q126">Common_InputFunctions.Utility_DisplayArrayInTable(Fertiliser_SourceData.Fertiliser_Products_Data1(),FertiliserProducts[[#Headers],[Include or Exclude]], 0,4)</f>
        <v/>
      </c>
      <c r="R126" s="182" t="str" cm="1">
        <f t="array" ref="R126">Common_InputFunctions.Utility_DisplayArrayInTable(Fertiliser_SourceData.Fertiliser_Products_Data1(),FertiliserProducts[[#Headers],[Include or Exclude]], 0,4)</f>
        <v/>
      </c>
      <c r="S126" s="182" t="str" cm="1">
        <f t="array" ref="S126">Common_InputFunctions.Utility_DisplayArrayInTable(Fertiliser_SourceData.Fertiliser_Products_Data1(),FertiliserProducts[[#Headers],[Include or Exclude]], 0,4)</f>
        <v/>
      </c>
      <c r="T126" s="182" t="str" cm="1">
        <f t="array" ref="T126">Common_InputFunctions.Utility_DisplayArrayInTable(Fertiliser_SourceData.Fertiliser_Products_Data1(),FertiliserProducts[[#Headers],[Include or Exclude]], 0,4)</f>
        <v/>
      </c>
      <c r="U126" s="182" t="str" cm="1">
        <f t="array" ref="U126">Common_InputFunctions.Utility_DisplayArrayInTable(Fertiliser_SourceData.Fertiliser_Products_Data1(),FertiliserProducts[[#Headers],[Include or Exclude]], 0,4)</f>
        <v/>
      </c>
      <c r="V126" s="182" t="str" cm="1">
        <f t="array" ref="V126">Common_InputFunctions.Utility_DisplayArrayInTable(Fertiliser_SourceData.Fertiliser_Products_Data1(),FertiliserProducts[[#Headers],[Include or Exclude]], 0,4)</f>
        <v/>
      </c>
      <c r="W126" s="182" t="str" cm="1">
        <f t="array" ref="W126">Common_InputFunctions.Utility_DisplayArrayInTable(Fertiliser_SourceData.Fertiliser_Products_Data1(),FertiliserProducts[[#Headers],[Include or Exclude]], 0,4)</f>
        <v/>
      </c>
      <c r="X126" s="182" t="str" cm="1">
        <f t="array" ref="X126">Common_InputFunctions.Utility_DisplayArrayInTable(Fertiliser_SourceData.Fertiliser_Products_Data1(),FertiliserProducts[[#Headers],[Include or Exclude]], 0,4)</f>
        <v/>
      </c>
      <c r="Y126" s="182" t="str" cm="1">
        <f t="array" ref="Y126">Common_InputFunctions.Utility_DisplayArrayInTable(Fertiliser_SourceData.Fertiliser_Products_Data1(),FertiliserProducts[[#Headers],[Include or Exclude]], 0,4)</f>
        <v/>
      </c>
      <c r="Z126" s="182" t="str" cm="1">
        <f t="array" ref="Z126">Common_InputFunctions.Utility_DisplayArrayInTable(Fertiliser_SourceData.Fertiliser_Products_Data1(),FertiliserProducts[[#Headers],[Include or Exclude]], 0,4)</f>
        <v/>
      </c>
      <c r="AA126" s="182" t="str" cm="1">
        <f t="array" ref="AA126">Common_InputFunctions.Utility_DisplayArrayInTable(Fertiliser_SourceData.Fertiliser_Products_Data1(),FertiliserProducts[[#Headers],[Include or Exclude]], 0,4)</f>
        <v/>
      </c>
      <c r="AB126" s="182" t="str" cm="1">
        <f t="array" ref="AB126">Common_InputFunctions.Utility_DisplayArrayInTable(Fertiliser_SourceData.Fertiliser_Products_Data1(),FertiliserProducts[[#Headers],[Include or Exclude]], 0,4)</f>
        <v/>
      </c>
      <c r="AC126" s="182" t="str" cm="1">
        <f t="array" ref="AC126">Common_InputFunctions.Utility_DisplayArrayInTable(Fertiliser_SourceData.Fertiliser_Products_Data1(),FertiliserProducts[[#Headers],[Include or Exclude]], 0,4)</f>
        <v/>
      </c>
      <c r="AD126" s="182" t="str" cm="1">
        <f t="array" ref="AD126">Common_InputFunctions.Utility_DisplayArrayInTable(Fertiliser_SourceData.Fertiliser_Products_Data1(),FertiliserProducts[[#Headers],[Include or Exclude]], 0,4)</f>
        <v/>
      </c>
      <c r="AE126" s="182" t="str" cm="1">
        <f t="array" ref="AE126">Common_InputFunctions.Utility_DisplayArrayInTable(Fertiliser_SourceData.Fertiliser_Products_Data1(),FertiliserProducts[[#Headers],[Include or Exclude]], 0,4)</f>
        <v/>
      </c>
    </row>
    <row r="127" spans="4:31" ht="20.100000000000001" customHeight="1" x14ac:dyDescent="0.25">
      <c r="D127" s="182" t="str" cm="1">
        <f t="array" ref="D127">Common_InputFunctions.Utility_DisplayArrayInTable(Fertiliser_SourceData.Fertiliser_Products_Data1(),FertiliserProducts[[#Headers],[Include or Exclude]], -1)</f>
        <v/>
      </c>
      <c r="E127" s="182" t="str" cm="1">
        <f t="array" ref="E127">Common_InputFunctions.Utility_DisplayArrayInTable(Fertiliser_SourceData.Fertiliser_Products_Data1(),FertiliserProducts[[#Headers],[Include or Exclude]], 0)</f>
        <v/>
      </c>
      <c r="F127" s="182" t="str" cm="1">
        <f t="array" ref="F127">Common_InputFunctions.Utility_DisplayArrayInTable(Fertiliser_SourceData.Fertiliser_Products_Data1(),FertiliserProducts[[#Headers],[Include or Exclude]], 0)</f>
        <v/>
      </c>
      <c r="G127" s="182" t="str" cm="1">
        <f t="array" ref="G127">Common_InputFunctions.Utility_DisplayArrayInTable(Fertiliser_SourceData.Fertiliser_Products_Data1(),FertiliserProducts[[#Headers],[Include or Exclude]], 0)</f>
        <v/>
      </c>
      <c r="H127" s="182" t="str" cm="1">
        <f t="array" ref="H127">Common_InputFunctions.Utility_DisplayArrayInTable(Fertiliser_SourceData.Fertiliser_Products_Data1(),FertiliserProducts[[#Headers],[Include or Exclude]], 0,4)</f>
        <v/>
      </c>
      <c r="I127" s="182" t="str" cm="1">
        <f t="array" ref="I127">Common_InputFunctions.Utility_DisplayArrayInTable(Fertiliser_SourceData.Fertiliser_Products_Data1(),FertiliserProducts[[#Headers],[Include or Exclude]], 0,4)</f>
        <v/>
      </c>
      <c r="J127" s="182" t="str" cm="1">
        <f t="array" ref="J127">Common_InputFunctions.Utility_DisplayArrayInTable(Fertiliser_SourceData.Fertiliser_Products_Data1(),FertiliserProducts[[#Headers],[Include or Exclude]], 0,4)</f>
        <v/>
      </c>
      <c r="K127" s="182" t="str" cm="1">
        <f t="array" ref="K127">Common_InputFunctions.Utility_DisplayArrayInTable(Fertiliser_SourceData.Fertiliser_Products_Data1(),FertiliserProducts[[#Headers],[Include or Exclude]], 0,4)</f>
        <v/>
      </c>
      <c r="L127" s="182" t="str" cm="1">
        <f t="array" ref="L127">Common_InputFunctions.Utility_DisplayArrayInTable(Fertiliser_SourceData.Fertiliser_Products_Data1(),FertiliserProducts[[#Headers],[Include or Exclude]], 0,4)</f>
        <v/>
      </c>
      <c r="M127" s="182" t="str" cm="1">
        <f t="array" ref="M127">Common_InputFunctions.Utility_DisplayArrayInTable(Fertiliser_SourceData.Fertiliser_Products_Data1(),FertiliserProducts[[#Headers],[Include or Exclude]], 0,4)</f>
        <v/>
      </c>
      <c r="N127" s="182" t="str" cm="1">
        <f t="array" ref="N127">Common_InputFunctions.Utility_DisplayArrayInTable(Fertiliser_SourceData.Fertiliser_Products_Data1(),FertiliserProducts[[#Headers],[Include or Exclude]], 0,4)</f>
        <v/>
      </c>
      <c r="O127" s="182" t="str" cm="1">
        <f t="array" ref="O127">Common_InputFunctions.Utility_DisplayArrayInTable(Fertiliser_SourceData.Fertiliser_Products_Data1(),FertiliserProducts[[#Headers],[Include or Exclude]], 0,4)</f>
        <v/>
      </c>
      <c r="P127" s="182" t="str" cm="1">
        <f t="array" ref="P127">Common_InputFunctions.Utility_DisplayArrayInTable(Fertiliser_SourceData.Fertiliser_Products_Data1(),FertiliserProducts[[#Headers],[Include or Exclude]], 0,4)</f>
        <v/>
      </c>
      <c r="Q127" s="182" t="str" cm="1">
        <f t="array" ref="Q127">Common_InputFunctions.Utility_DisplayArrayInTable(Fertiliser_SourceData.Fertiliser_Products_Data1(),FertiliserProducts[[#Headers],[Include or Exclude]], 0,4)</f>
        <v/>
      </c>
      <c r="R127" s="182" t="str" cm="1">
        <f t="array" ref="R127">Common_InputFunctions.Utility_DisplayArrayInTable(Fertiliser_SourceData.Fertiliser_Products_Data1(),FertiliserProducts[[#Headers],[Include or Exclude]], 0,4)</f>
        <v/>
      </c>
      <c r="S127" s="182" t="str" cm="1">
        <f t="array" ref="S127">Common_InputFunctions.Utility_DisplayArrayInTable(Fertiliser_SourceData.Fertiliser_Products_Data1(),FertiliserProducts[[#Headers],[Include or Exclude]], 0,4)</f>
        <v/>
      </c>
      <c r="T127" s="182" t="str" cm="1">
        <f t="array" ref="T127">Common_InputFunctions.Utility_DisplayArrayInTable(Fertiliser_SourceData.Fertiliser_Products_Data1(),FertiliserProducts[[#Headers],[Include or Exclude]], 0,4)</f>
        <v/>
      </c>
      <c r="U127" s="182" t="str" cm="1">
        <f t="array" ref="U127">Common_InputFunctions.Utility_DisplayArrayInTable(Fertiliser_SourceData.Fertiliser_Products_Data1(),FertiliserProducts[[#Headers],[Include or Exclude]], 0,4)</f>
        <v/>
      </c>
      <c r="V127" s="182" t="str" cm="1">
        <f t="array" ref="V127">Common_InputFunctions.Utility_DisplayArrayInTable(Fertiliser_SourceData.Fertiliser_Products_Data1(),FertiliserProducts[[#Headers],[Include or Exclude]], 0,4)</f>
        <v/>
      </c>
      <c r="W127" s="182" t="str" cm="1">
        <f t="array" ref="W127">Common_InputFunctions.Utility_DisplayArrayInTable(Fertiliser_SourceData.Fertiliser_Products_Data1(),FertiliserProducts[[#Headers],[Include or Exclude]], 0,4)</f>
        <v/>
      </c>
      <c r="X127" s="182" t="str" cm="1">
        <f t="array" ref="X127">Common_InputFunctions.Utility_DisplayArrayInTable(Fertiliser_SourceData.Fertiliser_Products_Data1(),FertiliserProducts[[#Headers],[Include or Exclude]], 0,4)</f>
        <v/>
      </c>
      <c r="Y127" s="182" t="str" cm="1">
        <f t="array" ref="Y127">Common_InputFunctions.Utility_DisplayArrayInTable(Fertiliser_SourceData.Fertiliser_Products_Data1(),FertiliserProducts[[#Headers],[Include or Exclude]], 0,4)</f>
        <v/>
      </c>
      <c r="Z127" s="182" t="str" cm="1">
        <f t="array" ref="Z127">Common_InputFunctions.Utility_DisplayArrayInTable(Fertiliser_SourceData.Fertiliser_Products_Data1(),FertiliserProducts[[#Headers],[Include or Exclude]], 0,4)</f>
        <v/>
      </c>
      <c r="AA127" s="182" t="str" cm="1">
        <f t="array" ref="AA127">Common_InputFunctions.Utility_DisplayArrayInTable(Fertiliser_SourceData.Fertiliser_Products_Data1(),FertiliserProducts[[#Headers],[Include or Exclude]], 0,4)</f>
        <v/>
      </c>
      <c r="AB127" s="182" t="str" cm="1">
        <f t="array" ref="AB127">Common_InputFunctions.Utility_DisplayArrayInTable(Fertiliser_SourceData.Fertiliser_Products_Data1(),FertiliserProducts[[#Headers],[Include or Exclude]], 0,4)</f>
        <v/>
      </c>
      <c r="AC127" s="182" t="str" cm="1">
        <f t="array" ref="AC127">Common_InputFunctions.Utility_DisplayArrayInTable(Fertiliser_SourceData.Fertiliser_Products_Data1(),FertiliserProducts[[#Headers],[Include or Exclude]], 0,4)</f>
        <v/>
      </c>
      <c r="AD127" s="182" t="str" cm="1">
        <f t="array" ref="AD127">Common_InputFunctions.Utility_DisplayArrayInTable(Fertiliser_SourceData.Fertiliser_Products_Data1(),FertiliserProducts[[#Headers],[Include or Exclude]], 0,4)</f>
        <v/>
      </c>
      <c r="AE127" s="182" t="str" cm="1">
        <f t="array" ref="AE127">Common_InputFunctions.Utility_DisplayArrayInTable(Fertiliser_SourceData.Fertiliser_Products_Data1(),FertiliserProducts[[#Headers],[Include or Exclude]], 0,4)</f>
        <v/>
      </c>
    </row>
    <row r="128" spans="4:31" ht="20.100000000000001" customHeight="1" x14ac:dyDescent="0.25">
      <c r="D128" s="182" t="str" cm="1">
        <f t="array" ref="D128">Common_InputFunctions.Utility_DisplayArrayInTable(Fertiliser_SourceData.Fertiliser_Products_Data1(),FertiliserProducts[[#Headers],[Include or Exclude]], -1)</f>
        <v/>
      </c>
      <c r="E128" s="182" t="str" cm="1">
        <f t="array" ref="E128">Common_InputFunctions.Utility_DisplayArrayInTable(Fertiliser_SourceData.Fertiliser_Products_Data1(),FertiliserProducts[[#Headers],[Include or Exclude]], 0)</f>
        <v/>
      </c>
      <c r="F128" s="182" t="str" cm="1">
        <f t="array" ref="F128">Common_InputFunctions.Utility_DisplayArrayInTable(Fertiliser_SourceData.Fertiliser_Products_Data1(),FertiliserProducts[[#Headers],[Include or Exclude]], 0)</f>
        <v/>
      </c>
      <c r="G128" s="182" t="str" cm="1">
        <f t="array" ref="G128">Common_InputFunctions.Utility_DisplayArrayInTable(Fertiliser_SourceData.Fertiliser_Products_Data1(),FertiliserProducts[[#Headers],[Include or Exclude]], 0)</f>
        <v/>
      </c>
      <c r="H128" s="182" t="str" cm="1">
        <f t="array" ref="H128">Common_InputFunctions.Utility_DisplayArrayInTable(Fertiliser_SourceData.Fertiliser_Products_Data1(),FertiliserProducts[[#Headers],[Include or Exclude]], 0,4)</f>
        <v/>
      </c>
      <c r="I128" s="182" t="str" cm="1">
        <f t="array" ref="I128">Common_InputFunctions.Utility_DisplayArrayInTable(Fertiliser_SourceData.Fertiliser_Products_Data1(),FertiliserProducts[[#Headers],[Include or Exclude]], 0,4)</f>
        <v/>
      </c>
      <c r="J128" s="182" t="str" cm="1">
        <f t="array" ref="J128">Common_InputFunctions.Utility_DisplayArrayInTable(Fertiliser_SourceData.Fertiliser_Products_Data1(),FertiliserProducts[[#Headers],[Include or Exclude]], 0,4)</f>
        <v/>
      </c>
      <c r="K128" s="182" t="str" cm="1">
        <f t="array" ref="K128">Common_InputFunctions.Utility_DisplayArrayInTable(Fertiliser_SourceData.Fertiliser_Products_Data1(),FertiliserProducts[[#Headers],[Include or Exclude]], 0,4)</f>
        <v/>
      </c>
      <c r="L128" s="182" t="str" cm="1">
        <f t="array" ref="L128">Common_InputFunctions.Utility_DisplayArrayInTable(Fertiliser_SourceData.Fertiliser_Products_Data1(),FertiliserProducts[[#Headers],[Include or Exclude]], 0,4)</f>
        <v/>
      </c>
      <c r="M128" s="182" t="str" cm="1">
        <f t="array" ref="M128">Common_InputFunctions.Utility_DisplayArrayInTable(Fertiliser_SourceData.Fertiliser_Products_Data1(),FertiliserProducts[[#Headers],[Include or Exclude]], 0,4)</f>
        <v/>
      </c>
      <c r="N128" s="182" t="str" cm="1">
        <f t="array" ref="N128">Common_InputFunctions.Utility_DisplayArrayInTable(Fertiliser_SourceData.Fertiliser_Products_Data1(),FertiliserProducts[[#Headers],[Include or Exclude]], 0,4)</f>
        <v/>
      </c>
      <c r="O128" s="182" t="str" cm="1">
        <f t="array" ref="O128">Common_InputFunctions.Utility_DisplayArrayInTable(Fertiliser_SourceData.Fertiliser_Products_Data1(),FertiliserProducts[[#Headers],[Include or Exclude]], 0,4)</f>
        <v/>
      </c>
      <c r="P128" s="182" t="str" cm="1">
        <f t="array" ref="P128">Common_InputFunctions.Utility_DisplayArrayInTable(Fertiliser_SourceData.Fertiliser_Products_Data1(),FertiliserProducts[[#Headers],[Include or Exclude]], 0,4)</f>
        <v/>
      </c>
      <c r="Q128" s="182" t="str" cm="1">
        <f t="array" ref="Q128">Common_InputFunctions.Utility_DisplayArrayInTable(Fertiliser_SourceData.Fertiliser_Products_Data1(),FertiliserProducts[[#Headers],[Include or Exclude]], 0,4)</f>
        <v/>
      </c>
      <c r="R128" s="182" t="str" cm="1">
        <f t="array" ref="R128">Common_InputFunctions.Utility_DisplayArrayInTable(Fertiliser_SourceData.Fertiliser_Products_Data1(),FertiliserProducts[[#Headers],[Include or Exclude]], 0,4)</f>
        <v/>
      </c>
      <c r="S128" s="182" t="str" cm="1">
        <f t="array" ref="S128">Common_InputFunctions.Utility_DisplayArrayInTable(Fertiliser_SourceData.Fertiliser_Products_Data1(),FertiliserProducts[[#Headers],[Include or Exclude]], 0,4)</f>
        <v/>
      </c>
      <c r="T128" s="182" t="str" cm="1">
        <f t="array" ref="T128">Common_InputFunctions.Utility_DisplayArrayInTable(Fertiliser_SourceData.Fertiliser_Products_Data1(),FertiliserProducts[[#Headers],[Include or Exclude]], 0,4)</f>
        <v/>
      </c>
      <c r="U128" s="182" t="str" cm="1">
        <f t="array" ref="U128">Common_InputFunctions.Utility_DisplayArrayInTable(Fertiliser_SourceData.Fertiliser_Products_Data1(),FertiliserProducts[[#Headers],[Include or Exclude]], 0,4)</f>
        <v/>
      </c>
      <c r="V128" s="182" t="str" cm="1">
        <f t="array" ref="V128">Common_InputFunctions.Utility_DisplayArrayInTable(Fertiliser_SourceData.Fertiliser_Products_Data1(),FertiliserProducts[[#Headers],[Include or Exclude]], 0,4)</f>
        <v/>
      </c>
      <c r="W128" s="182" t="str" cm="1">
        <f t="array" ref="W128">Common_InputFunctions.Utility_DisplayArrayInTable(Fertiliser_SourceData.Fertiliser_Products_Data1(),FertiliserProducts[[#Headers],[Include or Exclude]], 0,4)</f>
        <v/>
      </c>
      <c r="X128" s="182" t="str" cm="1">
        <f t="array" ref="X128">Common_InputFunctions.Utility_DisplayArrayInTable(Fertiliser_SourceData.Fertiliser_Products_Data1(),FertiliserProducts[[#Headers],[Include or Exclude]], 0,4)</f>
        <v/>
      </c>
      <c r="Y128" s="182" t="str" cm="1">
        <f t="array" ref="Y128">Common_InputFunctions.Utility_DisplayArrayInTable(Fertiliser_SourceData.Fertiliser_Products_Data1(),FertiliserProducts[[#Headers],[Include or Exclude]], 0,4)</f>
        <v/>
      </c>
      <c r="Z128" s="182" t="str" cm="1">
        <f t="array" ref="Z128">Common_InputFunctions.Utility_DisplayArrayInTable(Fertiliser_SourceData.Fertiliser_Products_Data1(),FertiliserProducts[[#Headers],[Include or Exclude]], 0,4)</f>
        <v/>
      </c>
      <c r="AA128" s="182" t="str" cm="1">
        <f t="array" ref="AA128">Common_InputFunctions.Utility_DisplayArrayInTable(Fertiliser_SourceData.Fertiliser_Products_Data1(),FertiliserProducts[[#Headers],[Include or Exclude]], 0,4)</f>
        <v/>
      </c>
      <c r="AB128" s="182" t="str" cm="1">
        <f t="array" ref="AB128">Common_InputFunctions.Utility_DisplayArrayInTable(Fertiliser_SourceData.Fertiliser_Products_Data1(),FertiliserProducts[[#Headers],[Include or Exclude]], 0,4)</f>
        <v/>
      </c>
      <c r="AC128" s="182" t="str" cm="1">
        <f t="array" ref="AC128">Common_InputFunctions.Utility_DisplayArrayInTable(Fertiliser_SourceData.Fertiliser_Products_Data1(),FertiliserProducts[[#Headers],[Include or Exclude]], 0,4)</f>
        <v/>
      </c>
      <c r="AD128" s="182" t="str" cm="1">
        <f t="array" ref="AD128">Common_InputFunctions.Utility_DisplayArrayInTable(Fertiliser_SourceData.Fertiliser_Products_Data1(),FertiliserProducts[[#Headers],[Include or Exclude]], 0,4)</f>
        <v/>
      </c>
      <c r="AE128" s="182" t="str" cm="1">
        <f t="array" ref="AE128">Common_InputFunctions.Utility_DisplayArrayInTable(Fertiliser_SourceData.Fertiliser_Products_Data1(),FertiliserProducts[[#Headers],[Include or Exclude]], 0,4)</f>
        <v/>
      </c>
    </row>
    <row r="129" spans="4:31" ht="20.100000000000001" customHeight="1" x14ac:dyDescent="0.25">
      <c r="D129" s="182" t="str" cm="1">
        <f t="array" ref="D129">Common_InputFunctions.Utility_DisplayArrayInTable(Fertiliser_SourceData.Fertiliser_Products_Data1(),FertiliserProducts[[#Headers],[Include or Exclude]], -1)</f>
        <v/>
      </c>
      <c r="E129" s="182" t="str" cm="1">
        <f t="array" ref="E129">Common_InputFunctions.Utility_DisplayArrayInTable(Fertiliser_SourceData.Fertiliser_Products_Data1(),FertiliserProducts[[#Headers],[Include or Exclude]], 0)</f>
        <v/>
      </c>
      <c r="F129" s="182" t="str" cm="1">
        <f t="array" ref="F129">Common_InputFunctions.Utility_DisplayArrayInTable(Fertiliser_SourceData.Fertiliser_Products_Data1(),FertiliserProducts[[#Headers],[Include or Exclude]], 0)</f>
        <v/>
      </c>
      <c r="G129" s="182" t="str" cm="1">
        <f t="array" ref="G129">Common_InputFunctions.Utility_DisplayArrayInTable(Fertiliser_SourceData.Fertiliser_Products_Data1(),FertiliserProducts[[#Headers],[Include or Exclude]], 0)</f>
        <v/>
      </c>
      <c r="H129" s="182" t="str" cm="1">
        <f t="array" ref="H129">Common_InputFunctions.Utility_DisplayArrayInTable(Fertiliser_SourceData.Fertiliser_Products_Data1(),FertiliserProducts[[#Headers],[Include or Exclude]], 0,4)</f>
        <v/>
      </c>
      <c r="I129" s="182" t="str" cm="1">
        <f t="array" ref="I129">Common_InputFunctions.Utility_DisplayArrayInTable(Fertiliser_SourceData.Fertiliser_Products_Data1(),FertiliserProducts[[#Headers],[Include or Exclude]], 0,4)</f>
        <v/>
      </c>
      <c r="J129" s="182" t="str" cm="1">
        <f t="array" ref="J129">Common_InputFunctions.Utility_DisplayArrayInTable(Fertiliser_SourceData.Fertiliser_Products_Data1(),FertiliserProducts[[#Headers],[Include or Exclude]], 0,4)</f>
        <v/>
      </c>
      <c r="K129" s="182" t="str" cm="1">
        <f t="array" ref="K129">Common_InputFunctions.Utility_DisplayArrayInTable(Fertiliser_SourceData.Fertiliser_Products_Data1(),FertiliserProducts[[#Headers],[Include or Exclude]], 0,4)</f>
        <v/>
      </c>
      <c r="L129" s="182" t="str" cm="1">
        <f t="array" ref="L129">Common_InputFunctions.Utility_DisplayArrayInTable(Fertiliser_SourceData.Fertiliser_Products_Data1(),FertiliserProducts[[#Headers],[Include or Exclude]], 0,4)</f>
        <v/>
      </c>
      <c r="M129" s="182" t="str" cm="1">
        <f t="array" ref="M129">Common_InputFunctions.Utility_DisplayArrayInTable(Fertiliser_SourceData.Fertiliser_Products_Data1(),FertiliserProducts[[#Headers],[Include or Exclude]], 0,4)</f>
        <v/>
      </c>
      <c r="N129" s="182" t="str" cm="1">
        <f t="array" ref="N129">Common_InputFunctions.Utility_DisplayArrayInTable(Fertiliser_SourceData.Fertiliser_Products_Data1(),FertiliserProducts[[#Headers],[Include or Exclude]], 0,4)</f>
        <v/>
      </c>
      <c r="O129" s="182" t="str" cm="1">
        <f t="array" ref="O129">Common_InputFunctions.Utility_DisplayArrayInTable(Fertiliser_SourceData.Fertiliser_Products_Data1(),FertiliserProducts[[#Headers],[Include or Exclude]], 0,4)</f>
        <v/>
      </c>
      <c r="P129" s="182" t="str" cm="1">
        <f t="array" ref="P129">Common_InputFunctions.Utility_DisplayArrayInTable(Fertiliser_SourceData.Fertiliser_Products_Data1(),FertiliserProducts[[#Headers],[Include or Exclude]], 0,4)</f>
        <v/>
      </c>
      <c r="Q129" s="182" t="str" cm="1">
        <f t="array" ref="Q129">Common_InputFunctions.Utility_DisplayArrayInTable(Fertiliser_SourceData.Fertiliser_Products_Data1(),FertiliserProducts[[#Headers],[Include or Exclude]], 0,4)</f>
        <v/>
      </c>
      <c r="R129" s="182" t="str" cm="1">
        <f t="array" ref="R129">Common_InputFunctions.Utility_DisplayArrayInTable(Fertiliser_SourceData.Fertiliser_Products_Data1(),FertiliserProducts[[#Headers],[Include or Exclude]], 0,4)</f>
        <v/>
      </c>
      <c r="S129" s="182" t="str" cm="1">
        <f t="array" ref="S129">Common_InputFunctions.Utility_DisplayArrayInTable(Fertiliser_SourceData.Fertiliser_Products_Data1(),FertiliserProducts[[#Headers],[Include or Exclude]], 0,4)</f>
        <v/>
      </c>
      <c r="T129" s="182" t="str" cm="1">
        <f t="array" ref="T129">Common_InputFunctions.Utility_DisplayArrayInTable(Fertiliser_SourceData.Fertiliser_Products_Data1(),FertiliserProducts[[#Headers],[Include or Exclude]], 0,4)</f>
        <v/>
      </c>
      <c r="U129" s="182" t="str" cm="1">
        <f t="array" ref="U129">Common_InputFunctions.Utility_DisplayArrayInTable(Fertiliser_SourceData.Fertiliser_Products_Data1(),FertiliserProducts[[#Headers],[Include or Exclude]], 0,4)</f>
        <v/>
      </c>
      <c r="V129" s="182" t="str" cm="1">
        <f t="array" ref="V129">Common_InputFunctions.Utility_DisplayArrayInTable(Fertiliser_SourceData.Fertiliser_Products_Data1(),FertiliserProducts[[#Headers],[Include or Exclude]], 0,4)</f>
        <v/>
      </c>
      <c r="W129" s="182" t="str" cm="1">
        <f t="array" ref="W129">Common_InputFunctions.Utility_DisplayArrayInTable(Fertiliser_SourceData.Fertiliser_Products_Data1(),FertiliserProducts[[#Headers],[Include or Exclude]], 0,4)</f>
        <v/>
      </c>
      <c r="X129" s="182" t="str" cm="1">
        <f t="array" ref="X129">Common_InputFunctions.Utility_DisplayArrayInTable(Fertiliser_SourceData.Fertiliser_Products_Data1(),FertiliserProducts[[#Headers],[Include or Exclude]], 0,4)</f>
        <v/>
      </c>
      <c r="Y129" s="182" t="str" cm="1">
        <f t="array" ref="Y129">Common_InputFunctions.Utility_DisplayArrayInTable(Fertiliser_SourceData.Fertiliser_Products_Data1(),FertiliserProducts[[#Headers],[Include or Exclude]], 0,4)</f>
        <v/>
      </c>
      <c r="Z129" s="182" t="str" cm="1">
        <f t="array" ref="Z129">Common_InputFunctions.Utility_DisplayArrayInTable(Fertiliser_SourceData.Fertiliser_Products_Data1(),FertiliserProducts[[#Headers],[Include or Exclude]], 0,4)</f>
        <v/>
      </c>
      <c r="AA129" s="182" t="str" cm="1">
        <f t="array" ref="AA129">Common_InputFunctions.Utility_DisplayArrayInTable(Fertiliser_SourceData.Fertiliser_Products_Data1(),FertiliserProducts[[#Headers],[Include or Exclude]], 0,4)</f>
        <v/>
      </c>
      <c r="AB129" s="182" t="str" cm="1">
        <f t="array" ref="AB129">Common_InputFunctions.Utility_DisplayArrayInTable(Fertiliser_SourceData.Fertiliser_Products_Data1(),FertiliserProducts[[#Headers],[Include or Exclude]], 0,4)</f>
        <v/>
      </c>
      <c r="AC129" s="182" t="str" cm="1">
        <f t="array" ref="AC129">Common_InputFunctions.Utility_DisplayArrayInTable(Fertiliser_SourceData.Fertiliser_Products_Data1(),FertiliserProducts[[#Headers],[Include or Exclude]], 0,4)</f>
        <v/>
      </c>
      <c r="AD129" s="182" t="str" cm="1">
        <f t="array" ref="AD129">Common_InputFunctions.Utility_DisplayArrayInTable(Fertiliser_SourceData.Fertiliser_Products_Data1(),FertiliserProducts[[#Headers],[Include or Exclude]], 0,4)</f>
        <v/>
      </c>
      <c r="AE129" s="182" t="str" cm="1">
        <f t="array" ref="AE129">Common_InputFunctions.Utility_DisplayArrayInTable(Fertiliser_SourceData.Fertiliser_Products_Data1(),FertiliserProducts[[#Headers],[Include or Exclude]], 0,4)</f>
        <v/>
      </c>
    </row>
    <row r="130" spans="4:31" ht="20.100000000000001" customHeight="1" x14ac:dyDescent="0.25">
      <c r="D130" s="182" t="str" cm="1">
        <f t="array" ref="D130">Common_InputFunctions.Utility_DisplayArrayInTable(Fertiliser_SourceData.Fertiliser_Products_Data1(),FertiliserProducts[[#Headers],[Include or Exclude]], -1)</f>
        <v/>
      </c>
      <c r="E130" s="182" t="str" cm="1">
        <f t="array" ref="E130">Common_InputFunctions.Utility_DisplayArrayInTable(Fertiliser_SourceData.Fertiliser_Products_Data1(),FertiliserProducts[[#Headers],[Include or Exclude]], 0)</f>
        <v/>
      </c>
      <c r="F130" s="182" t="str" cm="1">
        <f t="array" ref="F130">Common_InputFunctions.Utility_DisplayArrayInTable(Fertiliser_SourceData.Fertiliser_Products_Data1(),FertiliserProducts[[#Headers],[Include or Exclude]], 0)</f>
        <v/>
      </c>
      <c r="G130" s="182" t="str" cm="1">
        <f t="array" ref="G130">Common_InputFunctions.Utility_DisplayArrayInTable(Fertiliser_SourceData.Fertiliser_Products_Data1(),FertiliserProducts[[#Headers],[Include or Exclude]], 0)</f>
        <v/>
      </c>
      <c r="H130" s="182" t="str" cm="1">
        <f t="array" ref="H130">Common_InputFunctions.Utility_DisplayArrayInTable(Fertiliser_SourceData.Fertiliser_Products_Data1(),FertiliserProducts[[#Headers],[Include or Exclude]], 0,4)</f>
        <v/>
      </c>
      <c r="I130" s="182" t="str" cm="1">
        <f t="array" ref="I130">Common_InputFunctions.Utility_DisplayArrayInTable(Fertiliser_SourceData.Fertiliser_Products_Data1(),FertiliserProducts[[#Headers],[Include or Exclude]], 0,4)</f>
        <v/>
      </c>
      <c r="J130" s="182" t="str" cm="1">
        <f t="array" ref="J130">Common_InputFunctions.Utility_DisplayArrayInTable(Fertiliser_SourceData.Fertiliser_Products_Data1(),FertiliserProducts[[#Headers],[Include or Exclude]], 0,4)</f>
        <v/>
      </c>
      <c r="K130" s="182" t="str" cm="1">
        <f t="array" ref="K130">Common_InputFunctions.Utility_DisplayArrayInTable(Fertiliser_SourceData.Fertiliser_Products_Data1(),FertiliserProducts[[#Headers],[Include or Exclude]], 0,4)</f>
        <v/>
      </c>
      <c r="L130" s="182" t="str" cm="1">
        <f t="array" ref="L130">Common_InputFunctions.Utility_DisplayArrayInTable(Fertiliser_SourceData.Fertiliser_Products_Data1(),FertiliserProducts[[#Headers],[Include or Exclude]], 0,4)</f>
        <v/>
      </c>
      <c r="M130" s="182" t="str" cm="1">
        <f t="array" ref="M130">Common_InputFunctions.Utility_DisplayArrayInTable(Fertiliser_SourceData.Fertiliser_Products_Data1(),FertiliserProducts[[#Headers],[Include or Exclude]], 0,4)</f>
        <v/>
      </c>
      <c r="N130" s="182" t="str" cm="1">
        <f t="array" ref="N130">Common_InputFunctions.Utility_DisplayArrayInTable(Fertiliser_SourceData.Fertiliser_Products_Data1(),FertiliserProducts[[#Headers],[Include or Exclude]], 0,4)</f>
        <v/>
      </c>
      <c r="O130" s="182" t="str" cm="1">
        <f t="array" ref="O130">Common_InputFunctions.Utility_DisplayArrayInTable(Fertiliser_SourceData.Fertiliser_Products_Data1(),FertiliserProducts[[#Headers],[Include or Exclude]], 0,4)</f>
        <v/>
      </c>
      <c r="P130" s="182" t="str" cm="1">
        <f t="array" ref="P130">Common_InputFunctions.Utility_DisplayArrayInTable(Fertiliser_SourceData.Fertiliser_Products_Data1(),FertiliserProducts[[#Headers],[Include or Exclude]], 0,4)</f>
        <v/>
      </c>
      <c r="Q130" s="182" t="str" cm="1">
        <f t="array" ref="Q130">Common_InputFunctions.Utility_DisplayArrayInTable(Fertiliser_SourceData.Fertiliser_Products_Data1(),FertiliserProducts[[#Headers],[Include or Exclude]], 0,4)</f>
        <v/>
      </c>
      <c r="R130" s="182" t="str" cm="1">
        <f t="array" ref="R130">Common_InputFunctions.Utility_DisplayArrayInTable(Fertiliser_SourceData.Fertiliser_Products_Data1(),FertiliserProducts[[#Headers],[Include or Exclude]], 0,4)</f>
        <v/>
      </c>
      <c r="S130" s="182" t="str" cm="1">
        <f t="array" ref="S130">Common_InputFunctions.Utility_DisplayArrayInTable(Fertiliser_SourceData.Fertiliser_Products_Data1(),FertiliserProducts[[#Headers],[Include or Exclude]], 0,4)</f>
        <v/>
      </c>
      <c r="T130" s="182" t="str" cm="1">
        <f t="array" ref="T130">Common_InputFunctions.Utility_DisplayArrayInTable(Fertiliser_SourceData.Fertiliser_Products_Data1(),FertiliserProducts[[#Headers],[Include or Exclude]], 0,4)</f>
        <v/>
      </c>
      <c r="U130" s="182" t="str" cm="1">
        <f t="array" ref="U130">Common_InputFunctions.Utility_DisplayArrayInTable(Fertiliser_SourceData.Fertiliser_Products_Data1(),FertiliserProducts[[#Headers],[Include or Exclude]], 0,4)</f>
        <v/>
      </c>
      <c r="V130" s="182" t="str" cm="1">
        <f t="array" ref="V130">Common_InputFunctions.Utility_DisplayArrayInTable(Fertiliser_SourceData.Fertiliser_Products_Data1(),FertiliserProducts[[#Headers],[Include or Exclude]], 0,4)</f>
        <v/>
      </c>
      <c r="W130" s="182" t="str" cm="1">
        <f t="array" ref="W130">Common_InputFunctions.Utility_DisplayArrayInTable(Fertiliser_SourceData.Fertiliser_Products_Data1(),FertiliserProducts[[#Headers],[Include or Exclude]], 0,4)</f>
        <v/>
      </c>
      <c r="X130" s="182" t="str" cm="1">
        <f t="array" ref="X130">Common_InputFunctions.Utility_DisplayArrayInTable(Fertiliser_SourceData.Fertiliser_Products_Data1(),FertiliserProducts[[#Headers],[Include or Exclude]], 0,4)</f>
        <v/>
      </c>
      <c r="Y130" s="182" t="str" cm="1">
        <f t="array" ref="Y130">Common_InputFunctions.Utility_DisplayArrayInTable(Fertiliser_SourceData.Fertiliser_Products_Data1(),FertiliserProducts[[#Headers],[Include or Exclude]], 0,4)</f>
        <v/>
      </c>
      <c r="Z130" s="182" t="str" cm="1">
        <f t="array" ref="Z130">Common_InputFunctions.Utility_DisplayArrayInTable(Fertiliser_SourceData.Fertiliser_Products_Data1(),FertiliserProducts[[#Headers],[Include or Exclude]], 0,4)</f>
        <v/>
      </c>
      <c r="AA130" s="182" t="str" cm="1">
        <f t="array" ref="AA130">Common_InputFunctions.Utility_DisplayArrayInTable(Fertiliser_SourceData.Fertiliser_Products_Data1(),FertiliserProducts[[#Headers],[Include or Exclude]], 0,4)</f>
        <v/>
      </c>
      <c r="AB130" s="182" t="str" cm="1">
        <f t="array" ref="AB130">Common_InputFunctions.Utility_DisplayArrayInTable(Fertiliser_SourceData.Fertiliser_Products_Data1(),FertiliserProducts[[#Headers],[Include or Exclude]], 0,4)</f>
        <v/>
      </c>
      <c r="AC130" s="182" t="str" cm="1">
        <f t="array" ref="AC130">Common_InputFunctions.Utility_DisplayArrayInTable(Fertiliser_SourceData.Fertiliser_Products_Data1(),FertiliserProducts[[#Headers],[Include or Exclude]], 0,4)</f>
        <v/>
      </c>
      <c r="AD130" s="182" t="str" cm="1">
        <f t="array" ref="AD130">Common_InputFunctions.Utility_DisplayArrayInTable(Fertiliser_SourceData.Fertiliser_Products_Data1(),FertiliserProducts[[#Headers],[Include or Exclude]], 0,4)</f>
        <v/>
      </c>
      <c r="AE130" s="182" t="str" cm="1">
        <f t="array" ref="AE130">Common_InputFunctions.Utility_DisplayArrayInTable(Fertiliser_SourceData.Fertiliser_Products_Data1(),FertiliserProducts[[#Headers],[Include or Exclude]], 0,4)</f>
        <v/>
      </c>
    </row>
    <row r="131" spans="4:31" ht="20.100000000000001" customHeight="1" x14ac:dyDescent="0.25">
      <c r="D131" s="182" t="str" cm="1">
        <f t="array" ref="D131">Common_InputFunctions.Utility_DisplayArrayInTable(Fertiliser_SourceData.Fertiliser_Products_Data1(),FertiliserProducts[[#Headers],[Include or Exclude]], -1)</f>
        <v/>
      </c>
      <c r="E131" s="182" t="str" cm="1">
        <f t="array" ref="E131">Common_InputFunctions.Utility_DisplayArrayInTable(Fertiliser_SourceData.Fertiliser_Products_Data1(),FertiliserProducts[[#Headers],[Include or Exclude]], 0)</f>
        <v/>
      </c>
      <c r="F131" s="182" t="str" cm="1">
        <f t="array" ref="F131">Common_InputFunctions.Utility_DisplayArrayInTable(Fertiliser_SourceData.Fertiliser_Products_Data1(),FertiliserProducts[[#Headers],[Include or Exclude]], 0)</f>
        <v/>
      </c>
      <c r="G131" s="182" t="str" cm="1">
        <f t="array" ref="G131">Common_InputFunctions.Utility_DisplayArrayInTable(Fertiliser_SourceData.Fertiliser_Products_Data1(),FertiliserProducts[[#Headers],[Include or Exclude]], 0)</f>
        <v/>
      </c>
      <c r="H131" s="182" t="str" cm="1">
        <f t="array" ref="H131">Common_InputFunctions.Utility_DisplayArrayInTable(Fertiliser_SourceData.Fertiliser_Products_Data1(),FertiliserProducts[[#Headers],[Include or Exclude]], 0,4)</f>
        <v/>
      </c>
      <c r="I131" s="182" t="str" cm="1">
        <f t="array" ref="I131">Common_InputFunctions.Utility_DisplayArrayInTable(Fertiliser_SourceData.Fertiliser_Products_Data1(),FertiliserProducts[[#Headers],[Include or Exclude]], 0,4)</f>
        <v/>
      </c>
      <c r="J131" s="182" t="str" cm="1">
        <f t="array" ref="J131">Common_InputFunctions.Utility_DisplayArrayInTable(Fertiliser_SourceData.Fertiliser_Products_Data1(),FertiliserProducts[[#Headers],[Include or Exclude]], 0,4)</f>
        <v/>
      </c>
      <c r="K131" s="182" t="str" cm="1">
        <f t="array" ref="K131">Common_InputFunctions.Utility_DisplayArrayInTable(Fertiliser_SourceData.Fertiliser_Products_Data1(),FertiliserProducts[[#Headers],[Include or Exclude]], 0,4)</f>
        <v/>
      </c>
      <c r="L131" s="182" t="str" cm="1">
        <f t="array" ref="L131">Common_InputFunctions.Utility_DisplayArrayInTable(Fertiliser_SourceData.Fertiliser_Products_Data1(),FertiliserProducts[[#Headers],[Include or Exclude]], 0,4)</f>
        <v/>
      </c>
      <c r="M131" s="182" t="str" cm="1">
        <f t="array" ref="M131">Common_InputFunctions.Utility_DisplayArrayInTable(Fertiliser_SourceData.Fertiliser_Products_Data1(),FertiliserProducts[[#Headers],[Include or Exclude]], 0,4)</f>
        <v/>
      </c>
      <c r="N131" s="182" t="str" cm="1">
        <f t="array" ref="N131">Common_InputFunctions.Utility_DisplayArrayInTable(Fertiliser_SourceData.Fertiliser_Products_Data1(),FertiliserProducts[[#Headers],[Include or Exclude]], 0,4)</f>
        <v/>
      </c>
      <c r="O131" s="182" t="str" cm="1">
        <f t="array" ref="O131">Common_InputFunctions.Utility_DisplayArrayInTable(Fertiliser_SourceData.Fertiliser_Products_Data1(),FertiliserProducts[[#Headers],[Include or Exclude]], 0,4)</f>
        <v/>
      </c>
      <c r="P131" s="182" t="str" cm="1">
        <f t="array" ref="P131">Common_InputFunctions.Utility_DisplayArrayInTable(Fertiliser_SourceData.Fertiliser_Products_Data1(),FertiliserProducts[[#Headers],[Include or Exclude]], 0,4)</f>
        <v/>
      </c>
      <c r="Q131" s="182" t="str" cm="1">
        <f t="array" ref="Q131">Common_InputFunctions.Utility_DisplayArrayInTable(Fertiliser_SourceData.Fertiliser_Products_Data1(),FertiliserProducts[[#Headers],[Include or Exclude]], 0,4)</f>
        <v/>
      </c>
      <c r="R131" s="182" t="str" cm="1">
        <f t="array" ref="R131">Common_InputFunctions.Utility_DisplayArrayInTable(Fertiliser_SourceData.Fertiliser_Products_Data1(),FertiliserProducts[[#Headers],[Include or Exclude]], 0,4)</f>
        <v/>
      </c>
      <c r="S131" s="182" t="str" cm="1">
        <f t="array" ref="S131">Common_InputFunctions.Utility_DisplayArrayInTable(Fertiliser_SourceData.Fertiliser_Products_Data1(),FertiliserProducts[[#Headers],[Include or Exclude]], 0,4)</f>
        <v/>
      </c>
      <c r="T131" s="182" t="str" cm="1">
        <f t="array" ref="T131">Common_InputFunctions.Utility_DisplayArrayInTable(Fertiliser_SourceData.Fertiliser_Products_Data1(),FertiliserProducts[[#Headers],[Include or Exclude]], 0,4)</f>
        <v/>
      </c>
      <c r="U131" s="182" t="str" cm="1">
        <f t="array" ref="U131">Common_InputFunctions.Utility_DisplayArrayInTable(Fertiliser_SourceData.Fertiliser_Products_Data1(),FertiliserProducts[[#Headers],[Include or Exclude]], 0,4)</f>
        <v/>
      </c>
      <c r="V131" s="182" t="str" cm="1">
        <f t="array" ref="V131">Common_InputFunctions.Utility_DisplayArrayInTable(Fertiliser_SourceData.Fertiliser_Products_Data1(),FertiliserProducts[[#Headers],[Include or Exclude]], 0,4)</f>
        <v/>
      </c>
      <c r="W131" s="182" t="str" cm="1">
        <f t="array" ref="W131">Common_InputFunctions.Utility_DisplayArrayInTable(Fertiliser_SourceData.Fertiliser_Products_Data1(),FertiliserProducts[[#Headers],[Include or Exclude]], 0,4)</f>
        <v/>
      </c>
      <c r="X131" s="182" t="str" cm="1">
        <f t="array" ref="X131">Common_InputFunctions.Utility_DisplayArrayInTable(Fertiliser_SourceData.Fertiliser_Products_Data1(),FertiliserProducts[[#Headers],[Include or Exclude]], 0,4)</f>
        <v/>
      </c>
      <c r="Y131" s="182" t="str" cm="1">
        <f t="array" ref="Y131">Common_InputFunctions.Utility_DisplayArrayInTable(Fertiliser_SourceData.Fertiliser_Products_Data1(),FertiliserProducts[[#Headers],[Include or Exclude]], 0,4)</f>
        <v/>
      </c>
      <c r="Z131" s="182" t="str" cm="1">
        <f t="array" ref="Z131">Common_InputFunctions.Utility_DisplayArrayInTable(Fertiliser_SourceData.Fertiliser_Products_Data1(),FertiliserProducts[[#Headers],[Include or Exclude]], 0,4)</f>
        <v/>
      </c>
      <c r="AA131" s="182" t="str" cm="1">
        <f t="array" ref="AA131">Common_InputFunctions.Utility_DisplayArrayInTable(Fertiliser_SourceData.Fertiliser_Products_Data1(),FertiliserProducts[[#Headers],[Include or Exclude]], 0,4)</f>
        <v/>
      </c>
      <c r="AB131" s="182" t="str" cm="1">
        <f t="array" ref="AB131">Common_InputFunctions.Utility_DisplayArrayInTable(Fertiliser_SourceData.Fertiliser_Products_Data1(),FertiliserProducts[[#Headers],[Include or Exclude]], 0,4)</f>
        <v/>
      </c>
      <c r="AC131" s="182" t="str" cm="1">
        <f t="array" ref="AC131">Common_InputFunctions.Utility_DisplayArrayInTable(Fertiliser_SourceData.Fertiliser_Products_Data1(),FertiliserProducts[[#Headers],[Include or Exclude]], 0,4)</f>
        <v/>
      </c>
      <c r="AD131" s="182" t="str" cm="1">
        <f t="array" ref="AD131">Common_InputFunctions.Utility_DisplayArrayInTable(Fertiliser_SourceData.Fertiliser_Products_Data1(),FertiliserProducts[[#Headers],[Include or Exclude]], 0,4)</f>
        <v/>
      </c>
      <c r="AE131" s="182" t="str" cm="1">
        <f t="array" ref="AE131">Common_InputFunctions.Utility_DisplayArrayInTable(Fertiliser_SourceData.Fertiliser_Products_Data1(),FertiliserProducts[[#Headers],[Include or Exclude]], 0,4)</f>
        <v/>
      </c>
    </row>
    <row r="132" spans="4:31" ht="20.100000000000001" customHeight="1" x14ac:dyDescent="0.25">
      <c r="D132" s="182" t="str" cm="1">
        <f t="array" ref="D132">Common_InputFunctions.Utility_DisplayArrayInTable(Fertiliser_SourceData.Fertiliser_Products_Data1(),FertiliserProducts[[#Headers],[Include or Exclude]], -1)</f>
        <v/>
      </c>
      <c r="E132" s="182" t="str" cm="1">
        <f t="array" ref="E132">Common_InputFunctions.Utility_DisplayArrayInTable(Fertiliser_SourceData.Fertiliser_Products_Data1(),FertiliserProducts[[#Headers],[Include or Exclude]], 0)</f>
        <v/>
      </c>
      <c r="F132" s="182" t="str" cm="1">
        <f t="array" ref="F132">Common_InputFunctions.Utility_DisplayArrayInTable(Fertiliser_SourceData.Fertiliser_Products_Data1(),FertiliserProducts[[#Headers],[Include or Exclude]], 0)</f>
        <v/>
      </c>
      <c r="G132" s="182" t="str" cm="1">
        <f t="array" ref="G132">Common_InputFunctions.Utility_DisplayArrayInTable(Fertiliser_SourceData.Fertiliser_Products_Data1(),FertiliserProducts[[#Headers],[Include or Exclude]], 0)</f>
        <v/>
      </c>
      <c r="H132" s="182" t="str" cm="1">
        <f t="array" ref="H132">Common_InputFunctions.Utility_DisplayArrayInTable(Fertiliser_SourceData.Fertiliser_Products_Data1(),FertiliserProducts[[#Headers],[Include or Exclude]], 0,4)</f>
        <v/>
      </c>
      <c r="I132" s="182" t="str" cm="1">
        <f t="array" ref="I132">Common_InputFunctions.Utility_DisplayArrayInTable(Fertiliser_SourceData.Fertiliser_Products_Data1(),FertiliserProducts[[#Headers],[Include or Exclude]], 0,4)</f>
        <v/>
      </c>
      <c r="J132" s="182" t="str" cm="1">
        <f t="array" ref="J132">Common_InputFunctions.Utility_DisplayArrayInTable(Fertiliser_SourceData.Fertiliser_Products_Data1(),FertiliserProducts[[#Headers],[Include or Exclude]], 0,4)</f>
        <v/>
      </c>
      <c r="K132" s="182" t="str" cm="1">
        <f t="array" ref="K132">Common_InputFunctions.Utility_DisplayArrayInTable(Fertiliser_SourceData.Fertiliser_Products_Data1(),FertiliserProducts[[#Headers],[Include or Exclude]], 0,4)</f>
        <v/>
      </c>
      <c r="L132" s="182" t="str" cm="1">
        <f t="array" ref="L132">Common_InputFunctions.Utility_DisplayArrayInTable(Fertiliser_SourceData.Fertiliser_Products_Data1(),FertiliserProducts[[#Headers],[Include or Exclude]], 0,4)</f>
        <v/>
      </c>
      <c r="M132" s="182" t="str" cm="1">
        <f t="array" ref="M132">Common_InputFunctions.Utility_DisplayArrayInTable(Fertiliser_SourceData.Fertiliser_Products_Data1(),FertiliserProducts[[#Headers],[Include or Exclude]], 0,4)</f>
        <v/>
      </c>
      <c r="N132" s="182" t="str" cm="1">
        <f t="array" ref="N132">Common_InputFunctions.Utility_DisplayArrayInTable(Fertiliser_SourceData.Fertiliser_Products_Data1(),FertiliserProducts[[#Headers],[Include or Exclude]], 0,4)</f>
        <v/>
      </c>
      <c r="O132" s="182" t="str" cm="1">
        <f t="array" ref="O132">Common_InputFunctions.Utility_DisplayArrayInTable(Fertiliser_SourceData.Fertiliser_Products_Data1(),FertiliserProducts[[#Headers],[Include or Exclude]], 0,4)</f>
        <v/>
      </c>
      <c r="P132" s="182" t="str" cm="1">
        <f t="array" ref="P132">Common_InputFunctions.Utility_DisplayArrayInTable(Fertiliser_SourceData.Fertiliser_Products_Data1(),FertiliserProducts[[#Headers],[Include or Exclude]], 0,4)</f>
        <v/>
      </c>
      <c r="Q132" s="182" t="str" cm="1">
        <f t="array" ref="Q132">Common_InputFunctions.Utility_DisplayArrayInTable(Fertiliser_SourceData.Fertiliser_Products_Data1(),FertiliserProducts[[#Headers],[Include or Exclude]], 0,4)</f>
        <v/>
      </c>
      <c r="R132" s="182" t="str" cm="1">
        <f t="array" ref="R132">Common_InputFunctions.Utility_DisplayArrayInTable(Fertiliser_SourceData.Fertiliser_Products_Data1(),FertiliserProducts[[#Headers],[Include or Exclude]], 0,4)</f>
        <v/>
      </c>
      <c r="S132" s="182" t="str" cm="1">
        <f t="array" ref="S132">Common_InputFunctions.Utility_DisplayArrayInTable(Fertiliser_SourceData.Fertiliser_Products_Data1(),FertiliserProducts[[#Headers],[Include or Exclude]], 0,4)</f>
        <v/>
      </c>
      <c r="T132" s="182" t="str" cm="1">
        <f t="array" ref="T132">Common_InputFunctions.Utility_DisplayArrayInTable(Fertiliser_SourceData.Fertiliser_Products_Data1(),FertiliserProducts[[#Headers],[Include or Exclude]], 0,4)</f>
        <v/>
      </c>
      <c r="U132" s="182" t="str" cm="1">
        <f t="array" ref="U132">Common_InputFunctions.Utility_DisplayArrayInTable(Fertiliser_SourceData.Fertiliser_Products_Data1(),FertiliserProducts[[#Headers],[Include or Exclude]], 0,4)</f>
        <v/>
      </c>
      <c r="V132" s="182" t="str" cm="1">
        <f t="array" ref="V132">Common_InputFunctions.Utility_DisplayArrayInTable(Fertiliser_SourceData.Fertiliser_Products_Data1(),FertiliserProducts[[#Headers],[Include or Exclude]], 0,4)</f>
        <v/>
      </c>
      <c r="W132" s="182" t="str" cm="1">
        <f t="array" ref="W132">Common_InputFunctions.Utility_DisplayArrayInTable(Fertiliser_SourceData.Fertiliser_Products_Data1(),FertiliserProducts[[#Headers],[Include or Exclude]], 0,4)</f>
        <v/>
      </c>
      <c r="X132" s="182" t="str" cm="1">
        <f t="array" ref="X132">Common_InputFunctions.Utility_DisplayArrayInTable(Fertiliser_SourceData.Fertiliser_Products_Data1(),FertiliserProducts[[#Headers],[Include or Exclude]], 0,4)</f>
        <v/>
      </c>
      <c r="Y132" s="182" t="str" cm="1">
        <f t="array" ref="Y132">Common_InputFunctions.Utility_DisplayArrayInTable(Fertiliser_SourceData.Fertiliser_Products_Data1(),FertiliserProducts[[#Headers],[Include or Exclude]], 0,4)</f>
        <v/>
      </c>
      <c r="Z132" s="182" t="str" cm="1">
        <f t="array" ref="Z132">Common_InputFunctions.Utility_DisplayArrayInTable(Fertiliser_SourceData.Fertiliser_Products_Data1(),FertiliserProducts[[#Headers],[Include or Exclude]], 0,4)</f>
        <v/>
      </c>
      <c r="AA132" s="182" t="str" cm="1">
        <f t="array" ref="AA132">Common_InputFunctions.Utility_DisplayArrayInTable(Fertiliser_SourceData.Fertiliser_Products_Data1(),FertiliserProducts[[#Headers],[Include or Exclude]], 0,4)</f>
        <v/>
      </c>
      <c r="AB132" s="182" t="str" cm="1">
        <f t="array" ref="AB132">Common_InputFunctions.Utility_DisplayArrayInTable(Fertiliser_SourceData.Fertiliser_Products_Data1(),FertiliserProducts[[#Headers],[Include or Exclude]], 0,4)</f>
        <v/>
      </c>
      <c r="AC132" s="182" t="str" cm="1">
        <f t="array" ref="AC132">Common_InputFunctions.Utility_DisplayArrayInTable(Fertiliser_SourceData.Fertiliser_Products_Data1(),FertiliserProducts[[#Headers],[Include or Exclude]], 0,4)</f>
        <v/>
      </c>
      <c r="AD132" s="182" t="str" cm="1">
        <f t="array" ref="AD132">Common_InputFunctions.Utility_DisplayArrayInTable(Fertiliser_SourceData.Fertiliser_Products_Data1(),FertiliserProducts[[#Headers],[Include or Exclude]], 0,4)</f>
        <v/>
      </c>
      <c r="AE132" s="182" t="str" cm="1">
        <f t="array" ref="AE132">Common_InputFunctions.Utility_DisplayArrayInTable(Fertiliser_SourceData.Fertiliser_Products_Data1(),FertiliserProducts[[#Headers],[Include or Exclude]], 0,4)</f>
        <v/>
      </c>
    </row>
    <row r="133" spans="4:31" ht="20.100000000000001" customHeight="1" x14ac:dyDescent="0.25">
      <c r="D133" s="182" t="str" cm="1">
        <f t="array" ref="D133">Common_InputFunctions.Utility_DisplayArrayInTable(Fertiliser_SourceData.Fertiliser_Products_Data1(),FertiliserProducts[[#Headers],[Include or Exclude]], -1)</f>
        <v/>
      </c>
      <c r="E133" s="182" t="str" cm="1">
        <f t="array" ref="E133">Common_InputFunctions.Utility_DisplayArrayInTable(Fertiliser_SourceData.Fertiliser_Products_Data1(),FertiliserProducts[[#Headers],[Include or Exclude]], 0)</f>
        <v/>
      </c>
      <c r="F133" s="182" t="str" cm="1">
        <f t="array" ref="F133">Common_InputFunctions.Utility_DisplayArrayInTable(Fertiliser_SourceData.Fertiliser_Products_Data1(),FertiliserProducts[[#Headers],[Include or Exclude]], 0)</f>
        <v/>
      </c>
      <c r="G133" s="182" t="str" cm="1">
        <f t="array" ref="G133">Common_InputFunctions.Utility_DisplayArrayInTable(Fertiliser_SourceData.Fertiliser_Products_Data1(),FertiliserProducts[[#Headers],[Include or Exclude]], 0)</f>
        <v/>
      </c>
      <c r="H133" s="182" t="str" cm="1">
        <f t="array" ref="H133">Common_InputFunctions.Utility_DisplayArrayInTable(Fertiliser_SourceData.Fertiliser_Products_Data1(),FertiliserProducts[[#Headers],[Include or Exclude]], 0,4)</f>
        <v/>
      </c>
      <c r="I133" s="182" t="str" cm="1">
        <f t="array" ref="I133">Common_InputFunctions.Utility_DisplayArrayInTable(Fertiliser_SourceData.Fertiliser_Products_Data1(),FertiliserProducts[[#Headers],[Include or Exclude]], 0,4)</f>
        <v/>
      </c>
      <c r="J133" s="182" t="str" cm="1">
        <f t="array" ref="J133">Common_InputFunctions.Utility_DisplayArrayInTable(Fertiliser_SourceData.Fertiliser_Products_Data1(),FertiliserProducts[[#Headers],[Include or Exclude]], 0,4)</f>
        <v/>
      </c>
      <c r="K133" s="182" t="str" cm="1">
        <f t="array" ref="K133">Common_InputFunctions.Utility_DisplayArrayInTable(Fertiliser_SourceData.Fertiliser_Products_Data1(),FertiliserProducts[[#Headers],[Include or Exclude]], 0,4)</f>
        <v/>
      </c>
      <c r="L133" s="182" t="str" cm="1">
        <f t="array" ref="L133">Common_InputFunctions.Utility_DisplayArrayInTable(Fertiliser_SourceData.Fertiliser_Products_Data1(),FertiliserProducts[[#Headers],[Include or Exclude]], 0,4)</f>
        <v/>
      </c>
      <c r="M133" s="182" t="str" cm="1">
        <f t="array" ref="M133">Common_InputFunctions.Utility_DisplayArrayInTable(Fertiliser_SourceData.Fertiliser_Products_Data1(),FertiliserProducts[[#Headers],[Include or Exclude]], 0,4)</f>
        <v/>
      </c>
      <c r="N133" s="182" t="str" cm="1">
        <f t="array" ref="N133">Common_InputFunctions.Utility_DisplayArrayInTable(Fertiliser_SourceData.Fertiliser_Products_Data1(),FertiliserProducts[[#Headers],[Include or Exclude]], 0,4)</f>
        <v/>
      </c>
      <c r="O133" s="182" t="str" cm="1">
        <f t="array" ref="O133">Common_InputFunctions.Utility_DisplayArrayInTable(Fertiliser_SourceData.Fertiliser_Products_Data1(),FertiliserProducts[[#Headers],[Include or Exclude]], 0,4)</f>
        <v/>
      </c>
      <c r="P133" s="182" t="str" cm="1">
        <f t="array" ref="P133">Common_InputFunctions.Utility_DisplayArrayInTable(Fertiliser_SourceData.Fertiliser_Products_Data1(),FertiliserProducts[[#Headers],[Include or Exclude]], 0,4)</f>
        <v/>
      </c>
      <c r="Q133" s="182" t="str" cm="1">
        <f t="array" ref="Q133">Common_InputFunctions.Utility_DisplayArrayInTable(Fertiliser_SourceData.Fertiliser_Products_Data1(),FertiliserProducts[[#Headers],[Include or Exclude]], 0,4)</f>
        <v/>
      </c>
      <c r="R133" s="182" t="str" cm="1">
        <f t="array" ref="R133">Common_InputFunctions.Utility_DisplayArrayInTable(Fertiliser_SourceData.Fertiliser_Products_Data1(),FertiliserProducts[[#Headers],[Include or Exclude]], 0,4)</f>
        <v/>
      </c>
      <c r="S133" s="182" t="str" cm="1">
        <f t="array" ref="S133">Common_InputFunctions.Utility_DisplayArrayInTable(Fertiliser_SourceData.Fertiliser_Products_Data1(),FertiliserProducts[[#Headers],[Include or Exclude]], 0,4)</f>
        <v/>
      </c>
      <c r="T133" s="182" t="str" cm="1">
        <f t="array" ref="T133">Common_InputFunctions.Utility_DisplayArrayInTable(Fertiliser_SourceData.Fertiliser_Products_Data1(),FertiliserProducts[[#Headers],[Include or Exclude]], 0,4)</f>
        <v/>
      </c>
      <c r="U133" s="182" t="str" cm="1">
        <f t="array" ref="U133">Common_InputFunctions.Utility_DisplayArrayInTable(Fertiliser_SourceData.Fertiliser_Products_Data1(),FertiliserProducts[[#Headers],[Include or Exclude]], 0,4)</f>
        <v/>
      </c>
      <c r="V133" s="182" t="str" cm="1">
        <f t="array" ref="V133">Common_InputFunctions.Utility_DisplayArrayInTable(Fertiliser_SourceData.Fertiliser_Products_Data1(),FertiliserProducts[[#Headers],[Include or Exclude]], 0,4)</f>
        <v/>
      </c>
      <c r="W133" s="182" t="str" cm="1">
        <f t="array" ref="W133">Common_InputFunctions.Utility_DisplayArrayInTable(Fertiliser_SourceData.Fertiliser_Products_Data1(),FertiliserProducts[[#Headers],[Include or Exclude]], 0,4)</f>
        <v/>
      </c>
      <c r="X133" s="182" t="str" cm="1">
        <f t="array" ref="X133">Common_InputFunctions.Utility_DisplayArrayInTable(Fertiliser_SourceData.Fertiliser_Products_Data1(),FertiliserProducts[[#Headers],[Include or Exclude]], 0,4)</f>
        <v/>
      </c>
      <c r="Y133" s="182" t="str" cm="1">
        <f t="array" ref="Y133">Common_InputFunctions.Utility_DisplayArrayInTable(Fertiliser_SourceData.Fertiliser_Products_Data1(),FertiliserProducts[[#Headers],[Include or Exclude]], 0,4)</f>
        <v/>
      </c>
      <c r="Z133" s="182" t="str" cm="1">
        <f t="array" ref="Z133">Common_InputFunctions.Utility_DisplayArrayInTable(Fertiliser_SourceData.Fertiliser_Products_Data1(),FertiliserProducts[[#Headers],[Include or Exclude]], 0,4)</f>
        <v/>
      </c>
      <c r="AA133" s="182" t="str" cm="1">
        <f t="array" ref="AA133">Common_InputFunctions.Utility_DisplayArrayInTable(Fertiliser_SourceData.Fertiliser_Products_Data1(),FertiliserProducts[[#Headers],[Include or Exclude]], 0,4)</f>
        <v/>
      </c>
      <c r="AB133" s="182" t="str" cm="1">
        <f t="array" ref="AB133">Common_InputFunctions.Utility_DisplayArrayInTable(Fertiliser_SourceData.Fertiliser_Products_Data1(),FertiliserProducts[[#Headers],[Include or Exclude]], 0,4)</f>
        <v/>
      </c>
      <c r="AC133" s="182" t="str" cm="1">
        <f t="array" ref="AC133">Common_InputFunctions.Utility_DisplayArrayInTable(Fertiliser_SourceData.Fertiliser_Products_Data1(),FertiliserProducts[[#Headers],[Include or Exclude]], 0,4)</f>
        <v/>
      </c>
      <c r="AD133" s="182" t="str" cm="1">
        <f t="array" ref="AD133">Common_InputFunctions.Utility_DisplayArrayInTable(Fertiliser_SourceData.Fertiliser_Products_Data1(),FertiliserProducts[[#Headers],[Include or Exclude]], 0,4)</f>
        <v/>
      </c>
      <c r="AE133" s="182" t="str" cm="1">
        <f t="array" ref="AE133">Common_InputFunctions.Utility_DisplayArrayInTable(Fertiliser_SourceData.Fertiliser_Products_Data1(),FertiliserProducts[[#Headers],[Include or Exclude]], 0,4)</f>
        <v/>
      </c>
    </row>
    <row r="134" spans="4:31" ht="20.100000000000001" customHeight="1" x14ac:dyDescent="0.25">
      <c r="D134" s="182" t="str" cm="1">
        <f t="array" ref="D134">Common_InputFunctions.Utility_DisplayArrayInTable(Fertiliser_SourceData.Fertiliser_Products_Data1(),FertiliserProducts[[#Headers],[Include or Exclude]], -1)</f>
        <v/>
      </c>
      <c r="E134" s="182" t="str" cm="1">
        <f t="array" ref="E134">Common_InputFunctions.Utility_DisplayArrayInTable(Fertiliser_SourceData.Fertiliser_Products_Data1(),FertiliserProducts[[#Headers],[Include or Exclude]], 0)</f>
        <v/>
      </c>
      <c r="F134" s="182" t="str" cm="1">
        <f t="array" ref="F134">Common_InputFunctions.Utility_DisplayArrayInTable(Fertiliser_SourceData.Fertiliser_Products_Data1(),FertiliserProducts[[#Headers],[Include or Exclude]], 0)</f>
        <v/>
      </c>
      <c r="G134" s="182" t="str" cm="1">
        <f t="array" ref="G134">Common_InputFunctions.Utility_DisplayArrayInTable(Fertiliser_SourceData.Fertiliser_Products_Data1(),FertiliserProducts[[#Headers],[Include or Exclude]], 0)</f>
        <v/>
      </c>
      <c r="H134" s="182" t="str" cm="1">
        <f t="array" ref="H134">Common_InputFunctions.Utility_DisplayArrayInTable(Fertiliser_SourceData.Fertiliser_Products_Data1(),FertiliserProducts[[#Headers],[Include or Exclude]], 0,4)</f>
        <v/>
      </c>
      <c r="I134" s="182" t="str" cm="1">
        <f t="array" ref="I134">Common_InputFunctions.Utility_DisplayArrayInTable(Fertiliser_SourceData.Fertiliser_Products_Data1(),FertiliserProducts[[#Headers],[Include or Exclude]], 0,4)</f>
        <v/>
      </c>
      <c r="J134" s="182" t="str" cm="1">
        <f t="array" ref="J134">Common_InputFunctions.Utility_DisplayArrayInTable(Fertiliser_SourceData.Fertiliser_Products_Data1(),FertiliserProducts[[#Headers],[Include or Exclude]], 0,4)</f>
        <v/>
      </c>
      <c r="K134" s="182" t="str" cm="1">
        <f t="array" ref="K134">Common_InputFunctions.Utility_DisplayArrayInTable(Fertiliser_SourceData.Fertiliser_Products_Data1(),FertiliserProducts[[#Headers],[Include or Exclude]], 0,4)</f>
        <v/>
      </c>
      <c r="L134" s="182" t="str" cm="1">
        <f t="array" ref="L134">Common_InputFunctions.Utility_DisplayArrayInTable(Fertiliser_SourceData.Fertiliser_Products_Data1(),FertiliserProducts[[#Headers],[Include or Exclude]], 0,4)</f>
        <v/>
      </c>
      <c r="M134" s="182" t="str" cm="1">
        <f t="array" ref="M134">Common_InputFunctions.Utility_DisplayArrayInTable(Fertiliser_SourceData.Fertiliser_Products_Data1(),FertiliserProducts[[#Headers],[Include or Exclude]], 0,4)</f>
        <v/>
      </c>
      <c r="N134" s="182" t="str" cm="1">
        <f t="array" ref="N134">Common_InputFunctions.Utility_DisplayArrayInTable(Fertiliser_SourceData.Fertiliser_Products_Data1(),FertiliserProducts[[#Headers],[Include or Exclude]], 0,4)</f>
        <v/>
      </c>
      <c r="O134" s="182" t="str" cm="1">
        <f t="array" ref="O134">Common_InputFunctions.Utility_DisplayArrayInTable(Fertiliser_SourceData.Fertiliser_Products_Data1(),FertiliserProducts[[#Headers],[Include or Exclude]], 0,4)</f>
        <v/>
      </c>
      <c r="P134" s="182" t="str" cm="1">
        <f t="array" ref="P134">Common_InputFunctions.Utility_DisplayArrayInTable(Fertiliser_SourceData.Fertiliser_Products_Data1(),FertiliserProducts[[#Headers],[Include or Exclude]], 0,4)</f>
        <v/>
      </c>
      <c r="Q134" s="182" t="str" cm="1">
        <f t="array" ref="Q134">Common_InputFunctions.Utility_DisplayArrayInTable(Fertiliser_SourceData.Fertiliser_Products_Data1(),FertiliserProducts[[#Headers],[Include or Exclude]], 0,4)</f>
        <v/>
      </c>
      <c r="R134" s="182" t="str" cm="1">
        <f t="array" ref="R134">Common_InputFunctions.Utility_DisplayArrayInTable(Fertiliser_SourceData.Fertiliser_Products_Data1(),FertiliserProducts[[#Headers],[Include or Exclude]], 0,4)</f>
        <v/>
      </c>
      <c r="S134" s="182" t="str" cm="1">
        <f t="array" ref="S134">Common_InputFunctions.Utility_DisplayArrayInTable(Fertiliser_SourceData.Fertiliser_Products_Data1(),FertiliserProducts[[#Headers],[Include or Exclude]], 0,4)</f>
        <v/>
      </c>
      <c r="T134" s="182" t="str" cm="1">
        <f t="array" ref="T134">Common_InputFunctions.Utility_DisplayArrayInTable(Fertiliser_SourceData.Fertiliser_Products_Data1(),FertiliserProducts[[#Headers],[Include or Exclude]], 0,4)</f>
        <v/>
      </c>
      <c r="U134" s="182" t="str" cm="1">
        <f t="array" ref="U134">Common_InputFunctions.Utility_DisplayArrayInTable(Fertiliser_SourceData.Fertiliser_Products_Data1(),FertiliserProducts[[#Headers],[Include or Exclude]], 0,4)</f>
        <v/>
      </c>
      <c r="V134" s="182" t="str" cm="1">
        <f t="array" ref="V134">Common_InputFunctions.Utility_DisplayArrayInTable(Fertiliser_SourceData.Fertiliser_Products_Data1(),FertiliserProducts[[#Headers],[Include or Exclude]], 0,4)</f>
        <v/>
      </c>
      <c r="W134" s="182" t="str" cm="1">
        <f t="array" ref="W134">Common_InputFunctions.Utility_DisplayArrayInTable(Fertiliser_SourceData.Fertiliser_Products_Data1(),FertiliserProducts[[#Headers],[Include or Exclude]], 0,4)</f>
        <v/>
      </c>
      <c r="X134" s="182" t="str" cm="1">
        <f t="array" ref="X134">Common_InputFunctions.Utility_DisplayArrayInTable(Fertiliser_SourceData.Fertiliser_Products_Data1(),FertiliserProducts[[#Headers],[Include or Exclude]], 0,4)</f>
        <v/>
      </c>
      <c r="Y134" s="182" t="str" cm="1">
        <f t="array" ref="Y134">Common_InputFunctions.Utility_DisplayArrayInTable(Fertiliser_SourceData.Fertiliser_Products_Data1(),FertiliserProducts[[#Headers],[Include or Exclude]], 0,4)</f>
        <v/>
      </c>
      <c r="Z134" s="182" t="str" cm="1">
        <f t="array" ref="Z134">Common_InputFunctions.Utility_DisplayArrayInTable(Fertiliser_SourceData.Fertiliser_Products_Data1(),FertiliserProducts[[#Headers],[Include or Exclude]], 0,4)</f>
        <v/>
      </c>
      <c r="AA134" s="182" t="str" cm="1">
        <f t="array" ref="AA134">Common_InputFunctions.Utility_DisplayArrayInTable(Fertiliser_SourceData.Fertiliser_Products_Data1(),FertiliserProducts[[#Headers],[Include or Exclude]], 0,4)</f>
        <v/>
      </c>
      <c r="AB134" s="182" t="str" cm="1">
        <f t="array" ref="AB134">Common_InputFunctions.Utility_DisplayArrayInTable(Fertiliser_SourceData.Fertiliser_Products_Data1(),FertiliserProducts[[#Headers],[Include or Exclude]], 0,4)</f>
        <v/>
      </c>
      <c r="AC134" s="182" t="str" cm="1">
        <f t="array" ref="AC134">Common_InputFunctions.Utility_DisplayArrayInTable(Fertiliser_SourceData.Fertiliser_Products_Data1(),FertiliserProducts[[#Headers],[Include or Exclude]], 0,4)</f>
        <v/>
      </c>
      <c r="AD134" s="182" t="str" cm="1">
        <f t="array" ref="AD134">Common_InputFunctions.Utility_DisplayArrayInTable(Fertiliser_SourceData.Fertiliser_Products_Data1(),FertiliserProducts[[#Headers],[Include or Exclude]], 0,4)</f>
        <v/>
      </c>
      <c r="AE134" s="182" t="str" cm="1">
        <f t="array" ref="AE134">Common_InputFunctions.Utility_DisplayArrayInTable(Fertiliser_SourceData.Fertiliser_Products_Data1(),FertiliserProducts[[#Headers],[Include or Exclude]], 0,4)</f>
        <v/>
      </c>
    </row>
    <row r="135" spans="4:31" ht="20.100000000000001" customHeight="1" x14ac:dyDescent="0.25">
      <c r="D135" s="182" t="str" cm="1">
        <f t="array" ref="D135">Common_InputFunctions.Utility_DisplayArrayInTable(Fertiliser_SourceData.Fertiliser_Products_Data1(),FertiliserProducts[[#Headers],[Include or Exclude]], -1)</f>
        <v/>
      </c>
      <c r="E135" s="182" t="str" cm="1">
        <f t="array" ref="E135">Common_InputFunctions.Utility_DisplayArrayInTable(Fertiliser_SourceData.Fertiliser_Products_Data1(),FertiliserProducts[[#Headers],[Include or Exclude]], 0)</f>
        <v/>
      </c>
      <c r="F135" s="182" t="str" cm="1">
        <f t="array" ref="F135">Common_InputFunctions.Utility_DisplayArrayInTable(Fertiliser_SourceData.Fertiliser_Products_Data1(),FertiliserProducts[[#Headers],[Include or Exclude]], 0)</f>
        <v/>
      </c>
      <c r="G135" s="182" t="str" cm="1">
        <f t="array" ref="G135">Common_InputFunctions.Utility_DisplayArrayInTable(Fertiliser_SourceData.Fertiliser_Products_Data1(),FertiliserProducts[[#Headers],[Include or Exclude]], 0)</f>
        <v/>
      </c>
      <c r="H135" s="182" t="str" cm="1">
        <f t="array" ref="H135">Common_InputFunctions.Utility_DisplayArrayInTable(Fertiliser_SourceData.Fertiliser_Products_Data1(),FertiliserProducts[[#Headers],[Include or Exclude]], 0,4)</f>
        <v/>
      </c>
      <c r="I135" s="182" t="str" cm="1">
        <f t="array" ref="I135">Common_InputFunctions.Utility_DisplayArrayInTable(Fertiliser_SourceData.Fertiliser_Products_Data1(),FertiliserProducts[[#Headers],[Include or Exclude]], 0,4)</f>
        <v/>
      </c>
      <c r="J135" s="182" t="str" cm="1">
        <f t="array" ref="J135">Common_InputFunctions.Utility_DisplayArrayInTable(Fertiliser_SourceData.Fertiliser_Products_Data1(),FertiliserProducts[[#Headers],[Include or Exclude]], 0,4)</f>
        <v/>
      </c>
      <c r="K135" s="182" t="str" cm="1">
        <f t="array" ref="K135">Common_InputFunctions.Utility_DisplayArrayInTable(Fertiliser_SourceData.Fertiliser_Products_Data1(),FertiliserProducts[[#Headers],[Include or Exclude]], 0,4)</f>
        <v/>
      </c>
      <c r="L135" s="182" t="str" cm="1">
        <f t="array" ref="L135">Common_InputFunctions.Utility_DisplayArrayInTable(Fertiliser_SourceData.Fertiliser_Products_Data1(),FertiliserProducts[[#Headers],[Include or Exclude]], 0,4)</f>
        <v/>
      </c>
      <c r="M135" s="182" t="str" cm="1">
        <f t="array" ref="M135">Common_InputFunctions.Utility_DisplayArrayInTable(Fertiliser_SourceData.Fertiliser_Products_Data1(),FertiliserProducts[[#Headers],[Include or Exclude]], 0,4)</f>
        <v/>
      </c>
      <c r="N135" s="182" t="str" cm="1">
        <f t="array" ref="N135">Common_InputFunctions.Utility_DisplayArrayInTable(Fertiliser_SourceData.Fertiliser_Products_Data1(),FertiliserProducts[[#Headers],[Include or Exclude]], 0,4)</f>
        <v/>
      </c>
      <c r="O135" s="182" t="str" cm="1">
        <f t="array" ref="O135">Common_InputFunctions.Utility_DisplayArrayInTable(Fertiliser_SourceData.Fertiliser_Products_Data1(),FertiliserProducts[[#Headers],[Include or Exclude]], 0,4)</f>
        <v/>
      </c>
      <c r="P135" s="182" t="str" cm="1">
        <f t="array" ref="P135">Common_InputFunctions.Utility_DisplayArrayInTable(Fertiliser_SourceData.Fertiliser_Products_Data1(),FertiliserProducts[[#Headers],[Include or Exclude]], 0,4)</f>
        <v/>
      </c>
      <c r="Q135" s="182" t="str" cm="1">
        <f t="array" ref="Q135">Common_InputFunctions.Utility_DisplayArrayInTable(Fertiliser_SourceData.Fertiliser_Products_Data1(),FertiliserProducts[[#Headers],[Include or Exclude]], 0,4)</f>
        <v/>
      </c>
      <c r="R135" s="182" t="str" cm="1">
        <f t="array" ref="R135">Common_InputFunctions.Utility_DisplayArrayInTable(Fertiliser_SourceData.Fertiliser_Products_Data1(),FertiliserProducts[[#Headers],[Include or Exclude]], 0,4)</f>
        <v/>
      </c>
      <c r="S135" s="182" t="str" cm="1">
        <f t="array" ref="S135">Common_InputFunctions.Utility_DisplayArrayInTable(Fertiliser_SourceData.Fertiliser_Products_Data1(),FertiliserProducts[[#Headers],[Include or Exclude]], 0,4)</f>
        <v/>
      </c>
      <c r="T135" s="182" t="str" cm="1">
        <f t="array" ref="T135">Common_InputFunctions.Utility_DisplayArrayInTable(Fertiliser_SourceData.Fertiliser_Products_Data1(),FertiliserProducts[[#Headers],[Include or Exclude]], 0,4)</f>
        <v/>
      </c>
      <c r="U135" s="182" t="str" cm="1">
        <f t="array" ref="U135">Common_InputFunctions.Utility_DisplayArrayInTable(Fertiliser_SourceData.Fertiliser_Products_Data1(),FertiliserProducts[[#Headers],[Include or Exclude]], 0,4)</f>
        <v/>
      </c>
      <c r="V135" s="182" t="str" cm="1">
        <f t="array" ref="V135">Common_InputFunctions.Utility_DisplayArrayInTable(Fertiliser_SourceData.Fertiliser_Products_Data1(),FertiliserProducts[[#Headers],[Include or Exclude]], 0,4)</f>
        <v/>
      </c>
      <c r="W135" s="182" t="str" cm="1">
        <f t="array" ref="W135">Common_InputFunctions.Utility_DisplayArrayInTable(Fertiliser_SourceData.Fertiliser_Products_Data1(),FertiliserProducts[[#Headers],[Include or Exclude]], 0,4)</f>
        <v/>
      </c>
      <c r="X135" s="182" t="str" cm="1">
        <f t="array" ref="X135">Common_InputFunctions.Utility_DisplayArrayInTable(Fertiliser_SourceData.Fertiliser_Products_Data1(),FertiliserProducts[[#Headers],[Include or Exclude]], 0,4)</f>
        <v/>
      </c>
      <c r="Y135" s="182" t="str" cm="1">
        <f t="array" ref="Y135">Common_InputFunctions.Utility_DisplayArrayInTable(Fertiliser_SourceData.Fertiliser_Products_Data1(),FertiliserProducts[[#Headers],[Include or Exclude]], 0,4)</f>
        <v/>
      </c>
      <c r="Z135" s="182" t="str" cm="1">
        <f t="array" ref="Z135">Common_InputFunctions.Utility_DisplayArrayInTable(Fertiliser_SourceData.Fertiliser_Products_Data1(),FertiliserProducts[[#Headers],[Include or Exclude]], 0,4)</f>
        <v/>
      </c>
      <c r="AA135" s="182" t="str" cm="1">
        <f t="array" ref="AA135">Common_InputFunctions.Utility_DisplayArrayInTable(Fertiliser_SourceData.Fertiliser_Products_Data1(),FertiliserProducts[[#Headers],[Include or Exclude]], 0,4)</f>
        <v/>
      </c>
      <c r="AB135" s="182" t="str" cm="1">
        <f t="array" ref="AB135">Common_InputFunctions.Utility_DisplayArrayInTable(Fertiliser_SourceData.Fertiliser_Products_Data1(),FertiliserProducts[[#Headers],[Include or Exclude]], 0,4)</f>
        <v/>
      </c>
      <c r="AC135" s="182" t="str" cm="1">
        <f t="array" ref="AC135">Common_InputFunctions.Utility_DisplayArrayInTable(Fertiliser_SourceData.Fertiliser_Products_Data1(),FertiliserProducts[[#Headers],[Include or Exclude]], 0,4)</f>
        <v/>
      </c>
      <c r="AD135" s="182" t="str" cm="1">
        <f t="array" ref="AD135">Common_InputFunctions.Utility_DisplayArrayInTable(Fertiliser_SourceData.Fertiliser_Products_Data1(),FertiliserProducts[[#Headers],[Include or Exclude]], 0,4)</f>
        <v/>
      </c>
      <c r="AE135" s="182" t="str" cm="1">
        <f t="array" ref="AE135">Common_InputFunctions.Utility_DisplayArrayInTable(Fertiliser_SourceData.Fertiliser_Products_Data1(),FertiliserProducts[[#Headers],[Include or Exclude]], 0,4)</f>
        <v/>
      </c>
    </row>
    <row r="136" spans="4:31" ht="20.100000000000001" customHeight="1" x14ac:dyDescent="0.25">
      <c r="D136" s="182" t="str" cm="1">
        <f t="array" ref="D136">Common_InputFunctions.Utility_DisplayArrayInTable(Fertiliser_SourceData.Fertiliser_Products_Data1(),FertiliserProducts[[#Headers],[Include or Exclude]], -1)</f>
        <v/>
      </c>
      <c r="E136" s="182" t="str" cm="1">
        <f t="array" ref="E136">Common_InputFunctions.Utility_DisplayArrayInTable(Fertiliser_SourceData.Fertiliser_Products_Data1(),FertiliserProducts[[#Headers],[Include or Exclude]], 0)</f>
        <v/>
      </c>
      <c r="F136" s="182" t="str" cm="1">
        <f t="array" ref="F136">Common_InputFunctions.Utility_DisplayArrayInTable(Fertiliser_SourceData.Fertiliser_Products_Data1(),FertiliserProducts[[#Headers],[Include or Exclude]], 0)</f>
        <v/>
      </c>
      <c r="G136" s="182" t="str" cm="1">
        <f t="array" ref="G136">Common_InputFunctions.Utility_DisplayArrayInTable(Fertiliser_SourceData.Fertiliser_Products_Data1(),FertiliserProducts[[#Headers],[Include or Exclude]], 0)</f>
        <v/>
      </c>
      <c r="H136" s="182" t="str" cm="1">
        <f t="array" ref="H136">Common_InputFunctions.Utility_DisplayArrayInTable(Fertiliser_SourceData.Fertiliser_Products_Data1(),FertiliserProducts[[#Headers],[Include or Exclude]], 0,4)</f>
        <v/>
      </c>
      <c r="I136" s="182" t="str" cm="1">
        <f t="array" ref="I136">Common_InputFunctions.Utility_DisplayArrayInTable(Fertiliser_SourceData.Fertiliser_Products_Data1(),FertiliserProducts[[#Headers],[Include or Exclude]], 0,4)</f>
        <v/>
      </c>
      <c r="J136" s="182" t="str" cm="1">
        <f t="array" ref="J136">Common_InputFunctions.Utility_DisplayArrayInTable(Fertiliser_SourceData.Fertiliser_Products_Data1(),FertiliserProducts[[#Headers],[Include or Exclude]], 0,4)</f>
        <v/>
      </c>
      <c r="K136" s="182" t="str" cm="1">
        <f t="array" ref="K136">Common_InputFunctions.Utility_DisplayArrayInTable(Fertiliser_SourceData.Fertiliser_Products_Data1(),FertiliserProducts[[#Headers],[Include or Exclude]], 0,4)</f>
        <v/>
      </c>
      <c r="L136" s="182" t="str" cm="1">
        <f t="array" ref="L136">Common_InputFunctions.Utility_DisplayArrayInTable(Fertiliser_SourceData.Fertiliser_Products_Data1(),FertiliserProducts[[#Headers],[Include or Exclude]], 0,4)</f>
        <v/>
      </c>
      <c r="M136" s="182" t="str" cm="1">
        <f t="array" ref="M136">Common_InputFunctions.Utility_DisplayArrayInTable(Fertiliser_SourceData.Fertiliser_Products_Data1(),FertiliserProducts[[#Headers],[Include or Exclude]], 0,4)</f>
        <v/>
      </c>
      <c r="N136" s="182" t="str" cm="1">
        <f t="array" ref="N136">Common_InputFunctions.Utility_DisplayArrayInTable(Fertiliser_SourceData.Fertiliser_Products_Data1(),FertiliserProducts[[#Headers],[Include or Exclude]], 0,4)</f>
        <v/>
      </c>
      <c r="O136" s="182" t="str" cm="1">
        <f t="array" ref="O136">Common_InputFunctions.Utility_DisplayArrayInTable(Fertiliser_SourceData.Fertiliser_Products_Data1(),FertiliserProducts[[#Headers],[Include or Exclude]], 0,4)</f>
        <v/>
      </c>
      <c r="P136" s="182" t="str" cm="1">
        <f t="array" ref="P136">Common_InputFunctions.Utility_DisplayArrayInTable(Fertiliser_SourceData.Fertiliser_Products_Data1(),FertiliserProducts[[#Headers],[Include or Exclude]], 0,4)</f>
        <v/>
      </c>
      <c r="Q136" s="182" t="str" cm="1">
        <f t="array" ref="Q136">Common_InputFunctions.Utility_DisplayArrayInTable(Fertiliser_SourceData.Fertiliser_Products_Data1(),FertiliserProducts[[#Headers],[Include or Exclude]], 0,4)</f>
        <v/>
      </c>
      <c r="R136" s="182" t="str" cm="1">
        <f t="array" ref="R136">Common_InputFunctions.Utility_DisplayArrayInTable(Fertiliser_SourceData.Fertiliser_Products_Data1(),FertiliserProducts[[#Headers],[Include or Exclude]], 0,4)</f>
        <v/>
      </c>
      <c r="S136" s="182" t="str" cm="1">
        <f t="array" ref="S136">Common_InputFunctions.Utility_DisplayArrayInTable(Fertiliser_SourceData.Fertiliser_Products_Data1(),FertiliserProducts[[#Headers],[Include or Exclude]], 0,4)</f>
        <v/>
      </c>
      <c r="T136" s="182" t="str" cm="1">
        <f t="array" ref="T136">Common_InputFunctions.Utility_DisplayArrayInTable(Fertiliser_SourceData.Fertiliser_Products_Data1(),FertiliserProducts[[#Headers],[Include or Exclude]], 0,4)</f>
        <v/>
      </c>
      <c r="U136" s="182" t="str" cm="1">
        <f t="array" ref="U136">Common_InputFunctions.Utility_DisplayArrayInTable(Fertiliser_SourceData.Fertiliser_Products_Data1(),FertiliserProducts[[#Headers],[Include or Exclude]], 0,4)</f>
        <v/>
      </c>
      <c r="V136" s="182" t="str" cm="1">
        <f t="array" ref="V136">Common_InputFunctions.Utility_DisplayArrayInTable(Fertiliser_SourceData.Fertiliser_Products_Data1(),FertiliserProducts[[#Headers],[Include or Exclude]], 0,4)</f>
        <v/>
      </c>
      <c r="W136" s="182" t="str" cm="1">
        <f t="array" ref="W136">Common_InputFunctions.Utility_DisplayArrayInTable(Fertiliser_SourceData.Fertiliser_Products_Data1(),FertiliserProducts[[#Headers],[Include or Exclude]], 0,4)</f>
        <v/>
      </c>
      <c r="X136" s="182" t="str" cm="1">
        <f t="array" ref="X136">Common_InputFunctions.Utility_DisplayArrayInTable(Fertiliser_SourceData.Fertiliser_Products_Data1(),FertiliserProducts[[#Headers],[Include or Exclude]], 0,4)</f>
        <v/>
      </c>
      <c r="Y136" s="182" t="str" cm="1">
        <f t="array" ref="Y136">Common_InputFunctions.Utility_DisplayArrayInTable(Fertiliser_SourceData.Fertiliser_Products_Data1(),FertiliserProducts[[#Headers],[Include or Exclude]], 0,4)</f>
        <v/>
      </c>
      <c r="Z136" s="182" t="str" cm="1">
        <f t="array" ref="Z136">Common_InputFunctions.Utility_DisplayArrayInTable(Fertiliser_SourceData.Fertiliser_Products_Data1(),FertiliserProducts[[#Headers],[Include or Exclude]], 0,4)</f>
        <v/>
      </c>
      <c r="AA136" s="182" t="str" cm="1">
        <f t="array" ref="AA136">Common_InputFunctions.Utility_DisplayArrayInTable(Fertiliser_SourceData.Fertiliser_Products_Data1(),FertiliserProducts[[#Headers],[Include or Exclude]], 0,4)</f>
        <v/>
      </c>
      <c r="AB136" s="182" t="str" cm="1">
        <f t="array" ref="AB136">Common_InputFunctions.Utility_DisplayArrayInTable(Fertiliser_SourceData.Fertiliser_Products_Data1(),FertiliserProducts[[#Headers],[Include or Exclude]], 0,4)</f>
        <v/>
      </c>
      <c r="AC136" s="182" t="str" cm="1">
        <f t="array" ref="AC136">Common_InputFunctions.Utility_DisplayArrayInTable(Fertiliser_SourceData.Fertiliser_Products_Data1(),FertiliserProducts[[#Headers],[Include or Exclude]], 0,4)</f>
        <v/>
      </c>
      <c r="AD136" s="182" t="str" cm="1">
        <f t="array" ref="AD136">Common_InputFunctions.Utility_DisplayArrayInTable(Fertiliser_SourceData.Fertiliser_Products_Data1(),FertiliserProducts[[#Headers],[Include or Exclude]], 0,4)</f>
        <v/>
      </c>
      <c r="AE136" s="182" t="str" cm="1">
        <f t="array" ref="AE136">Common_InputFunctions.Utility_DisplayArrayInTable(Fertiliser_SourceData.Fertiliser_Products_Data1(),FertiliserProducts[[#Headers],[Include or Exclude]], 0,4)</f>
        <v/>
      </c>
    </row>
    <row r="137" spans="4:31" ht="20.100000000000001" customHeight="1" x14ac:dyDescent="0.25">
      <c r="D137" s="182" t="str" cm="1">
        <f t="array" ref="D137">Common_InputFunctions.Utility_DisplayArrayInTable(Fertiliser_SourceData.Fertiliser_Products_Data1(),FertiliserProducts[[#Headers],[Include or Exclude]], -1)</f>
        <v/>
      </c>
      <c r="E137" s="182" t="str" cm="1">
        <f t="array" ref="E137">Common_InputFunctions.Utility_DisplayArrayInTable(Fertiliser_SourceData.Fertiliser_Products_Data1(),FertiliserProducts[[#Headers],[Include or Exclude]], 0)</f>
        <v/>
      </c>
      <c r="F137" s="182" t="str" cm="1">
        <f t="array" ref="F137">Common_InputFunctions.Utility_DisplayArrayInTable(Fertiliser_SourceData.Fertiliser_Products_Data1(),FertiliserProducts[[#Headers],[Include or Exclude]], 0)</f>
        <v/>
      </c>
      <c r="G137" s="182" t="str" cm="1">
        <f t="array" ref="G137">Common_InputFunctions.Utility_DisplayArrayInTable(Fertiliser_SourceData.Fertiliser_Products_Data1(),FertiliserProducts[[#Headers],[Include or Exclude]], 0)</f>
        <v/>
      </c>
      <c r="H137" s="182" t="str" cm="1">
        <f t="array" ref="H137">Common_InputFunctions.Utility_DisplayArrayInTable(Fertiliser_SourceData.Fertiliser_Products_Data1(),FertiliserProducts[[#Headers],[Include or Exclude]], 0,4)</f>
        <v/>
      </c>
      <c r="I137" s="182" t="str" cm="1">
        <f t="array" ref="I137">Common_InputFunctions.Utility_DisplayArrayInTable(Fertiliser_SourceData.Fertiliser_Products_Data1(),FertiliserProducts[[#Headers],[Include or Exclude]], 0,4)</f>
        <v/>
      </c>
      <c r="J137" s="182" t="str" cm="1">
        <f t="array" ref="J137">Common_InputFunctions.Utility_DisplayArrayInTable(Fertiliser_SourceData.Fertiliser_Products_Data1(),FertiliserProducts[[#Headers],[Include or Exclude]], 0,4)</f>
        <v/>
      </c>
      <c r="K137" s="182" t="str" cm="1">
        <f t="array" ref="K137">Common_InputFunctions.Utility_DisplayArrayInTable(Fertiliser_SourceData.Fertiliser_Products_Data1(),FertiliserProducts[[#Headers],[Include or Exclude]], 0,4)</f>
        <v/>
      </c>
      <c r="L137" s="182" t="str" cm="1">
        <f t="array" ref="L137">Common_InputFunctions.Utility_DisplayArrayInTable(Fertiliser_SourceData.Fertiliser_Products_Data1(),FertiliserProducts[[#Headers],[Include or Exclude]], 0,4)</f>
        <v/>
      </c>
      <c r="M137" s="182" t="str" cm="1">
        <f t="array" ref="M137">Common_InputFunctions.Utility_DisplayArrayInTable(Fertiliser_SourceData.Fertiliser_Products_Data1(),FertiliserProducts[[#Headers],[Include or Exclude]], 0,4)</f>
        <v/>
      </c>
      <c r="N137" s="182" t="str" cm="1">
        <f t="array" ref="N137">Common_InputFunctions.Utility_DisplayArrayInTable(Fertiliser_SourceData.Fertiliser_Products_Data1(),FertiliserProducts[[#Headers],[Include or Exclude]], 0,4)</f>
        <v/>
      </c>
      <c r="O137" s="182" t="str" cm="1">
        <f t="array" ref="O137">Common_InputFunctions.Utility_DisplayArrayInTable(Fertiliser_SourceData.Fertiliser_Products_Data1(),FertiliserProducts[[#Headers],[Include or Exclude]], 0,4)</f>
        <v/>
      </c>
      <c r="P137" s="182" t="str" cm="1">
        <f t="array" ref="P137">Common_InputFunctions.Utility_DisplayArrayInTable(Fertiliser_SourceData.Fertiliser_Products_Data1(),FertiliserProducts[[#Headers],[Include or Exclude]], 0,4)</f>
        <v/>
      </c>
      <c r="Q137" s="182" t="str" cm="1">
        <f t="array" ref="Q137">Common_InputFunctions.Utility_DisplayArrayInTable(Fertiliser_SourceData.Fertiliser_Products_Data1(),FertiliserProducts[[#Headers],[Include or Exclude]], 0,4)</f>
        <v/>
      </c>
      <c r="R137" s="182" t="str" cm="1">
        <f t="array" ref="R137">Common_InputFunctions.Utility_DisplayArrayInTable(Fertiliser_SourceData.Fertiliser_Products_Data1(),FertiliserProducts[[#Headers],[Include or Exclude]], 0,4)</f>
        <v/>
      </c>
      <c r="S137" s="182" t="str" cm="1">
        <f t="array" ref="S137">Common_InputFunctions.Utility_DisplayArrayInTable(Fertiliser_SourceData.Fertiliser_Products_Data1(),FertiliserProducts[[#Headers],[Include or Exclude]], 0,4)</f>
        <v/>
      </c>
      <c r="T137" s="182" t="str" cm="1">
        <f t="array" ref="T137">Common_InputFunctions.Utility_DisplayArrayInTable(Fertiliser_SourceData.Fertiliser_Products_Data1(),FertiliserProducts[[#Headers],[Include or Exclude]], 0,4)</f>
        <v/>
      </c>
      <c r="U137" s="182" t="str" cm="1">
        <f t="array" ref="U137">Common_InputFunctions.Utility_DisplayArrayInTable(Fertiliser_SourceData.Fertiliser_Products_Data1(),FertiliserProducts[[#Headers],[Include or Exclude]], 0,4)</f>
        <v/>
      </c>
      <c r="V137" s="182" t="str" cm="1">
        <f t="array" ref="V137">Common_InputFunctions.Utility_DisplayArrayInTable(Fertiliser_SourceData.Fertiliser_Products_Data1(),FertiliserProducts[[#Headers],[Include or Exclude]], 0,4)</f>
        <v/>
      </c>
      <c r="W137" s="182" t="str" cm="1">
        <f t="array" ref="W137">Common_InputFunctions.Utility_DisplayArrayInTable(Fertiliser_SourceData.Fertiliser_Products_Data1(),FertiliserProducts[[#Headers],[Include or Exclude]], 0,4)</f>
        <v/>
      </c>
      <c r="X137" s="182" t="str" cm="1">
        <f t="array" ref="X137">Common_InputFunctions.Utility_DisplayArrayInTable(Fertiliser_SourceData.Fertiliser_Products_Data1(),FertiliserProducts[[#Headers],[Include or Exclude]], 0,4)</f>
        <v/>
      </c>
      <c r="Y137" s="182" t="str" cm="1">
        <f t="array" ref="Y137">Common_InputFunctions.Utility_DisplayArrayInTable(Fertiliser_SourceData.Fertiliser_Products_Data1(),FertiliserProducts[[#Headers],[Include or Exclude]], 0,4)</f>
        <v/>
      </c>
      <c r="Z137" s="182" t="str" cm="1">
        <f t="array" ref="Z137">Common_InputFunctions.Utility_DisplayArrayInTable(Fertiliser_SourceData.Fertiliser_Products_Data1(),FertiliserProducts[[#Headers],[Include or Exclude]], 0,4)</f>
        <v/>
      </c>
      <c r="AA137" s="182" t="str" cm="1">
        <f t="array" ref="AA137">Common_InputFunctions.Utility_DisplayArrayInTable(Fertiliser_SourceData.Fertiliser_Products_Data1(),FertiliserProducts[[#Headers],[Include or Exclude]], 0,4)</f>
        <v/>
      </c>
      <c r="AB137" s="182" t="str" cm="1">
        <f t="array" ref="AB137">Common_InputFunctions.Utility_DisplayArrayInTable(Fertiliser_SourceData.Fertiliser_Products_Data1(),FertiliserProducts[[#Headers],[Include or Exclude]], 0,4)</f>
        <v/>
      </c>
      <c r="AC137" s="182" t="str" cm="1">
        <f t="array" ref="AC137">Common_InputFunctions.Utility_DisplayArrayInTable(Fertiliser_SourceData.Fertiliser_Products_Data1(),FertiliserProducts[[#Headers],[Include or Exclude]], 0,4)</f>
        <v/>
      </c>
      <c r="AD137" s="182" t="str" cm="1">
        <f t="array" ref="AD137">Common_InputFunctions.Utility_DisplayArrayInTable(Fertiliser_SourceData.Fertiliser_Products_Data1(),FertiliserProducts[[#Headers],[Include or Exclude]], 0,4)</f>
        <v/>
      </c>
      <c r="AE137" s="182" t="str" cm="1">
        <f t="array" ref="AE137">Common_InputFunctions.Utility_DisplayArrayInTable(Fertiliser_SourceData.Fertiliser_Products_Data1(),FertiliserProducts[[#Headers],[Include or Exclude]], 0,4)</f>
        <v/>
      </c>
    </row>
    <row r="138" spans="4:31" ht="20.100000000000001" customHeight="1" x14ac:dyDescent="0.25">
      <c r="D138" s="182" t="str" cm="1">
        <f t="array" ref="D138">Common_InputFunctions.Utility_DisplayArrayInTable(Fertiliser_SourceData.Fertiliser_Products_Data1(),FertiliserProducts[[#Headers],[Include or Exclude]], -1)</f>
        <v/>
      </c>
      <c r="E138" s="182" t="str" cm="1">
        <f t="array" ref="E138">Common_InputFunctions.Utility_DisplayArrayInTable(Fertiliser_SourceData.Fertiliser_Products_Data1(),FertiliserProducts[[#Headers],[Include or Exclude]], 0)</f>
        <v/>
      </c>
      <c r="F138" s="182" t="str" cm="1">
        <f t="array" ref="F138">Common_InputFunctions.Utility_DisplayArrayInTable(Fertiliser_SourceData.Fertiliser_Products_Data1(),FertiliserProducts[[#Headers],[Include or Exclude]], 0)</f>
        <v/>
      </c>
      <c r="G138" s="182" t="str" cm="1">
        <f t="array" ref="G138">Common_InputFunctions.Utility_DisplayArrayInTable(Fertiliser_SourceData.Fertiliser_Products_Data1(),FertiliserProducts[[#Headers],[Include or Exclude]], 0)</f>
        <v/>
      </c>
      <c r="H138" s="182" t="str" cm="1">
        <f t="array" ref="H138">Common_InputFunctions.Utility_DisplayArrayInTable(Fertiliser_SourceData.Fertiliser_Products_Data1(),FertiliserProducts[[#Headers],[Include or Exclude]], 0,4)</f>
        <v/>
      </c>
      <c r="I138" s="182" t="str" cm="1">
        <f t="array" ref="I138">Common_InputFunctions.Utility_DisplayArrayInTable(Fertiliser_SourceData.Fertiliser_Products_Data1(),FertiliserProducts[[#Headers],[Include or Exclude]], 0,4)</f>
        <v/>
      </c>
      <c r="J138" s="182" t="str" cm="1">
        <f t="array" ref="J138">Common_InputFunctions.Utility_DisplayArrayInTable(Fertiliser_SourceData.Fertiliser_Products_Data1(),FertiliserProducts[[#Headers],[Include or Exclude]], 0,4)</f>
        <v/>
      </c>
      <c r="K138" s="182" t="str" cm="1">
        <f t="array" ref="K138">Common_InputFunctions.Utility_DisplayArrayInTable(Fertiliser_SourceData.Fertiliser_Products_Data1(),FertiliserProducts[[#Headers],[Include or Exclude]], 0,4)</f>
        <v/>
      </c>
      <c r="L138" s="182" t="str" cm="1">
        <f t="array" ref="L138">Common_InputFunctions.Utility_DisplayArrayInTable(Fertiliser_SourceData.Fertiliser_Products_Data1(),FertiliserProducts[[#Headers],[Include or Exclude]], 0,4)</f>
        <v/>
      </c>
      <c r="M138" s="182" t="str" cm="1">
        <f t="array" ref="M138">Common_InputFunctions.Utility_DisplayArrayInTable(Fertiliser_SourceData.Fertiliser_Products_Data1(),FertiliserProducts[[#Headers],[Include or Exclude]], 0,4)</f>
        <v/>
      </c>
      <c r="N138" s="182" t="str" cm="1">
        <f t="array" ref="N138">Common_InputFunctions.Utility_DisplayArrayInTable(Fertiliser_SourceData.Fertiliser_Products_Data1(),FertiliserProducts[[#Headers],[Include or Exclude]], 0,4)</f>
        <v/>
      </c>
      <c r="O138" s="182" t="str" cm="1">
        <f t="array" ref="O138">Common_InputFunctions.Utility_DisplayArrayInTable(Fertiliser_SourceData.Fertiliser_Products_Data1(),FertiliserProducts[[#Headers],[Include or Exclude]], 0,4)</f>
        <v/>
      </c>
      <c r="P138" s="182" t="str" cm="1">
        <f t="array" ref="P138">Common_InputFunctions.Utility_DisplayArrayInTable(Fertiliser_SourceData.Fertiliser_Products_Data1(),FertiliserProducts[[#Headers],[Include or Exclude]], 0,4)</f>
        <v/>
      </c>
      <c r="Q138" s="182" t="str" cm="1">
        <f t="array" ref="Q138">Common_InputFunctions.Utility_DisplayArrayInTable(Fertiliser_SourceData.Fertiliser_Products_Data1(),FertiliserProducts[[#Headers],[Include or Exclude]], 0,4)</f>
        <v/>
      </c>
      <c r="R138" s="182" t="str" cm="1">
        <f t="array" ref="R138">Common_InputFunctions.Utility_DisplayArrayInTable(Fertiliser_SourceData.Fertiliser_Products_Data1(),FertiliserProducts[[#Headers],[Include or Exclude]], 0,4)</f>
        <v/>
      </c>
      <c r="S138" s="182" t="str" cm="1">
        <f t="array" ref="S138">Common_InputFunctions.Utility_DisplayArrayInTable(Fertiliser_SourceData.Fertiliser_Products_Data1(),FertiliserProducts[[#Headers],[Include or Exclude]], 0,4)</f>
        <v/>
      </c>
      <c r="T138" s="182" t="str" cm="1">
        <f t="array" ref="T138">Common_InputFunctions.Utility_DisplayArrayInTable(Fertiliser_SourceData.Fertiliser_Products_Data1(),FertiliserProducts[[#Headers],[Include or Exclude]], 0,4)</f>
        <v/>
      </c>
      <c r="U138" s="182" t="str" cm="1">
        <f t="array" ref="U138">Common_InputFunctions.Utility_DisplayArrayInTable(Fertiliser_SourceData.Fertiliser_Products_Data1(),FertiliserProducts[[#Headers],[Include or Exclude]], 0,4)</f>
        <v/>
      </c>
      <c r="V138" s="182" t="str" cm="1">
        <f t="array" ref="V138">Common_InputFunctions.Utility_DisplayArrayInTable(Fertiliser_SourceData.Fertiliser_Products_Data1(),FertiliserProducts[[#Headers],[Include or Exclude]], 0,4)</f>
        <v/>
      </c>
      <c r="W138" s="182" t="str" cm="1">
        <f t="array" ref="W138">Common_InputFunctions.Utility_DisplayArrayInTable(Fertiliser_SourceData.Fertiliser_Products_Data1(),FertiliserProducts[[#Headers],[Include or Exclude]], 0,4)</f>
        <v/>
      </c>
      <c r="X138" s="182" t="str" cm="1">
        <f t="array" ref="X138">Common_InputFunctions.Utility_DisplayArrayInTable(Fertiliser_SourceData.Fertiliser_Products_Data1(),FertiliserProducts[[#Headers],[Include or Exclude]], 0,4)</f>
        <v/>
      </c>
      <c r="Y138" s="182" t="str" cm="1">
        <f t="array" ref="Y138">Common_InputFunctions.Utility_DisplayArrayInTable(Fertiliser_SourceData.Fertiliser_Products_Data1(),FertiliserProducts[[#Headers],[Include or Exclude]], 0,4)</f>
        <v/>
      </c>
      <c r="Z138" s="182" t="str" cm="1">
        <f t="array" ref="Z138">Common_InputFunctions.Utility_DisplayArrayInTable(Fertiliser_SourceData.Fertiliser_Products_Data1(),FertiliserProducts[[#Headers],[Include or Exclude]], 0,4)</f>
        <v/>
      </c>
      <c r="AA138" s="182" t="str" cm="1">
        <f t="array" ref="AA138">Common_InputFunctions.Utility_DisplayArrayInTable(Fertiliser_SourceData.Fertiliser_Products_Data1(),FertiliserProducts[[#Headers],[Include or Exclude]], 0,4)</f>
        <v/>
      </c>
      <c r="AB138" s="182" t="str" cm="1">
        <f t="array" ref="AB138">Common_InputFunctions.Utility_DisplayArrayInTable(Fertiliser_SourceData.Fertiliser_Products_Data1(),FertiliserProducts[[#Headers],[Include or Exclude]], 0,4)</f>
        <v/>
      </c>
      <c r="AC138" s="182" t="str" cm="1">
        <f t="array" ref="AC138">Common_InputFunctions.Utility_DisplayArrayInTable(Fertiliser_SourceData.Fertiliser_Products_Data1(),FertiliserProducts[[#Headers],[Include or Exclude]], 0,4)</f>
        <v/>
      </c>
      <c r="AD138" s="182" t="str" cm="1">
        <f t="array" ref="AD138">Common_InputFunctions.Utility_DisplayArrayInTable(Fertiliser_SourceData.Fertiliser_Products_Data1(),FertiliserProducts[[#Headers],[Include or Exclude]], 0,4)</f>
        <v/>
      </c>
      <c r="AE138" s="182" t="str" cm="1">
        <f t="array" ref="AE138">Common_InputFunctions.Utility_DisplayArrayInTable(Fertiliser_SourceData.Fertiliser_Products_Data1(),FertiliserProducts[[#Headers],[Include or Exclude]], 0,4)</f>
        <v/>
      </c>
    </row>
    <row r="139" spans="4:31" ht="20.100000000000001" customHeight="1" x14ac:dyDescent="0.25">
      <c r="D139" s="182" t="str" cm="1">
        <f t="array" ref="D139">Common_InputFunctions.Utility_DisplayArrayInTable(Fertiliser_SourceData.Fertiliser_Products_Data1(),FertiliserProducts[[#Headers],[Include or Exclude]], -1)</f>
        <v/>
      </c>
      <c r="E139" s="182" t="str" cm="1">
        <f t="array" ref="E139">Common_InputFunctions.Utility_DisplayArrayInTable(Fertiliser_SourceData.Fertiliser_Products_Data1(),FertiliserProducts[[#Headers],[Include or Exclude]], 0)</f>
        <v/>
      </c>
      <c r="F139" s="182" t="str" cm="1">
        <f t="array" ref="F139">Common_InputFunctions.Utility_DisplayArrayInTable(Fertiliser_SourceData.Fertiliser_Products_Data1(),FertiliserProducts[[#Headers],[Include or Exclude]], 0)</f>
        <v/>
      </c>
      <c r="G139" s="182" t="str" cm="1">
        <f t="array" ref="G139">Common_InputFunctions.Utility_DisplayArrayInTable(Fertiliser_SourceData.Fertiliser_Products_Data1(),FertiliserProducts[[#Headers],[Include or Exclude]], 0)</f>
        <v/>
      </c>
      <c r="H139" s="182" t="str" cm="1">
        <f t="array" ref="H139">Common_InputFunctions.Utility_DisplayArrayInTable(Fertiliser_SourceData.Fertiliser_Products_Data1(),FertiliserProducts[[#Headers],[Include or Exclude]], 0,4)</f>
        <v/>
      </c>
      <c r="I139" s="182" t="str" cm="1">
        <f t="array" ref="I139">Common_InputFunctions.Utility_DisplayArrayInTable(Fertiliser_SourceData.Fertiliser_Products_Data1(),FertiliserProducts[[#Headers],[Include or Exclude]], 0,4)</f>
        <v/>
      </c>
      <c r="J139" s="182" t="str" cm="1">
        <f t="array" ref="J139">Common_InputFunctions.Utility_DisplayArrayInTable(Fertiliser_SourceData.Fertiliser_Products_Data1(),FertiliserProducts[[#Headers],[Include or Exclude]], 0,4)</f>
        <v/>
      </c>
      <c r="K139" s="182" t="str" cm="1">
        <f t="array" ref="K139">Common_InputFunctions.Utility_DisplayArrayInTable(Fertiliser_SourceData.Fertiliser_Products_Data1(),FertiliserProducts[[#Headers],[Include or Exclude]], 0,4)</f>
        <v/>
      </c>
      <c r="L139" s="182" t="str" cm="1">
        <f t="array" ref="L139">Common_InputFunctions.Utility_DisplayArrayInTable(Fertiliser_SourceData.Fertiliser_Products_Data1(),FertiliserProducts[[#Headers],[Include or Exclude]], 0,4)</f>
        <v/>
      </c>
      <c r="M139" s="182" t="str" cm="1">
        <f t="array" ref="M139">Common_InputFunctions.Utility_DisplayArrayInTable(Fertiliser_SourceData.Fertiliser_Products_Data1(),FertiliserProducts[[#Headers],[Include or Exclude]], 0,4)</f>
        <v/>
      </c>
      <c r="N139" s="182" t="str" cm="1">
        <f t="array" ref="N139">Common_InputFunctions.Utility_DisplayArrayInTable(Fertiliser_SourceData.Fertiliser_Products_Data1(),FertiliserProducts[[#Headers],[Include or Exclude]], 0,4)</f>
        <v/>
      </c>
      <c r="O139" s="182" t="str" cm="1">
        <f t="array" ref="O139">Common_InputFunctions.Utility_DisplayArrayInTable(Fertiliser_SourceData.Fertiliser_Products_Data1(),FertiliserProducts[[#Headers],[Include or Exclude]], 0,4)</f>
        <v/>
      </c>
      <c r="P139" s="182" t="str" cm="1">
        <f t="array" ref="P139">Common_InputFunctions.Utility_DisplayArrayInTable(Fertiliser_SourceData.Fertiliser_Products_Data1(),FertiliserProducts[[#Headers],[Include or Exclude]], 0,4)</f>
        <v/>
      </c>
      <c r="Q139" s="182" t="str" cm="1">
        <f t="array" ref="Q139">Common_InputFunctions.Utility_DisplayArrayInTable(Fertiliser_SourceData.Fertiliser_Products_Data1(),FertiliserProducts[[#Headers],[Include or Exclude]], 0,4)</f>
        <v/>
      </c>
      <c r="R139" s="182" t="str" cm="1">
        <f t="array" ref="R139">Common_InputFunctions.Utility_DisplayArrayInTable(Fertiliser_SourceData.Fertiliser_Products_Data1(),FertiliserProducts[[#Headers],[Include or Exclude]], 0,4)</f>
        <v/>
      </c>
      <c r="S139" s="182" t="str" cm="1">
        <f t="array" ref="S139">Common_InputFunctions.Utility_DisplayArrayInTable(Fertiliser_SourceData.Fertiliser_Products_Data1(),FertiliserProducts[[#Headers],[Include or Exclude]], 0,4)</f>
        <v/>
      </c>
      <c r="T139" s="182" t="str" cm="1">
        <f t="array" ref="T139">Common_InputFunctions.Utility_DisplayArrayInTable(Fertiliser_SourceData.Fertiliser_Products_Data1(),FertiliserProducts[[#Headers],[Include or Exclude]], 0,4)</f>
        <v/>
      </c>
      <c r="U139" s="182" t="str" cm="1">
        <f t="array" ref="U139">Common_InputFunctions.Utility_DisplayArrayInTable(Fertiliser_SourceData.Fertiliser_Products_Data1(),FertiliserProducts[[#Headers],[Include or Exclude]], 0,4)</f>
        <v/>
      </c>
      <c r="V139" s="182" t="str" cm="1">
        <f t="array" ref="V139">Common_InputFunctions.Utility_DisplayArrayInTable(Fertiliser_SourceData.Fertiliser_Products_Data1(),FertiliserProducts[[#Headers],[Include or Exclude]], 0,4)</f>
        <v/>
      </c>
      <c r="W139" s="182" t="str" cm="1">
        <f t="array" ref="W139">Common_InputFunctions.Utility_DisplayArrayInTable(Fertiliser_SourceData.Fertiliser_Products_Data1(),FertiliserProducts[[#Headers],[Include or Exclude]], 0,4)</f>
        <v/>
      </c>
      <c r="X139" s="182" t="str" cm="1">
        <f t="array" ref="X139">Common_InputFunctions.Utility_DisplayArrayInTable(Fertiliser_SourceData.Fertiliser_Products_Data1(),FertiliserProducts[[#Headers],[Include or Exclude]], 0,4)</f>
        <v/>
      </c>
      <c r="Y139" s="182" t="str" cm="1">
        <f t="array" ref="Y139">Common_InputFunctions.Utility_DisplayArrayInTable(Fertiliser_SourceData.Fertiliser_Products_Data1(),FertiliserProducts[[#Headers],[Include or Exclude]], 0,4)</f>
        <v/>
      </c>
      <c r="Z139" s="182" t="str" cm="1">
        <f t="array" ref="Z139">Common_InputFunctions.Utility_DisplayArrayInTable(Fertiliser_SourceData.Fertiliser_Products_Data1(),FertiliserProducts[[#Headers],[Include or Exclude]], 0,4)</f>
        <v/>
      </c>
      <c r="AA139" s="182" t="str" cm="1">
        <f t="array" ref="AA139">Common_InputFunctions.Utility_DisplayArrayInTable(Fertiliser_SourceData.Fertiliser_Products_Data1(),FertiliserProducts[[#Headers],[Include or Exclude]], 0,4)</f>
        <v/>
      </c>
      <c r="AB139" s="182" t="str" cm="1">
        <f t="array" ref="AB139">Common_InputFunctions.Utility_DisplayArrayInTable(Fertiliser_SourceData.Fertiliser_Products_Data1(),FertiliserProducts[[#Headers],[Include or Exclude]], 0,4)</f>
        <v/>
      </c>
      <c r="AC139" s="182" t="str" cm="1">
        <f t="array" ref="AC139">Common_InputFunctions.Utility_DisplayArrayInTable(Fertiliser_SourceData.Fertiliser_Products_Data1(),FertiliserProducts[[#Headers],[Include or Exclude]], 0,4)</f>
        <v/>
      </c>
      <c r="AD139" s="182" t="str" cm="1">
        <f t="array" ref="AD139">Common_InputFunctions.Utility_DisplayArrayInTable(Fertiliser_SourceData.Fertiliser_Products_Data1(),FertiliserProducts[[#Headers],[Include or Exclude]], 0,4)</f>
        <v/>
      </c>
      <c r="AE139" s="182" t="str" cm="1">
        <f t="array" ref="AE139">Common_InputFunctions.Utility_DisplayArrayInTable(Fertiliser_SourceData.Fertiliser_Products_Data1(),FertiliserProducts[[#Headers],[Include or Exclude]], 0,4)</f>
        <v/>
      </c>
    </row>
    <row r="140" spans="4:31" ht="20.100000000000001" customHeight="1" x14ac:dyDescent="0.25">
      <c r="D140" s="182" t="str" cm="1">
        <f t="array" ref="D140">Common_InputFunctions.Utility_DisplayArrayInTable(Fertiliser_SourceData.Fertiliser_Products_Data1(),FertiliserProducts[[#Headers],[Include or Exclude]], -1)</f>
        <v/>
      </c>
      <c r="E140" s="182" t="str" cm="1">
        <f t="array" ref="E140">Common_InputFunctions.Utility_DisplayArrayInTable(Fertiliser_SourceData.Fertiliser_Products_Data1(),FertiliserProducts[[#Headers],[Include or Exclude]], 0)</f>
        <v/>
      </c>
      <c r="F140" s="182" t="str" cm="1">
        <f t="array" ref="F140">Common_InputFunctions.Utility_DisplayArrayInTable(Fertiliser_SourceData.Fertiliser_Products_Data1(),FertiliserProducts[[#Headers],[Include or Exclude]], 0)</f>
        <v/>
      </c>
      <c r="G140" s="182" t="str" cm="1">
        <f t="array" ref="G140">Common_InputFunctions.Utility_DisplayArrayInTable(Fertiliser_SourceData.Fertiliser_Products_Data1(),FertiliserProducts[[#Headers],[Include or Exclude]], 0)</f>
        <v/>
      </c>
      <c r="H140" s="182" t="str" cm="1">
        <f t="array" ref="H140">Common_InputFunctions.Utility_DisplayArrayInTable(Fertiliser_SourceData.Fertiliser_Products_Data1(),FertiliserProducts[[#Headers],[Include or Exclude]], 0,4)</f>
        <v/>
      </c>
      <c r="I140" s="182" t="str" cm="1">
        <f t="array" ref="I140">Common_InputFunctions.Utility_DisplayArrayInTable(Fertiliser_SourceData.Fertiliser_Products_Data1(),FertiliserProducts[[#Headers],[Include or Exclude]], 0,4)</f>
        <v/>
      </c>
      <c r="J140" s="182" t="str" cm="1">
        <f t="array" ref="J140">Common_InputFunctions.Utility_DisplayArrayInTable(Fertiliser_SourceData.Fertiliser_Products_Data1(),FertiliserProducts[[#Headers],[Include or Exclude]], 0,4)</f>
        <v/>
      </c>
      <c r="K140" s="182" t="str" cm="1">
        <f t="array" ref="K140">Common_InputFunctions.Utility_DisplayArrayInTable(Fertiliser_SourceData.Fertiliser_Products_Data1(),FertiliserProducts[[#Headers],[Include or Exclude]], 0,4)</f>
        <v/>
      </c>
      <c r="L140" s="182" t="str" cm="1">
        <f t="array" ref="L140">Common_InputFunctions.Utility_DisplayArrayInTable(Fertiliser_SourceData.Fertiliser_Products_Data1(),FertiliserProducts[[#Headers],[Include or Exclude]], 0,4)</f>
        <v/>
      </c>
      <c r="M140" s="182" t="str" cm="1">
        <f t="array" ref="M140">Common_InputFunctions.Utility_DisplayArrayInTable(Fertiliser_SourceData.Fertiliser_Products_Data1(),FertiliserProducts[[#Headers],[Include or Exclude]], 0,4)</f>
        <v/>
      </c>
      <c r="N140" s="182" t="str" cm="1">
        <f t="array" ref="N140">Common_InputFunctions.Utility_DisplayArrayInTable(Fertiliser_SourceData.Fertiliser_Products_Data1(),FertiliserProducts[[#Headers],[Include or Exclude]], 0,4)</f>
        <v/>
      </c>
      <c r="O140" s="182" t="str" cm="1">
        <f t="array" ref="O140">Common_InputFunctions.Utility_DisplayArrayInTable(Fertiliser_SourceData.Fertiliser_Products_Data1(),FertiliserProducts[[#Headers],[Include or Exclude]], 0,4)</f>
        <v/>
      </c>
      <c r="P140" s="182" t="str" cm="1">
        <f t="array" ref="P140">Common_InputFunctions.Utility_DisplayArrayInTable(Fertiliser_SourceData.Fertiliser_Products_Data1(),FertiliserProducts[[#Headers],[Include or Exclude]], 0,4)</f>
        <v/>
      </c>
      <c r="Q140" s="182" t="str" cm="1">
        <f t="array" ref="Q140">Common_InputFunctions.Utility_DisplayArrayInTable(Fertiliser_SourceData.Fertiliser_Products_Data1(),FertiliserProducts[[#Headers],[Include or Exclude]], 0,4)</f>
        <v/>
      </c>
      <c r="R140" s="182" t="str" cm="1">
        <f t="array" ref="R140">Common_InputFunctions.Utility_DisplayArrayInTable(Fertiliser_SourceData.Fertiliser_Products_Data1(),FertiliserProducts[[#Headers],[Include or Exclude]], 0,4)</f>
        <v/>
      </c>
      <c r="S140" s="182" t="str" cm="1">
        <f t="array" ref="S140">Common_InputFunctions.Utility_DisplayArrayInTable(Fertiliser_SourceData.Fertiliser_Products_Data1(),FertiliserProducts[[#Headers],[Include or Exclude]], 0,4)</f>
        <v/>
      </c>
      <c r="T140" s="182" t="str" cm="1">
        <f t="array" ref="T140">Common_InputFunctions.Utility_DisplayArrayInTable(Fertiliser_SourceData.Fertiliser_Products_Data1(),FertiliserProducts[[#Headers],[Include or Exclude]], 0,4)</f>
        <v/>
      </c>
      <c r="U140" s="182" t="str" cm="1">
        <f t="array" ref="U140">Common_InputFunctions.Utility_DisplayArrayInTable(Fertiliser_SourceData.Fertiliser_Products_Data1(),FertiliserProducts[[#Headers],[Include or Exclude]], 0,4)</f>
        <v/>
      </c>
      <c r="V140" s="182" t="str" cm="1">
        <f t="array" ref="V140">Common_InputFunctions.Utility_DisplayArrayInTable(Fertiliser_SourceData.Fertiliser_Products_Data1(),FertiliserProducts[[#Headers],[Include or Exclude]], 0,4)</f>
        <v/>
      </c>
      <c r="W140" s="182" t="str" cm="1">
        <f t="array" ref="W140">Common_InputFunctions.Utility_DisplayArrayInTable(Fertiliser_SourceData.Fertiliser_Products_Data1(),FertiliserProducts[[#Headers],[Include or Exclude]], 0,4)</f>
        <v/>
      </c>
      <c r="X140" s="182" t="str" cm="1">
        <f t="array" ref="X140">Common_InputFunctions.Utility_DisplayArrayInTable(Fertiliser_SourceData.Fertiliser_Products_Data1(),FertiliserProducts[[#Headers],[Include or Exclude]], 0,4)</f>
        <v/>
      </c>
      <c r="Y140" s="182" t="str" cm="1">
        <f t="array" ref="Y140">Common_InputFunctions.Utility_DisplayArrayInTable(Fertiliser_SourceData.Fertiliser_Products_Data1(),FertiliserProducts[[#Headers],[Include or Exclude]], 0,4)</f>
        <v/>
      </c>
      <c r="Z140" s="182" t="str" cm="1">
        <f t="array" ref="Z140">Common_InputFunctions.Utility_DisplayArrayInTable(Fertiliser_SourceData.Fertiliser_Products_Data1(),FertiliserProducts[[#Headers],[Include or Exclude]], 0,4)</f>
        <v/>
      </c>
      <c r="AA140" s="182" t="str" cm="1">
        <f t="array" ref="AA140">Common_InputFunctions.Utility_DisplayArrayInTable(Fertiliser_SourceData.Fertiliser_Products_Data1(),FertiliserProducts[[#Headers],[Include or Exclude]], 0,4)</f>
        <v/>
      </c>
      <c r="AB140" s="182" t="str" cm="1">
        <f t="array" ref="AB140">Common_InputFunctions.Utility_DisplayArrayInTable(Fertiliser_SourceData.Fertiliser_Products_Data1(),FertiliserProducts[[#Headers],[Include or Exclude]], 0,4)</f>
        <v/>
      </c>
      <c r="AC140" s="182" t="str" cm="1">
        <f t="array" ref="AC140">Common_InputFunctions.Utility_DisplayArrayInTable(Fertiliser_SourceData.Fertiliser_Products_Data1(),FertiliserProducts[[#Headers],[Include or Exclude]], 0,4)</f>
        <v/>
      </c>
      <c r="AD140" s="182" t="str" cm="1">
        <f t="array" ref="AD140">Common_InputFunctions.Utility_DisplayArrayInTable(Fertiliser_SourceData.Fertiliser_Products_Data1(),FertiliserProducts[[#Headers],[Include or Exclude]], 0,4)</f>
        <v/>
      </c>
      <c r="AE140" s="182" t="str" cm="1">
        <f t="array" ref="AE140">Common_InputFunctions.Utility_DisplayArrayInTable(Fertiliser_SourceData.Fertiliser_Products_Data1(),FertiliserProducts[[#Headers],[Include or Exclude]], 0,4)</f>
        <v/>
      </c>
    </row>
    <row r="141" spans="4:31" ht="20.100000000000001" customHeight="1" x14ac:dyDescent="0.25">
      <c r="D141" s="182" t="str" cm="1">
        <f t="array" ref="D141">Common_InputFunctions.Utility_DisplayArrayInTable(Fertiliser_SourceData.Fertiliser_Products_Data1(),FertiliserProducts[[#Headers],[Include or Exclude]], -1)</f>
        <v/>
      </c>
      <c r="E141" s="182" t="str" cm="1">
        <f t="array" ref="E141">Common_InputFunctions.Utility_DisplayArrayInTable(Fertiliser_SourceData.Fertiliser_Products_Data1(),FertiliserProducts[[#Headers],[Include or Exclude]], 0)</f>
        <v/>
      </c>
      <c r="F141" s="182" t="str" cm="1">
        <f t="array" ref="F141">Common_InputFunctions.Utility_DisplayArrayInTable(Fertiliser_SourceData.Fertiliser_Products_Data1(),FertiliserProducts[[#Headers],[Include or Exclude]], 0)</f>
        <v/>
      </c>
      <c r="G141" s="182" t="str" cm="1">
        <f t="array" ref="G141">Common_InputFunctions.Utility_DisplayArrayInTable(Fertiliser_SourceData.Fertiliser_Products_Data1(),FertiliserProducts[[#Headers],[Include or Exclude]], 0)</f>
        <v/>
      </c>
      <c r="H141" s="182" t="str" cm="1">
        <f t="array" ref="H141">Common_InputFunctions.Utility_DisplayArrayInTable(Fertiliser_SourceData.Fertiliser_Products_Data1(),FertiliserProducts[[#Headers],[Include or Exclude]], 0,4)</f>
        <v/>
      </c>
      <c r="I141" s="182" t="str" cm="1">
        <f t="array" ref="I141">Common_InputFunctions.Utility_DisplayArrayInTable(Fertiliser_SourceData.Fertiliser_Products_Data1(),FertiliserProducts[[#Headers],[Include or Exclude]], 0,4)</f>
        <v/>
      </c>
      <c r="J141" s="182" t="str" cm="1">
        <f t="array" ref="J141">Common_InputFunctions.Utility_DisplayArrayInTable(Fertiliser_SourceData.Fertiliser_Products_Data1(),FertiliserProducts[[#Headers],[Include or Exclude]], 0,4)</f>
        <v/>
      </c>
      <c r="K141" s="182" t="str" cm="1">
        <f t="array" ref="K141">Common_InputFunctions.Utility_DisplayArrayInTable(Fertiliser_SourceData.Fertiliser_Products_Data1(),FertiliserProducts[[#Headers],[Include or Exclude]], 0,4)</f>
        <v/>
      </c>
      <c r="L141" s="182" t="str" cm="1">
        <f t="array" ref="L141">Common_InputFunctions.Utility_DisplayArrayInTable(Fertiliser_SourceData.Fertiliser_Products_Data1(),FertiliserProducts[[#Headers],[Include or Exclude]], 0,4)</f>
        <v/>
      </c>
      <c r="M141" s="182" t="str" cm="1">
        <f t="array" ref="M141">Common_InputFunctions.Utility_DisplayArrayInTable(Fertiliser_SourceData.Fertiliser_Products_Data1(),FertiliserProducts[[#Headers],[Include or Exclude]], 0,4)</f>
        <v/>
      </c>
      <c r="N141" s="182" t="str" cm="1">
        <f t="array" ref="N141">Common_InputFunctions.Utility_DisplayArrayInTable(Fertiliser_SourceData.Fertiliser_Products_Data1(),FertiliserProducts[[#Headers],[Include or Exclude]], 0,4)</f>
        <v/>
      </c>
      <c r="O141" s="182" t="str" cm="1">
        <f t="array" ref="O141">Common_InputFunctions.Utility_DisplayArrayInTable(Fertiliser_SourceData.Fertiliser_Products_Data1(),FertiliserProducts[[#Headers],[Include or Exclude]], 0,4)</f>
        <v/>
      </c>
      <c r="P141" s="182" t="str" cm="1">
        <f t="array" ref="P141">Common_InputFunctions.Utility_DisplayArrayInTable(Fertiliser_SourceData.Fertiliser_Products_Data1(),FertiliserProducts[[#Headers],[Include or Exclude]], 0,4)</f>
        <v/>
      </c>
      <c r="Q141" s="182" t="str" cm="1">
        <f t="array" ref="Q141">Common_InputFunctions.Utility_DisplayArrayInTable(Fertiliser_SourceData.Fertiliser_Products_Data1(),FertiliserProducts[[#Headers],[Include or Exclude]], 0,4)</f>
        <v/>
      </c>
      <c r="R141" s="182" t="str" cm="1">
        <f t="array" ref="R141">Common_InputFunctions.Utility_DisplayArrayInTable(Fertiliser_SourceData.Fertiliser_Products_Data1(),FertiliserProducts[[#Headers],[Include or Exclude]], 0,4)</f>
        <v/>
      </c>
      <c r="S141" s="182" t="str" cm="1">
        <f t="array" ref="S141">Common_InputFunctions.Utility_DisplayArrayInTable(Fertiliser_SourceData.Fertiliser_Products_Data1(),FertiliserProducts[[#Headers],[Include or Exclude]], 0,4)</f>
        <v/>
      </c>
      <c r="T141" s="182" t="str" cm="1">
        <f t="array" ref="T141">Common_InputFunctions.Utility_DisplayArrayInTable(Fertiliser_SourceData.Fertiliser_Products_Data1(),FertiliserProducts[[#Headers],[Include or Exclude]], 0,4)</f>
        <v/>
      </c>
      <c r="U141" s="182" t="str" cm="1">
        <f t="array" ref="U141">Common_InputFunctions.Utility_DisplayArrayInTable(Fertiliser_SourceData.Fertiliser_Products_Data1(),FertiliserProducts[[#Headers],[Include or Exclude]], 0,4)</f>
        <v/>
      </c>
      <c r="V141" s="182" t="str" cm="1">
        <f t="array" ref="V141">Common_InputFunctions.Utility_DisplayArrayInTable(Fertiliser_SourceData.Fertiliser_Products_Data1(),FertiliserProducts[[#Headers],[Include or Exclude]], 0,4)</f>
        <v/>
      </c>
      <c r="W141" s="182" t="str" cm="1">
        <f t="array" ref="W141">Common_InputFunctions.Utility_DisplayArrayInTable(Fertiliser_SourceData.Fertiliser_Products_Data1(),FertiliserProducts[[#Headers],[Include or Exclude]], 0,4)</f>
        <v/>
      </c>
      <c r="X141" s="182" t="str" cm="1">
        <f t="array" ref="X141">Common_InputFunctions.Utility_DisplayArrayInTable(Fertiliser_SourceData.Fertiliser_Products_Data1(),FertiliserProducts[[#Headers],[Include or Exclude]], 0,4)</f>
        <v/>
      </c>
      <c r="Y141" s="182" t="str" cm="1">
        <f t="array" ref="Y141">Common_InputFunctions.Utility_DisplayArrayInTable(Fertiliser_SourceData.Fertiliser_Products_Data1(),FertiliserProducts[[#Headers],[Include or Exclude]], 0,4)</f>
        <v/>
      </c>
      <c r="Z141" s="182" t="str" cm="1">
        <f t="array" ref="Z141">Common_InputFunctions.Utility_DisplayArrayInTable(Fertiliser_SourceData.Fertiliser_Products_Data1(),FertiliserProducts[[#Headers],[Include or Exclude]], 0,4)</f>
        <v/>
      </c>
      <c r="AA141" s="182" t="str" cm="1">
        <f t="array" ref="AA141">Common_InputFunctions.Utility_DisplayArrayInTable(Fertiliser_SourceData.Fertiliser_Products_Data1(),FertiliserProducts[[#Headers],[Include or Exclude]], 0,4)</f>
        <v/>
      </c>
      <c r="AB141" s="182" t="str" cm="1">
        <f t="array" ref="AB141">Common_InputFunctions.Utility_DisplayArrayInTable(Fertiliser_SourceData.Fertiliser_Products_Data1(),FertiliserProducts[[#Headers],[Include or Exclude]], 0,4)</f>
        <v/>
      </c>
      <c r="AC141" s="182" t="str" cm="1">
        <f t="array" ref="AC141">Common_InputFunctions.Utility_DisplayArrayInTable(Fertiliser_SourceData.Fertiliser_Products_Data1(),FertiliserProducts[[#Headers],[Include or Exclude]], 0,4)</f>
        <v/>
      </c>
      <c r="AD141" s="182" t="str" cm="1">
        <f t="array" ref="AD141">Common_InputFunctions.Utility_DisplayArrayInTable(Fertiliser_SourceData.Fertiliser_Products_Data1(),FertiliserProducts[[#Headers],[Include or Exclude]], 0,4)</f>
        <v/>
      </c>
      <c r="AE141" s="182" t="str" cm="1">
        <f t="array" ref="AE141">Common_InputFunctions.Utility_DisplayArrayInTable(Fertiliser_SourceData.Fertiliser_Products_Data1(),FertiliserProducts[[#Headers],[Include or Exclude]], 0,4)</f>
        <v/>
      </c>
    </row>
    <row r="142" spans="4:31" ht="20.100000000000001" customHeight="1" x14ac:dyDescent="0.25">
      <c r="D142" s="182" t="str" cm="1">
        <f t="array" ref="D142">Common_InputFunctions.Utility_DisplayArrayInTable(Fertiliser_SourceData.Fertiliser_Products_Data1(),FertiliserProducts[[#Headers],[Include or Exclude]], -1)</f>
        <v/>
      </c>
      <c r="E142" s="182" t="str" cm="1">
        <f t="array" ref="E142">Common_InputFunctions.Utility_DisplayArrayInTable(Fertiliser_SourceData.Fertiliser_Products_Data1(),FertiliserProducts[[#Headers],[Include or Exclude]], 0)</f>
        <v/>
      </c>
      <c r="F142" s="182" t="str" cm="1">
        <f t="array" ref="F142">Common_InputFunctions.Utility_DisplayArrayInTable(Fertiliser_SourceData.Fertiliser_Products_Data1(),FertiliserProducts[[#Headers],[Include or Exclude]], 0)</f>
        <v/>
      </c>
      <c r="G142" s="182" t="str" cm="1">
        <f t="array" ref="G142">Common_InputFunctions.Utility_DisplayArrayInTable(Fertiliser_SourceData.Fertiliser_Products_Data1(),FertiliserProducts[[#Headers],[Include or Exclude]], 0)</f>
        <v/>
      </c>
      <c r="H142" s="182" t="str" cm="1">
        <f t="array" ref="H142">Common_InputFunctions.Utility_DisplayArrayInTable(Fertiliser_SourceData.Fertiliser_Products_Data1(),FertiliserProducts[[#Headers],[Include or Exclude]], 0,4)</f>
        <v/>
      </c>
      <c r="I142" s="182" t="str" cm="1">
        <f t="array" ref="I142">Common_InputFunctions.Utility_DisplayArrayInTable(Fertiliser_SourceData.Fertiliser_Products_Data1(),FertiliserProducts[[#Headers],[Include or Exclude]], 0,4)</f>
        <v/>
      </c>
      <c r="J142" s="182" t="str" cm="1">
        <f t="array" ref="J142">Common_InputFunctions.Utility_DisplayArrayInTable(Fertiliser_SourceData.Fertiliser_Products_Data1(),FertiliserProducts[[#Headers],[Include or Exclude]], 0,4)</f>
        <v/>
      </c>
      <c r="K142" s="182" t="str" cm="1">
        <f t="array" ref="K142">Common_InputFunctions.Utility_DisplayArrayInTable(Fertiliser_SourceData.Fertiliser_Products_Data1(),FertiliserProducts[[#Headers],[Include or Exclude]], 0,4)</f>
        <v/>
      </c>
      <c r="L142" s="182" t="str" cm="1">
        <f t="array" ref="L142">Common_InputFunctions.Utility_DisplayArrayInTable(Fertiliser_SourceData.Fertiliser_Products_Data1(),FertiliserProducts[[#Headers],[Include or Exclude]], 0,4)</f>
        <v/>
      </c>
      <c r="M142" s="182" t="str" cm="1">
        <f t="array" ref="M142">Common_InputFunctions.Utility_DisplayArrayInTable(Fertiliser_SourceData.Fertiliser_Products_Data1(),FertiliserProducts[[#Headers],[Include or Exclude]], 0,4)</f>
        <v/>
      </c>
      <c r="N142" s="182" t="str" cm="1">
        <f t="array" ref="N142">Common_InputFunctions.Utility_DisplayArrayInTable(Fertiliser_SourceData.Fertiliser_Products_Data1(),FertiliserProducts[[#Headers],[Include or Exclude]], 0,4)</f>
        <v/>
      </c>
      <c r="O142" s="182" t="str" cm="1">
        <f t="array" ref="O142">Common_InputFunctions.Utility_DisplayArrayInTable(Fertiliser_SourceData.Fertiliser_Products_Data1(),FertiliserProducts[[#Headers],[Include or Exclude]], 0,4)</f>
        <v/>
      </c>
      <c r="P142" s="182" t="str" cm="1">
        <f t="array" ref="P142">Common_InputFunctions.Utility_DisplayArrayInTable(Fertiliser_SourceData.Fertiliser_Products_Data1(),FertiliserProducts[[#Headers],[Include or Exclude]], 0,4)</f>
        <v/>
      </c>
      <c r="Q142" s="182" t="str" cm="1">
        <f t="array" ref="Q142">Common_InputFunctions.Utility_DisplayArrayInTable(Fertiliser_SourceData.Fertiliser_Products_Data1(),FertiliserProducts[[#Headers],[Include or Exclude]], 0,4)</f>
        <v/>
      </c>
      <c r="R142" s="182" t="str" cm="1">
        <f t="array" ref="R142">Common_InputFunctions.Utility_DisplayArrayInTable(Fertiliser_SourceData.Fertiliser_Products_Data1(),FertiliserProducts[[#Headers],[Include or Exclude]], 0,4)</f>
        <v/>
      </c>
      <c r="S142" s="182" t="str" cm="1">
        <f t="array" ref="S142">Common_InputFunctions.Utility_DisplayArrayInTable(Fertiliser_SourceData.Fertiliser_Products_Data1(),FertiliserProducts[[#Headers],[Include or Exclude]], 0,4)</f>
        <v/>
      </c>
      <c r="T142" s="182" t="str" cm="1">
        <f t="array" ref="T142">Common_InputFunctions.Utility_DisplayArrayInTable(Fertiliser_SourceData.Fertiliser_Products_Data1(),FertiliserProducts[[#Headers],[Include or Exclude]], 0,4)</f>
        <v/>
      </c>
      <c r="U142" s="182" t="str" cm="1">
        <f t="array" ref="U142">Common_InputFunctions.Utility_DisplayArrayInTable(Fertiliser_SourceData.Fertiliser_Products_Data1(),FertiliserProducts[[#Headers],[Include or Exclude]], 0,4)</f>
        <v/>
      </c>
      <c r="V142" s="182" t="str" cm="1">
        <f t="array" ref="V142">Common_InputFunctions.Utility_DisplayArrayInTable(Fertiliser_SourceData.Fertiliser_Products_Data1(),FertiliserProducts[[#Headers],[Include or Exclude]], 0,4)</f>
        <v/>
      </c>
      <c r="W142" s="182" t="str" cm="1">
        <f t="array" ref="W142">Common_InputFunctions.Utility_DisplayArrayInTable(Fertiliser_SourceData.Fertiliser_Products_Data1(),FertiliserProducts[[#Headers],[Include or Exclude]], 0,4)</f>
        <v/>
      </c>
      <c r="X142" s="182" t="str" cm="1">
        <f t="array" ref="X142">Common_InputFunctions.Utility_DisplayArrayInTable(Fertiliser_SourceData.Fertiliser_Products_Data1(),FertiliserProducts[[#Headers],[Include or Exclude]], 0,4)</f>
        <v/>
      </c>
      <c r="Y142" s="182" t="str" cm="1">
        <f t="array" ref="Y142">Common_InputFunctions.Utility_DisplayArrayInTable(Fertiliser_SourceData.Fertiliser_Products_Data1(),FertiliserProducts[[#Headers],[Include or Exclude]], 0,4)</f>
        <v/>
      </c>
      <c r="Z142" s="182" t="str" cm="1">
        <f t="array" ref="Z142">Common_InputFunctions.Utility_DisplayArrayInTable(Fertiliser_SourceData.Fertiliser_Products_Data1(),FertiliserProducts[[#Headers],[Include or Exclude]], 0,4)</f>
        <v/>
      </c>
      <c r="AA142" s="182" t="str" cm="1">
        <f t="array" ref="AA142">Common_InputFunctions.Utility_DisplayArrayInTable(Fertiliser_SourceData.Fertiliser_Products_Data1(),FertiliserProducts[[#Headers],[Include or Exclude]], 0,4)</f>
        <v/>
      </c>
      <c r="AB142" s="182" t="str" cm="1">
        <f t="array" ref="AB142">Common_InputFunctions.Utility_DisplayArrayInTable(Fertiliser_SourceData.Fertiliser_Products_Data1(),FertiliserProducts[[#Headers],[Include or Exclude]], 0,4)</f>
        <v/>
      </c>
      <c r="AC142" s="182" t="str" cm="1">
        <f t="array" ref="AC142">Common_InputFunctions.Utility_DisplayArrayInTable(Fertiliser_SourceData.Fertiliser_Products_Data1(),FertiliserProducts[[#Headers],[Include or Exclude]], 0,4)</f>
        <v/>
      </c>
      <c r="AD142" s="182" t="str" cm="1">
        <f t="array" ref="AD142">Common_InputFunctions.Utility_DisplayArrayInTable(Fertiliser_SourceData.Fertiliser_Products_Data1(),FertiliserProducts[[#Headers],[Include or Exclude]], 0,4)</f>
        <v/>
      </c>
      <c r="AE142" s="182" t="str" cm="1">
        <f t="array" ref="AE142">Common_InputFunctions.Utility_DisplayArrayInTable(Fertiliser_SourceData.Fertiliser_Products_Data1(),FertiliserProducts[[#Headers],[Include or Exclude]], 0,4)</f>
        <v/>
      </c>
    </row>
    <row r="143" spans="4:31" ht="20.100000000000001" customHeight="1" x14ac:dyDescent="0.25">
      <c r="D143" s="182" t="str" cm="1">
        <f t="array" ref="D143">Common_InputFunctions.Utility_DisplayArrayInTable(Fertiliser_SourceData.Fertiliser_Products_Data1(),FertiliserProducts[[#Headers],[Include or Exclude]], -1)</f>
        <v/>
      </c>
      <c r="E143" s="182" t="str" cm="1">
        <f t="array" ref="E143">Common_InputFunctions.Utility_DisplayArrayInTable(Fertiliser_SourceData.Fertiliser_Products_Data1(),FertiliserProducts[[#Headers],[Include or Exclude]], 0)</f>
        <v/>
      </c>
      <c r="F143" s="182" t="str" cm="1">
        <f t="array" ref="F143">Common_InputFunctions.Utility_DisplayArrayInTable(Fertiliser_SourceData.Fertiliser_Products_Data1(),FertiliserProducts[[#Headers],[Include or Exclude]], 0)</f>
        <v/>
      </c>
      <c r="G143" s="182" t="str" cm="1">
        <f t="array" ref="G143">Common_InputFunctions.Utility_DisplayArrayInTable(Fertiliser_SourceData.Fertiliser_Products_Data1(),FertiliserProducts[[#Headers],[Include or Exclude]], 0)</f>
        <v/>
      </c>
      <c r="H143" s="182" t="str" cm="1">
        <f t="array" ref="H143">Common_InputFunctions.Utility_DisplayArrayInTable(Fertiliser_SourceData.Fertiliser_Products_Data1(),FertiliserProducts[[#Headers],[Include or Exclude]], 0,4)</f>
        <v/>
      </c>
      <c r="I143" s="182" t="str" cm="1">
        <f t="array" ref="I143">Common_InputFunctions.Utility_DisplayArrayInTable(Fertiliser_SourceData.Fertiliser_Products_Data1(),FertiliserProducts[[#Headers],[Include or Exclude]], 0,4)</f>
        <v/>
      </c>
      <c r="J143" s="182" t="str" cm="1">
        <f t="array" ref="J143">Common_InputFunctions.Utility_DisplayArrayInTable(Fertiliser_SourceData.Fertiliser_Products_Data1(),FertiliserProducts[[#Headers],[Include or Exclude]], 0,4)</f>
        <v/>
      </c>
      <c r="K143" s="182" t="str" cm="1">
        <f t="array" ref="K143">Common_InputFunctions.Utility_DisplayArrayInTable(Fertiliser_SourceData.Fertiliser_Products_Data1(),FertiliserProducts[[#Headers],[Include or Exclude]], 0,4)</f>
        <v/>
      </c>
      <c r="L143" s="182" t="str" cm="1">
        <f t="array" ref="L143">Common_InputFunctions.Utility_DisplayArrayInTable(Fertiliser_SourceData.Fertiliser_Products_Data1(),FertiliserProducts[[#Headers],[Include or Exclude]], 0,4)</f>
        <v/>
      </c>
      <c r="M143" s="182" t="str" cm="1">
        <f t="array" ref="M143">Common_InputFunctions.Utility_DisplayArrayInTable(Fertiliser_SourceData.Fertiliser_Products_Data1(),FertiliserProducts[[#Headers],[Include or Exclude]], 0,4)</f>
        <v/>
      </c>
      <c r="N143" s="182" t="str" cm="1">
        <f t="array" ref="N143">Common_InputFunctions.Utility_DisplayArrayInTable(Fertiliser_SourceData.Fertiliser_Products_Data1(),FertiliserProducts[[#Headers],[Include or Exclude]], 0,4)</f>
        <v/>
      </c>
      <c r="O143" s="182" t="str" cm="1">
        <f t="array" ref="O143">Common_InputFunctions.Utility_DisplayArrayInTable(Fertiliser_SourceData.Fertiliser_Products_Data1(),FertiliserProducts[[#Headers],[Include or Exclude]], 0,4)</f>
        <v/>
      </c>
      <c r="P143" s="182" t="str" cm="1">
        <f t="array" ref="P143">Common_InputFunctions.Utility_DisplayArrayInTable(Fertiliser_SourceData.Fertiliser_Products_Data1(),FertiliserProducts[[#Headers],[Include or Exclude]], 0,4)</f>
        <v/>
      </c>
      <c r="Q143" s="182" t="str" cm="1">
        <f t="array" ref="Q143">Common_InputFunctions.Utility_DisplayArrayInTable(Fertiliser_SourceData.Fertiliser_Products_Data1(),FertiliserProducts[[#Headers],[Include or Exclude]], 0,4)</f>
        <v/>
      </c>
      <c r="R143" s="182" t="str" cm="1">
        <f t="array" ref="R143">Common_InputFunctions.Utility_DisplayArrayInTable(Fertiliser_SourceData.Fertiliser_Products_Data1(),FertiliserProducts[[#Headers],[Include or Exclude]], 0,4)</f>
        <v/>
      </c>
      <c r="S143" s="182" t="str" cm="1">
        <f t="array" ref="S143">Common_InputFunctions.Utility_DisplayArrayInTable(Fertiliser_SourceData.Fertiliser_Products_Data1(),FertiliserProducts[[#Headers],[Include or Exclude]], 0,4)</f>
        <v/>
      </c>
      <c r="T143" s="182" t="str" cm="1">
        <f t="array" ref="T143">Common_InputFunctions.Utility_DisplayArrayInTable(Fertiliser_SourceData.Fertiliser_Products_Data1(),FertiliserProducts[[#Headers],[Include or Exclude]], 0,4)</f>
        <v/>
      </c>
      <c r="U143" s="182" t="str" cm="1">
        <f t="array" ref="U143">Common_InputFunctions.Utility_DisplayArrayInTable(Fertiliser_SourceData.Fertiliser_Products_Data1(),FertiliserProducts[[#Headers],[Include or Exclude]], 0,4)</f>
        <v/>
      </c>
      <c r="V143" s="182" t="str" cm="1">
        <f t="array" ref="V143">Common_InputFunctions.Utility_DisplayArrayInTable(Fertiliser_SourceData.Fertiliser_Products_Data1(),FertiliserProducts[[#Headers],[Include or Exclude]], 0,4)</f>
        <v/>
      </c>
      <c r="W143" s="182" t="str" cm="1">
        <f t="array" ref="W143">Common_InputFunctions.Utility_DisplayArrayInTable(Fertiliser_SourceData.Fertiliser_Products_Data1(),FertiliserProducts[[#Headers],[Include or Exclude]], 0,4)</f>
        <v/>
      </c>
      <c r="X143" s="182" t="str" cm="1">
        <f t="array" ref="X143">Common_InputFunctions.Utility_DisplayArrayInTable(Fertiliser_SourceData.Fertiliser_Products_Data1(),FertiliserProducts[[#Headers],[Include or Exclude]], 0,4)</f>
        <v/>
      </c>
      <c r="Y143" s="182" t="str" cm="1">
        <f t="array" ref="Y143">Common_InputFunctions.Utility_DisplayArrayInTable(Fertiliser_SourceData.Fertiliser_Products_Data1(),FertiliserProducts[[#Headers],[Include or Exclude]], 0,4)</f>
        <v/>
      </c>
      <c r="Z143" s="182" t="str" cm="1">
        <f t="array" ref="Z143">Common_InputFunctions.Utility_DisplayArrayInTable(Fertiliser_SourceData.Fertiliser_Products_Data1(),FertiliserProducts[[#Headers],[Include or Exclude]], 0,4)</f>
        <v/>
      </c>
      <c r="AA143" s="182" t="str" cm="1">
        <f t="array" ref="AA143">Common_InputFunctions.Utility_DisplayArrayInTable(Fertiliser_SourceData.Fertiliser_Products_Data1(),FertiliserProducts[[#Headers],[Include or Exclude]], 0,4)</f>
        <v/>
      </c>
      <c r="AB143" s="182" t="str" cm="1">
        <f t="array" ref="AB143">Common_InputFunctions.Utility_DisplayArrayInTable(Fertiliser_SourceData.Fertiliser_Products_Data1(),FertiliserProducts[[#Headers],[Include or Exclude]], 0,4)</f>
        <v/>
      </c>
      <c r="AC143" s="182" t="str" cm="1">
        <f t="array" ref="AC143">Common_InputFunctions.Utility_DisplayArrayInTable(Fertiliser_SourceData.Fertiliser_Products_Data1(),FertiliserProducts[[#Headers],[Include or Exclude]], 0,4)</f>
        <v/>
      </c>
      <c r="AD143" s="182" t="str" cm="1">
        <f t="array" ref="AD143">Common_InputFunctions.Utility_DisplayArrayInTable(Fertiliser_SourceData.Fertiliser_Products_Data1(),FertiliserProducts[[#Headers],[Include or Exclude]], 0,4)</f>
        <v/>
      </c>
      <c r="AE143" s="182" t="str" cm="1">
        <f t="array" ref="AE143">Common_InputFunctions.Utility_DisplayArrayInTable(Fertiliser_SourceData.Fertiliser_Products_Data1(),FertiliserProducts[[#Headers],[Include or Exclude]], 0,4)</f>
        <v/>
      </c>
    </row>
    <row r="144" spans="4:31" ht="20.100000000000001" customHeight="1" x14ac:dyDescent="0.25">
      <c r="D144" s="182" t="str" cm="1">
        <f t="array" ref="D144">Common_InputFunctions.Utility_DisplayArrayInTable(Fertiliser_SourceData.Fertiliser_Products_Data1(),FertiliserProducts[[#Headers],[Include or Exclude]], -1)</f>
        <v/>
      </c>
      <c r="E144" s="182" t="str" cm="1">
        <f t="array" ref="E144">Common_InputFunctions.Utility_DisplayArrayInTable(Fertiliser_SourceData.Fertiliser_Products_Data1(),FertiliserProducts[[#Headers],[Include or Exclude]], 0)</f>
        <v/>
      </c>
      <c r="F144" s="182" t="str" cm="1">
        <f t="array" ref="F144">Common_InputFunctions.Utility_DisplayArrayInTable(Fertiliser_SourceData.Fertiliser_Products_Data1(),FertiliserProducts[[#Headers],[Include or Exclude]], 0)</f>
        <v/>
      </c>
      <c r="G144" s="182" t="str" cm="1">
        <f t="array" ref="G144">Common_InputFunctions.Utility_DisplayArrayInTable(Fertiliser_SourceData.Fertiliser_Products_Data1(),FertiliserProducts[[#Headers],[Include or Exclude]], 0)</f>
        <v/>
      </c>
      <c r="H144" s="182" t="str" cm="1">
        <f t="array" ref="H144">Common_InputFunctions.Utility_DisplayArrayInTable(Fertiliser_SourceData.Fertiliser_Products_Data1(),FertiliserProducts[[#Headers],[Include or Exclude]], 0,4)</f>
        <v/>
      </c>
      <c r="I144" s="182" t="str" cm="1">
        <f t="array" ref="I144">Common_InputFunctions.Utility_DisplayArrayInTable(Fertiliser_SourceData.Fertiliser_Products_Data1(),FertiliserProducts[[#Headers],[Include or Exclude]], 0,4)</f>
        <v/>
      </c>
      <c r="J144" s="182" t="str" cm="1">
        <f t="array" ref="J144">Common_InputFunctions.Utility_DisplayArrayInTable(Fertiliser_SourceData.Fertiliser_Products_Data1(),FertiliserProducts[[#Headers],[Include or Exclude]], 0,4)</f>
        <v/>
      </c>
      <c r="K144" s="182" t="str" cm="1">
        <f t="array" ref="K144">Common_InputFunctions.Utility_DisplayArrayInTable(Fertiliser_SourceData.Fertiliser_Products_Data1(),FertiliserProducts[[#Headers],[Include or Exclude]], 0,4)</f>
        <v/>
      </c>
      <c r="L144" s="182" t="str" cm="1">
        <f t="array" ref="L144">Common_InputFunctions.Utility_DisplayArrayInTable(Fertiliser_SourceData.Fertiliser_Products_Data1(),FertiliserProducts[[#Headers],[Include or Exclude]], 0,4)</f>
        <v/>
      </c>
      <c r="M144" s="182" t="str" cm="1">
        <f t="array" ref="M144">Common_InputFunctions.Utility_DisplayArrayInTable(Fertiliser_SourceData.Fertiliser_Products_Data1(),FertiliserProducts[[#Headers],[Include or Exclude]], 0,4)</f>
        <v/>
      </c>
      <c r="N144" s="182" t="str" cm="1">
        <f t="array" ref="N144">Common_InputFunctions.Utility_DisplayArrayInTable(Fertiliser_SourceData.Fertiliser_Products_Data1(),FertiliserProducts[[#Headers],[Include or Exclude]], 0,4)</f>
        <v/>
      </c>
      <c r="O144" s="182" t="str" cm="1">
        <f t="array" ref="O144">Common_InputFunctions.Utility_DisplayArrayInTable(Fertiliser_SourceData.Fertiliser_Products_Data1(),FertiliserProducts[[#Headers],[Include or Exclude]], 0,4)</f>
        <v/>
      </c>
      <c r="P144" s="182" t="str" cm="1">
        <f t="array" ref="P144">Common_InputFunctions.Utility_DisplayArrayInTable(Fertiliser_SourceData.Fertiliser_Products_Data1(),FertiliserProducts[[#Headers],[Include or Exclude]], 0,4)</f>
        <v/>
      </c>
      <c r="Q144" s="182" t="str" cm="1">
        <f t="array" ref="Q144">Common_InputFunctions.Utility_DisplayArrayInTable(Fertiliser_SourceData.Fertiliser_Products_Data1(),FertiliserProducts[[#Headers],[Include or Exclude]], 0,4)</f>
        <v/>
      </c>
      <c r="R144" s="182" t="str" cm="1">
        <f t="array" ref="R144">Common_InputFunctions.Utility_DisplayArrayInTable(Fertiliser_SourceData.Fertiliser_Products_Data1(),FertiliserProducts[[#Headers],[Include or Exclude]], 0,4)</f>
        <v/>
      </c>
      <c r="S144" s="182" t="str" cm="1">
        <f t="array" ref="S144">Common_InputFunctions.Utility_DisplayArrayInTable(Fertiliser_SourceData.Fertiliser_Products_Data1(),FertiliserProducts[[#Headers],[Include or Exclude]], 0,4)</f>
        <v/>
      </c>
      <c r="T144" s="182" t="str" cm="1">
        <f t="array" ref="T144">Common_InputFunctions.Utility_DisplayArrayInTable(Fertiliser_SourceData.Fertiliser_Products_Data1(),FertiliserProducts[[#Headers],[Include or Exclude]], 0,4)</f>
        <v/>
      </c>
      <c r="U144" s="182" t="str" cm="1">
        <f t="array" ref="U144">Common_InputFunctions.Utility_DisplayArrayInTable(Fertiliser_SourceData.Fertiliser_Products_Data1(),FertiliserProducts[[#Headers],[Include or Exclude]], 0,4)</f>
        <v/>
      </c>
      <c r="V144" s="182" t="str" cm="1">
        <f t="array" ref="V144">Common_InputFunctions.Utility_DisplayArrayInTable(Fertiliser_SourceData.Fertiliser_Products_Data1(),FertiliserProducts[[#Headers],[Include or Exclude]], 0,4)</f>
        <v/>
      </c>
      <c r="W144" s="182" t="str" cm="1">
        <f t="array" ref="W144">Common_InputFunctions.Utility_DisplayArrayInTable(Fertiliser_SourceData.Fertiliser_Products_Data1(),FertiliserProducts[[#Headers],[Include or Exclude]], 0,4)</f>
        <v/>
      </c>
      <c r="X144" s="182" t="str" cm="1">
        <f t="array" ref="X144">Common_InputFunctions.Utility_DisplayArrayInTable(Fertiliser_SourceData.Fertiliser_Products_Data1(),FertiliserProducts[[#Headers],[Include or Exclude]], 0,4)</f>
        <v/>
      </c>
      <c r="Y144" s="182" t="str" cm="1">
        <f t="array" ref="Y144">Common_InputFunctions.Utility_DisplayArrayInTable(Fertiliser_SourceData.Fertiliser_Products_Data1(),FertiliserProducts[[#Headers],[Include or Exclude]], 0,4)</f>
        <v/>
      </c>
      <c r="Z144" s="182" t="str" cm="1">
        <f t="array" ref="Z144">Common_InputFunctions.Utility_DisplayArrayInTable(Fertiliser_SourceData.Fertiliser_Products_Data1(),FertiliserProducts[[#Headers],[Include or Exclude]], 0,4)</f>
        <v/>
      </c>
      <c r="AA144" s="182" t="str" cm="1">
        <f t="array" ref="AA144">Common_InputFunctions.Utility_DisplayArrayInTable(Fertiliser_SourceData.Fertiliser_Products_Data1(),FertiliserProducts[[#Headers],[Include or Exclude]], 0,4)</f>
        <v/>
      </c>
      <c r="AB144" s="182" t="str" cm="1">
        <f t="array" ref="AB144">Common_InputFunctions.Utility_DisplayArrayInTable(Fertiliser_SourceData.Fertiliser_Products_Data1(),FertiliserProducts[[#Headers],[Include or Exclude]], 0,4)</f>
        <v/>
      </c>
      <c r="AC144" s="182" t="str" cm="1">
        <f t="array" ref="AC144">Common_InputFunctions.Utility_DisplayArrayInTable(Fertiliser_SourceData.Fertiliser_Products_Data1(),FertiliserProducts[[#Headers],[Include or Exclude]], 0,4)</f>
        <v/>
      </c>
      <c r="AD144" s="182" t="str" cm="1">
        <f t="array" ref="AD144">Common_InputFunctions.Utility_DisplayArrayInTable(Fertiliser_SourceData.Fertiliser_Products_Data1(),FertiliserProducts[[#Headers],[Include or Exclude]], 0,4)</f>
        <v/>
      </c>
      <c r="AE144" s="182" t="str" cm="1">
        <f t="array" ref="AE144">Common_InputFunctions.Utility_DisplayArrayInTable(Fertiliser_SourceData.Fertiliser_Products_Data1(),FertiliserProducts[[#Headers],[Include or Exclude]], 0,4)</f>
        <v/>
      </c>
    </row>
    <row r="145" spans="4:31" ht="20.100000000000001" customHeight="1" x14ac:dyDescent="0.25">
      <c r="D145" s="182" t="str" cm="1">
        <f t="array" ref="D145">Common_InputFunctions.Utility_DisplayArrayInTable(Fertiliser_SourceData.Fertiliser_Products_Data1(),FertiliserProducts[[#Headers],[Include or Exclude]], -1)</f>
        <v/>
      </c>
      <c r="E145" s="182" t="str" cm="1">
        <f t="array" ref="E145">Common_InputFunctions.Utility_DisplayArrayInTable(Fertiliser_SourceData.Fertiliser_Products_Data1(),FertiliserProducts[[#Headers],[Include or Exclude]], 0)</f>
        <v/>
      </c>
      <c r="F145" s="182" t="str" cm="1">
        <f t="array" ref="F145">Common_InputFunctions.Utility_DisplayArrayInTable(Fertiliser_SourceData.Fertiliser_Products_Data1(),FertiliserProducts[[#Headers],[Include or Exclude]], 0)</f>
        <v/>
      </c>
      <c r="G145" s="182" t="str" cm="1">
        <f t="array" ref="G145">Common_InputFunctions.Utility_DisplayArrayInTable(Fertiliser_SourceData.Fertiliser_Products_Data1(),FertiliserProducts[[#Headers],[Include or Exclude]], 0)</f>
        <v/>
      </c>
      <c r="H145" s="182" t="str" cm="1">
        <f t="array" ref="H145">Common_InputFunctions.Utility_DisplayArrayInTable(Fertiliser_SourceData.Fertiliser_Products_Data1(),FertiliserProducts[[#Headers],[Include or Exclude]], 0,4)</f>
        <v/>
      </c>
      <c r="I145" s="182" t="str" cm="1">
        <f t="array" ref="I145">Common_InputFunctions.Utility_DisplayArrayInTable(Fertiliser_SourceData.Fertiliser_Products_Data1(),FertiliserProducts[[#Headers],[Include or Exclude]], 0,4)</f>
        <v/>
      </c>
      <c r="J145" s="182" t="str" cm="1">
        <f t="array" ref="J145">Common_InputFunctions.Utility_DisplayArrayInTable(Fertiliser_SourceData.Fertiliser_Products_Data1(),FertiliserProducts[[#Headers],[Include or Exclude]], 0,4)</f>
        <v/>
      </c>
      <c r="K145" s="182" t="str" cm="1">
        <f t="array" ref="K145">Common_InputFunctions.Utility_DisplayArrayInTable(Fertiliser_SourceData.Fertiliser_Products_Data1(),FertiliserProducts[[#Headers],[Include or Exclude]], 0,4)</f>
        <v/>
      </c>
      <c r="L145" s="182" t="str" cm="1">
        <f t="array" ref="L145">Common_InputFunctions.Utility_DisplayArrayInTable(Fertiliser_SourceData.Fertiliser_Products_Data1(),FertiliserProducts[[#Headers],[Include or Exclude]], 0,4)</f>
        <v/>
      </c>
      <c r="M145" s="182" t="str" cm="1">
        <f t="array" ref="M145">Common_InputFunctions.Utility_DisplayArrayInTable(Fertiliser_SourceData.Fertiliser_Products_Data1(),FertiliserProducts[[#Headers],[Include or Exclude]], 0,4)</f>
        <v/>
      </c>
      <c r="N145" s="182" t="str" cm="1">
        <f t="array" ref="N145">Common_InputFunctions.Utility_DisplayArrayInTable(Fertiliser_SourceData.Fertiliser_Products_Data1(),FertiliserProducts[[#Headers],[Include or Exclude]], 0,4)</f>
        <v/>
      </c>
      <c r="O145" s="182" t="str" cm="1">
        <f t="array" ref="O145">Common_InputFunctions.Utility_DisplayArrayInTable(Fertiliser_SourceData.Fertiliser_Products_Data1(),FertiliserProducts[[#Headers],[Include or Exclude]], 0,4)</f>
        <v/>
      </c>
      <c r="P145" s="182" t="str" cm="1">
        <f t="array" ref="P145">Common_InputFunctions.Utility_DisplayArrayInTable(Fertiliser_SourceData.Fertiliser_Products_Data1(),FertiliserProducts[[#Headers],[Include or Exclude]], 0,4)</f>
        <v/>
      </c>
      <c r="Q145" s="182" t="str" cm="1">
        <f t="array" ref="Q145">Common_InputFunctions.Utility_DisplayArrayInTable(Fertiliser_SourceData.Fertiliser_Products_Data1(),FertiliserProducts[[#Headers],[Include or Exclude]], 0,4)</f>
        <v/>
      </c>
      <c r="R145" s="182" t="str" cm="1">
        <f t="array" ref="R145">Common_InputFunctions.Utility_DisplayArrayInTable(Fertiliser_SourceData.Fertiliser_Products_Data1(),FertiliserProducts[[#Headers],[Include or Exclude]], 0,4)</f>
        <v/>
      </c>
      <c r="S145" s="182" t="str" cm="1">
        <f t="array" ref="S145">Common_InputFunctions.Utility_DisplayArrayInTable(Fertiliser_SourceData.Fertiliser_Products_Data1(),FertiliserProducts[[#Headers],[Include or Exclude]], 0,4)</f>
        <v/>
      </c>
      <c r="T145" s="182" t="str" cm="1">
        <f t="array" ref="T145">Common_InputFunctions.Utility_DisplayArrayInTable(Fertiliser_SourceData.Fertiliser_Products_Data1(),FertiliserProducts[[#Headers],[Include or Exclude]], 0,4)</f>
        <v/>
      </c>
      <c r="U145" s="182" t="str" cm="1">
        <f t="array" ref="U145">Common_InputFunctions.Utility_DisplayArrayInTable(Fertiliser_SourceData.Fertiliser_Products_Data1(),FertiliserProducts[[#Headers],[Include or Exclude]], 0,4)</f>
        <v/>
      </c>
      <c r="V145" s="182" t="str" cm="1">
        <f t="array" ref="V145">Common_InputFunctions.Utility_DisplayArrayInTable(Fertiliser_SourceData.Fertiliser_Products_Data1(),FertiliserProducts[[#Headers],[Include or Exclude]], 0,4)</f>
        <v/>
      </c>
      <c r="W145" s="182" t="str" cm="1">
        <f t="array" ref="W145">Common_InputFunctions.Utility_DisplayArrayInTable(Fertiliser_SourceData.Fertiliser_Products_Data1(),FertiliserProducts[[#Headers],[Include or Exclude]], 0,4)</f>
        <v/>
      </c>
      <c r="X145" s="182" t="str" cm="1">
        <f t="array" ref="X145">Common_InputFunctions.Utility_DisplayArrayInTable(Fertiliser_SourceData.Fertiliser_Products_Data1(),FertiliserProducts[[#Headers],[Include or Exclude]], 0,4)</f>
        <v/>
      </c>
      <c r="Y145" s="182" t="str" cm="1">
        <f t="array" ref="Y145">Common_InputFunctions.Utility_DisplayArrayInTable(Fertiliser_SourceData.Fertiliser_Products_Data1(),FertiliserProducts[[#Headers],[Include or Exclude]], 0,4)</f>
        <v/>
      </c>
      <c r="Z145" s="182" t="str" cm="1">
        <f t="array" ref="Z145">Common_InputFunctions.Utility_DisplayArrayInTable(Fertiliser_SourceData.Fertiliser_Products_Data1(),FertiliserProducts[[#Headers],[Include or Exclude]], 0,4)</f>
        <v/>
      </c>
      <c r="AA145" s="182" t="str" cm="1">
        <f t="array" ref="AA145">Common_InputFunctions.Utility_DisplayArrayInTable(Fertiliser_SourceData.Fertiliser_Products_Data1(),FertiliserProducts[[#Headers],[Include or Exclude]], 0,4)</f>
        <v/>
      </c>
      <c r="AB145" s="182" t="str" cm="1">
        <f t="array" ref="AB145">Common_InputFunctions.Utility_DisplayArrayInTable(Fertiliser_SourceData.Fertiliser_Products_Data1(),FertiliserProducts[[#Headers],[Include or Exclude]], 0,4)</f>
        <v/>
      </c>
      <c r="AC145" s="182" t="str" cm="1">
        <f t="array" ref="AC145">Common_InputFunctions.Utility_DisplayArrayInTable(Fertiliser_SourceData.Fertiliser_Products_Data1(),FertiliserProducts[[#Headers],[Include or Exclude]], 0,4)</f>
        <v/>
      </c>
      <c r="AD145" s="182" t="str" cm="1">
        <f t="array" ref="AD145">Common_InputFunctions.Utility_DisplayArrayInTable(Fertiliser_SourceData.Fertiliser_Products_Data1(),FertiliserProducts[[#Headers],[Include or Exclude]], 0,4)</f>
        <v/>
      </c>
      <c r="AE145" s="182" t="str" cm="1">
        <f t="array" ref="AE145">Common_InputFunctions.Utility_DisplayArrayInTable(Fertiliser_SourceData.Fertiliser_Products_Data1(),FertiliserProducts[[#Headers],[Include or Exclude]], 0,4)</f>
        <v/>
      </c>
    </row>
    <row r="146" spans="4:31" ht="20.100000000000001" customHeight="1" x14ac:dyDescent="0.25">
      <c r="D146" s="182" t="str" cm="1">
        <f t="array" ref="D146">Common_InputFunctions.Utility_DisplayArrayInTable(Fertiliser_SourceData.Fertiliser_Products_Data1(),FertiliserProducts[[#Headers],[Include or Exclude]], -1)</f>
        <v/>
      </c>
      <c r="E146" s="182" t="str" cm="1">
        <f t="array" ref="E146">Common_InputFunctions.Utility_DisplayArrayInTable(Fertiliser_SourceData.Fertiliser_Products_Data1(),FertiliserProducts[[#Headers],[Include or Exclude]], 0)</f>
        <v/>
      </c>
      <c r="F146" s="182" t="str" cm="1">
        <f t="array" ref="F146">Common_InputFunctions.Utility_DisplayArrayInTable(Fertiliser_SourceData.Fertiliser_Products_Data1(),FertiliserProducts[[#Headers],[Include or Exclude]], 0)</f>
        <v/>
      </c>
      <c r="G146" s="182" t="str" cm="1">
        <f t="array" ref="G146">Common_InputFunctions.Utility_DisplayArrayInTable(Fertiliser_SourceData.Fertiliser_Products_Data1(),FertiliserProducts[[#Headers],[Include or Exclude]], 0)</f>
        <v/>
      </c>
      <c r="H146" s="182" t="str" cm="1">
        <f t="array" ref="H146">Common_InputFunctions.Utility_DisplayArrayInTable(Fertiliser_SourceData.Fertiliser_Products_Data1(),FertiliserProducts[[#Headers],[Include or Exclude]], 0,4)</f>
        <v/>
      </c>
      <c r="I146" s="182" t="str" cm="1">
        <f t="array" ref="I146">Common_InputFunctions.Utility_DisplayArrayInTable(Fertiliser_SourceData.Fertiliser_Products_Data1(),FertiliserProducts[[#Headers],[Include or Exclude]], 0,4)</f>
        <v/>
      </c>
      <c r="J146" s="182" t="str" cm="1">
        <f t="array" ref="J146">Common_InputFunctions.Utility_DisplayArrayInTable(Fertiliser_SourceData.Fertiliser_Products_Data1(),FertiliserProducts[[#Headers],[Include or Exclude]], 0,4)</f>
        <v/>
      </c>
      <c r="K146" s="182" t="str" cm="1">
        <f t="array" ref="K146">Common_InputFunctions.Utility_DisplayArrayInTable(Fertiliser_SourceData.Fertiliser_Products_Data1(),FertiliserProducts[[#Headers],[Include or Exclude]], 0,4)</f>
        <v/>
      </c>
      <c r="L146" s="182" t="str" cm="1">
        <f t="array" ref="L146">Common_InputFunctions.Utility_DisplayArrayInTable(Fertiliser_SourceData.Fertiliser_Products_Data1(),FertiliserProducts[[#Headers],[Include or Exclude]], 0,4)</f>
        <v/>
      </c>
      <c r="M146" s="182" t="str" cm="1">
        <f t="array" ref="M146">Common_InputFunctions.Utility_DisplayArrayInTable(Fertiliser_SourceData.Fertiliser_Products_Data1(),FertiliserProducts[[#Headers],[Include or Exclude]], 0,4)</f>
        <v/>
      </c>
      <c r="N146" s="182" t="str" cm="1">
        <f t="array" ref="N146">Common_InputFunctions.Utility_DisplayArrayInTable(Fertiliser_SourceData.Fertiliser_Products_Data1(),FertiliserProducts[[#Headers],[Include or Exclude]], 0,4)</f>
        <v/>
      </c>
      <c r="O146" s="182" t="str" cm="1">
        <f t="array" ref="O146">Common_InputFunctions.Utility_DisplayArrayInTable(Fertiliser_SourceData.Fertiliser_Products_Data1(),FertiliserProducts[[#Headers],[Include or Exclude]], 0,4)</f>
        <v/>
      </c>
      <c r="P146" s="182" t="str" cm="1">
        <f t="array" ref="P146">Common_InputFunctions.Utility_DisplayArrayInTable(Fertiliser_SourceData.Fertiliser_Products_Data1(),FertiliserProducts[[#Headers],[Include or Exclude]], 0,4)</f>
        <v/>
      </c>
      <c r="Q146" s="182" t="str" cm="1">
        <f t="array" ref="Q146">Common_InputFunctions.Utility_DisplayArrayInTable(Fertiliser_SourceData.Fertiliser_Products_Data1(),FertiliserProducts[[#Headers],[Include or Exclude]], 0,4)</f>
        <v/>
      </c>
      <c r="R146" s="182" t="str" cm="1">
        <f t="array" ref="R146">Common_InputFunctions.Utility_DisplayArrayInTable(Fertiliser_SourceData.Fertiliser_Products_Data1(),FertiliserProducts[[#Headers],[Include or Exclude]], 0,4)</f>
        <v/>
      </c>
      <c r="S146" s="182" t="str" cm="1">
        <f t="array" ref="S146">Common_InputFunctions.Utility_DisplayArrayInTable(Fertiliser_SourceData.Fertiliser_Products_Data1(),FertiliserProducts[[#Headers],[Include or Exclude]], 0,4)</f>
        <v/>
      </c>
      <c r="T146" s="182" t="str" cm="1">
        <f t="array" ref="T146">Common_InputFunctions.Utility_DisplayArrayInTable(Fertiliser_SourceData.Fertiliser_Products_Data1(),FertiliserProducts[[#Headers],[Include or Exclude]], 0,4)</f>
        <v/>
      </c>
      <c r="U146" s="182" t="str" cm="1">
        <f t="array" ref="U146">Common_InputFunctions.Utility_DisplayArrayInTable(Fertiliser_SourceData.Fertiliser_Products_Data1(),FertiliserProducts[[#Headers],[Include or Exclude]], 0,4)</f>
        <v/>
      </c>
      <c r="V146" s="182" t="str" cm="1">
        <f t="array" ref="V146">Common_InputFunctions.Utility_DisplayArrayInTable(Fertiliser_SourceData.Fertiliser_Products_Data1(),FertiliserProducts[[#Headers],[Include or Exclude]], 0,4)</f>
        <v/>
      </c>
      <c r="W146" s="182" t="str" cm="1">
        <f t="array" ref="W146">Common_InputFunctions.Utility_DisplayArrayInTable(Fertiliser_SourceData.Fertiliser_Products_Data1(),FertiliserProducts[[#Headers],[Include or Exclude]], 0,4)</f>
        <v/>
      </c>
      <c r="X146" s="182" t="str" cm="1">
        <f t="array" ref="X146">Common_InputFunctions.Utility_DisplayArrayInTable(Fertiliser_SourceData.Fertiliser_Products_Data1(),FertiliserProducts[[#Headers],[Include or Exclude]], 0,4)</f>
        <v/>
      </c>
      <c r="Y146" s="182" t="str" cm="1">
        <f t="array" ref="Y146">Common_InputFunctions.Utility_DisplayArrayInTable(Fertiliser_SourceData.Fertiliser_Products_Data1(),FertiliserProducts[[#Headers],[Include or Exclude]], 0,4)</f>
        <v/>
      </c>
      <c r="Z146" s="182" t="str" cm="1">
        <f t="array" ref="Z146">Common_InputFunctions.Utility_DisplayArrayInTable(Fertiliser_SourceData.Fertiliser_Products_Data1(),FertiliserProducts[[#Headers],[Include or Exclude]], 0,4)</f>
        <v/>
      </c>
      <c r="AA146" s="182" t="str" cm="1">
        <f t="array" ref="AA146">Common_InputFunctions.Utility_DisplayArrayInTable(Fertiliser_SourceData.Fertiliser_Products_Data1(),FertiliserProducts[[#Headers],[Include or Exclude]], 0,4)</f>
        <v/>
      </c>
      <c r="AB146" s="182" t="str" cm="1">
        <f t="array" ref="AB146">Common_InputFunctions.Utility_DisplayArrayInTable(Fertiliser_SourceData.Fertiliser_Products_Data1(),FertiliserProducts[[#Headers],[Include or Exclude]], 0,4)</f>
        <v/>
      </c>
      <c r="AC146" s="182" t="str" cm="1">
        <f t="array" ref="AC146">Common_InputFunctions.Utility_DisplayArrayInTable(Fertiliser_SourceData.Fertiliser_Products_Data1(),FertiliserProducts[[#Headers],[Include or Exclude]], 0,4)</f>
        <v/>
      </c>
      <c r="AD146" s="182" t="str" cm="1">
        <f t="array" ref="AD146">Common_InputFunctions.Utility_DisplayArrayInTable(Fertiliser_SourceData.Fertiliser_Products_Data1(),FertiliserProducts[[#Headers],[Include or Exclude]], 0,4)</f>
        <v/>
      </c>
      <c r="AE146" s="182" t="str" cm="1">
        <f t="array" ref="AE146">Common_InputFunctions.Utility_DisplayArrayInTable(Fertiliser_SourceData.Fertiliser_Products_Data1(),FertiliserProducts[[#Headers],[Include or Exclude]], 0,4)</f>
        <v/>
      </c>
    </row>
    <row r="147" spans="4:31" ht="20.100000000000001" customHeight="1" x14ac:dyDescent="0.25">
      <c r="D147" s="182" t="str" cm="1">
        <f t="array" ref="D147">Common_InputFunctions.Utility_DisplayArrayInTable(Fertiliser_SourceData.Fertiliser_Products_Data1(),FertiliserProducts[[#Headers],[Include or Exclude]], -1)</f>
        <v/>
      </c>
      <c r="E147" s="182" t="str" cm="1">
        <f t="array" ref="E147">Common_InputFunctions.Utility_DisplayArrayInTable(Fertiliser_SourceData.Fertiliser_Products_Data1(),FertiliserProducts[[#Headers],[Include or Exclude]], 0)</f>
        <v/>
      </c>
      <c r="F147" s="182" t="str" cm="1">
        <f t="array" ref="F147">Common_InputFunctions.Utility_DisplayArrayInTable(Fertiliser_SourceData.Fertiliser_Products_Data1(),FertiliserProducts[[#Headers],[Include or Exclude]], 0)</f>
        <v/>
      </c>
      <c r="G147" s="182" t="str" cm="1">
        <f t="array" ref="G147">Common_InputFunctions.Utility_DisplayArrayInTable(Fertiliser_SourceData.Fertiliser_Products_Data1(),FertiliserProducts[[#Headers],[Include or Exclude]], 0)</f>
        <v/>
      </c>
      <c r="H147" s="182" t="str" cm="1">
        <f t="array" ref="H147">Common_InputFunctions.Utility_DisplayArrayInTable(Fertiliser_SourceData.Fertiliser_Products_Data1(),FertiliserProducts[[#Headers],[Include or Exclude]], 0,4)</f>
        <v/>
      </c>
      <c r="I147" s="182" t="str" cm="1">
        <f t="array" ref="I147">Common_InputFunctions.Utility_DisplayArrayInTable(Fertiliser_SourceData.Fertiliser_Products_Data1(),FertiliserProducts[[#Headers],[Include or Exclude]], 0,4)</f>
        <v/>
      </c>
      <c r="J147" s="182" t="str" cm="1">
        <f t="array" ref="J147">Common_InputFunctions.Utility_DisplayArrayInTable(Fertiliser_SourceData.Fertiliser_Products_Data1(),FertiliserProducts[[#Headers],[Include or Exclude]], 0,4)</f>
        <v/>
      </c>
      <c r="K147" s="182" t="str" cm="1">
        <f t="array" ref="K147">Common_InputFunctions.Utility_DisplayArrayInTable(Fertiliser_SourceData.Fertiliser_Products_Data1(),FertiliserProducts[[#Headers],[Include or Exclude]], 0,4)</f>
        <v/>
      </c>
      <c r="L147" s="182" t="str" cm="1">
        <f t="array" ref="L147">Common_InputFunctions.Utility_DisplayArrayInTable(Fertiliser_SourceData.Fertiliser_Products_Data1(),FertiliserProducts[[#Headers],[Include or Exclude]], 0,4)</f>
        <v/>
      </c>
      <c r="M147" s="182" t="str" cm="1">
        <f t="array" ref="M147">Common_InputFunctions.Utility_DisplayArrayInTable(Fertiliser_SourceData.Fertiliser_Products_Data1(),FertiliserProducts[[#Headers],[Include or Exclude]], 0,4)</f>
        <v/>
      </c>
      <c r="N147" s="182" t="str" cm="1">
        <f t="array" ref="N147">Common_InputFunctions.Utility_DisplayArrayInTable(Fertiliser_SourceData.Fertiliser_Products_Data1(),FertiliserProducts[[#Headers],[Include or Exclude]], 0,4)</f>
        <v/>
      </c>
      <c r="O147" s="182" t="str" cm="1">
        <f t="array" ref="O147">Common_InputFunctions.Utility_DisplayArrayInTable(Fertiliser_SourceData.Fertiliser_Products_Data1(),FertiliserProducts[[#Headers],[Include or Exclude]], 0,4)</f>
        <v/>
      </c>
      <c r="P147" s="182" t="str" cm="1">
        <f t="array" ref="P147">Common_InputFunctions.Utility_DisplayArrayInTable(Fertiliser_SourceData.Fertiliser_Products_Data1(),FertiliserProducts[[#Headers],[Include or Exclude]], 0,4)</f>
        <v/>
      </c>
      <c r="Q147" s="182" t="str" cm="1">
        <f t="array" ref="Q147">Common_InputFunctions.Utility_DisplayArrayInTable(Fertiliser_SourceData.Fertiliser_Products_Data1(),FertiliserProducts[[#Headers],[Include or Exclude]], 0,4)</f>
        <v/>
      </c>
      <c r="R147" s="182" t="str" cm="1">
        <f t="array" ref="R147">Common_InputFunctions.Utility_DisplayArrayInTable(Fertiliser_SourceData.Fertiliser_Products_Data1(),FertiliserProducts[[#Headers],[Include or Exclude]], 0,4)</f>
        <v/>
      </c>
      <c r="S147" s="182" t="str" cm="1">
        <f t="array" ref="S147">Common_InputFunctions.Utility_DisplayArrayInTable(Fertiliser_SourceData.Fertiliser_Products_Data1(),FertiliserProducts[[#Headers],[Include or Exclude]], 0,4)</f>
        <v/>
      </c>
      <c r="T147" s="182" t="str" cm="1">
        <f t="array" ref="T147">Common_InputFunctions.Utility_DisplayArrayInTable(Fertiliser_SourceData.Fertiliser_Products_Data1(),FertiliserProducts[[#Headers],[Include or Exclude]], 0,4)</f>
        <v/>
      </c>
      <c r="U147" s="182" t="str" cm="1">
        <f t="array" ref="U147">Common_InputFunctions.Utility_DisplayArrayInTable(Fertiliser_SourceData.Fertiliser_Products_Data1(),FertiliserProducts[[#Headers],[Include or Exclude]], 0,4)</f>
        <v/>
      </c>
      <c r="V147" s="182" t="str" cm="1">
        <f t="array" ref="V147">Common_InputFunctions.Utility_DisplayArrayInTable(Fertiliser_SourceData.Fertiliser_Products_Data1(),FertiliserProducts[[#Headers],[Include or Exclude]], 0,4)</f>
        <v/>
      </c>
      <c r="W147" s="182" t="str" cm="1">
        <f t="array" ref="W147">Common_InputFunctions.Utility_DisplayArrayInTable(Fertiliser_SourceData.Fertiliser_Products_Data1(),FertiliserProducts[[#Headers],[Include or Exclude]], 0,4)</f>
        <v/>
      </c>
      <c r="X147" s="182" t="str" cm="1">
        <f t="array" ref="X147">Common_InputFunctions.Utility_DisplayArrayInTable(Fertiliser_SourceData.Fertiliser_Products_Data1(),FertiliserProducts[[#Headers],[Include or Exclude]], 0,4)</f>
        <v/>
      </c>
      <c r="Y147" s="182" t="str" cm="1">
        <f t="array" ref="Y147">Common_InputFunctions.Utility_DisplayArrayInTable(Fertiliser_SourceData.Fertiliser_Products_Data1(),FertiliserProducts[[#Headers],[Include or Exclude]], 0,4)</f>
        <v/>
      </c>
      <c r="Z147" s="182" t="str" cm="1">
        <f t="array" ref="Z147">Common_InputFunctions.Utility_DisplayArrayInTable(Fertiliser_SourceData.Fertiliser_Products_Data1(),FertiliserProducts[[#Headers],[Include or Exclude]], 0,4)</f>
        <v/>
      </c>
      <c r="AA147" s="182" t="str" cm="1">
        <f t="array" ref="AA147">Common_InputFunctions.Utility_DisplayArrayInTable(Fertiliser_SourceData.Fertiliser_Products_Data1(),FertiliserProducts[[#Headers],[Include or Exclude]], 0,4)</f>
        <v/>
      </c>
      <c r="AB147" s="182" t="str" cm="1">
        <f t="array" ref="AB147">Common_InputFunctions.Utility_DisplayArrayInTable(Fertiliser_SourceData.Fertiliser_Products_Data1(),FertiliserProducts[[#Headers],[Include or Exclude]], 0,4)</f>
        <v/>
      </c>
      <c r="AC147" s="182" t="str" cm="1">
        <f t="array" ref="AC147">Common_InputFunctions.Utility_DisplayArrayInTable(Fertiliser_SourceData.Fertiliser_Products_Data1(),FertiliserProducts[[#Headers],[Include or Exclude]], 0,4)</f>
        <v/>
      </c>
      <c r="AD147" s="182" t="str" cm="1">
        <f t="array" ref="AD147">Common_InputFunctions.Utility_DisplayArrayInTable(Fertiliser_SourceData.Fertiliser_Products_Data1(),FertiliserProducts[[#Headers],[Include or Exclude]], 0,4)</f>
        <v/>
      </c>
      <c r="AE147" s="182" t="str" cm="1">
        <f t="array" ref="AE147">Common_InputFunctions.Utility_DisplayArrayInTable(Fertiliser_SourceData.Fertiliser_Products_Data1(),FertiliserProducts[[#Headers],[Include or Exclude]], 0,4)</f>
        <v/>
      </c>
    </row>
    <row r="148" spans="4:31" ht="20.100000000000001" customHeight="1" x14ac:dyDescent="0.25">
      <c r="D148" s="182" t="str" cm="1">
        <f t="array" ref="D148">Common_InputFunctions.Utility_DisplayArrayInTable(Fertiliser_SourceData.Fertiliser_Products_Data1(),FertiliserProducts[[#Headers],[Include or Exclude]], -1)</f>
        <v/>
      </c>
      <c r="E148" s="182" t="str" cm="1">
        <f t="array" ref="E148">Common_InputFunctions.Utility_DisplayArrayInTable(Fertiliser_SourceData.Fertiliser_Products_Data1(),FertiliserProducts[[#Headers],[Include or Exclude]], 0)</f>
        <v/>
      </c>
      <c r="F148" s="182" t="str" cm="1">
        <f t="array" ref="F148">Common_InputFunctions.Utility_DisplayArrayInTable(Fertiliser_SourceData.Fertiliser_Products_Data1(),FertiliserProducts[[#Headers],[Include or Exclude]], 0)</f>
        <v/>
      </c>
      <c r="G148" s="182" t="str" cm="1">
        <f t="array" ref="G148">Common_InputFunctions.Utility_DisplayArrayInTable(Fertiliser_SourceData.Fertiliser_Products_Data1(),FertiliserProducts[[#Headers],[Include or Exclude]], 0)</f>
        <v/>
      </c>
      <c r="H148" s="182" t="str" cm="1">
        <f t="array" ref="H148">Common_InputFunctions.Utility_DisplayArrayInTable(Fertiliser_SourceData.Fertiliser_Products_Data1(),FertiliserProducts[[#Headers],[Include or Exclude]], 0,4)</f>
        <v/>
      </c>
      <c r="I148" s="182" t="str" cm="1">
        <f t="array" ref="I148">Common_InputFunctions.Utility_DisplayArrayInTable(Fertiliser_SourceData.Fertiliser_Products_Data1(),FertiliserProducts[[#Headers],[Include or Exclude]], 0,4)</f>
        <v/>
      </c>
      <c r="J148" s="182" t="str" cm="1">
        <f t="array" ref="J148">Common_InputFunctions.Utility_DisplayArrayInTable(Fertiliser_SourceData.Fertiliser_Products_Data1(),FertiliserProducts[[#Headers],[Include or Exclude]], 0,4)</f>
        <v/>
      </c>
      <c r="K148" s="182" t="str" cm="1">
        <f t="array" ref="K148">Common_InputFunctions.Utility_DisplayArrayInTable(Fertiliser_SourceData.Fertiliser_Products_Data1(),FertiliserProducts[[#Headers],[Include or Exclude]], 0,4)</f>
        <v/>
      </c>
      <c r="L148" s="182" t="str" cm="1">
        <f t="array" ref="L148">Common_InputFunctions.Utility_DisplayArrayInTable(Fertiliser_SourceData.Fertiliser_Products_Data1(),FertiliserProducts[[#Headers],[Include or Exclude]], 0,4)</f>
        <v/>
      </c>
      <c r="M148" s="182" t="str" cm="1">
        <f t="array" ref="M148">Common_InputFunctions.Utility_DisplayArrayInTable(Fertiliser_SourceData.Fertiliser_Products_Data1(),FertiliserProducts[[#Headers],[Include or Exclude]], 0,4)</f>
        <v/>
      </c>
      <c r="N148" s="182" t="str" cm="1">
        <f t="array" ref="N148">Common_InputFunctions.Utility_DisplayArrayInTable(Fertiliser_SourceData.Fertiliser_Products_Data1(),FertiliserProducts[[#Headers],[Include or Exclude]], 0,4)</f>
        <v/>
      </c>
      <c r="O148" s="182" t="str" cm="1">
        <f t="array" ref="O148">Common_InputFunctions.Utility_DisplayArrayInTable(Fertiliser_SourceData.Fertiliser_Products_Data1(),FertiliserProducts[[#Headers],[Include or Exclude]], 0,4)</f>
        <v/>
      </c>
      <c r="P148" s="182" t="str" cm="1">
        <f t="array" ref="P148">Common_InputFunctions.Utility_DisplayArrayInTable(Fertiliser_SourceData.Fertiliser_Products_Data1(),FertiliserProducts[[#Headers],[Include or Exclude]], 0,4)</f>
        <v/>
      </c>
      <c r="Q148" s="182" t="str" cm="1">
        <f t="array" ref="Q148">Common_InputFunctions.Utility_DisplayArrayInTable(Fertiliser_SourceData.Fertiliser_Products_Data1(),FertiliserProducts[[#Headers],[Include or Exclude]], 0,4)</f>
        <v/>
      </c>
      <c r="R148" s="182" t="str" cm="1">
        <f t="array" ref="R148">Common_InputFunctions.Utility_DisplayArrayInTable(Fertiliser_SourceData.Fertiliser_Products_Data1(),FertiliserProducts[[#Headers],[Include or Exclude]], 0,4)</f>
        <v/>
      </c>
      <c r="S148" s="182" t="str" cm="1">
        <f t="array" ref="S148">Common_InputFunctions.Utility_DisplayArrayInTable(Fertiliser_SourceData.Fertiliser_Products_Data1(),FertiliserProducts[[#Headers],[Include or Exclude]], 0,4)</f>
        <v/>
      </c>
      <c r="T148" s="182" t="str" cm="1">
        <f t="array" ref="T148">Common_InputFunctions.Utility_DisplayArrayInTable(Fertiliser_SourceData.Fertiliser_Products_Data1(),FertiliserProducts[[#Headers],[Include or Exclude]], 0,4)</f>
        <v/>
      </c>
      <c r="U148" s="182" t="str" cm="1">
        <f t="array" ref="U148">Common_InputFunctions.Utility_DisplayArrayInTable(Fertiliser_SourceData.Fertiliser_Products_Data1(),FertiliserProducts[[#Headers],[Include or Exclude]], 0,4)</f>
        <v/>
      </c>
      <c r="V148" s="182" t="str" cm="1">
        <f t="array" ref="V148">Common_InputFunctions.Utility_DisplayArrayInTable(Fertiliser_SourceData.Fertiliser_Products_Data1(),FertiliserProducts[[#Headers],[Include or Exclude]], 0,4)</f>
        <v/>
      </c>
      <c r="W148" s="182" t="str" cm="1">
        <f t="array" ref="W148">Common_InputFunctions.Utility_DisplayArrayInTable(Fertiliser_SourceData.Fertiliser_Products_Data1(),FertiliserProducts[[#Headers],[Include or Exclude]], 0,4)</f>
        <v/>
      </c>
      <c r="X148" s="182" t="str" cm="1">
        <f t="array" ref="X148">Common_InputFunctions.Utility_DisplayArrayInTable(Fertiliser_SourceData.Fertiliser_Products_Data1(),FertiliserProducts[[#Headers],[Include or Exclude]], 0,4)</f>
        <v/>
      </c>
      <c r="Y148" s="182" t="str" cm="1">
        <f t="array" ref="Y148">Common_InputFunctions.Utility_DisplayArrayInTable(Fertiliser_SourceData.Fertiliser_Products_Data1(),FertiliserProducts[[#Headers],[Include or Exclude]], 0,4)</f>
        <v/>
      </c>
      <c r="Z148" s="182" t="str" cm="1">
        <f t="array" ref="Z148">Common_InputFunctions.Utility_DisplayArrayInTable(Fertiliser_SourceData.Fertiliser_Products_Data1(),FertiliserProducts[[#Headers],[Include or Exclude]], 0,4)</f>
        <v/>
      </c>
      <c r="AA148" s="182" t="str" cm="1">
        <f t="array" ref="AA148">Common_InputFunctions.Utility_DisplayArrayInTable(Fertiliser_SourceData.Fertiliser_Products_Data1(),FertiliserProducts[[#Headers],[Include or Exclude]], 0,4)</f>
        <v/>
      </c>
      <c r="AB148" s="182" t="str" cm="1">
        <f t="array" ref="AB148">Common_InputFunctions.Utility_DisplayArrayInTable(Fertiliser_SourceData.Fertiliser_Products_Data1(),FertiliserProducts[[#Headers],[Include or Exclude]], 0,4)</f>
        <v/>
      </c>
      <c r="AC148" s="182" t="str" cm="1">
        <f t="array" ref="AC148">Common_InputFunctions.Utility_DisplayArrayInTable(Fertiliser_SourceData.Fertiliser_Products_Data1(),FertiliserProducts[[#Headers],[Include or Exclude]], 0,4)</f>
        <v/>
      </c>
      <c r="AD148" s="182" t="str" cm="1">
        <f t="array" ref="AD148">Common_InputFunctions.Utility_DisplayArrayInTable(Fertiliser_SourceData.Fertiliser_Products_Data1(),FertiliserProducts[[#Headers],[Include or Exclude]], 0,4)</f>
        <v/>
      </c>
      <c r="AE148" s="182" t="str" cm="1">
        <f t="array" ref="AE148">Common_InputFunctions.Utility_DisplayArrayInTable(Fertiliser_SourceData.Fertiliser_Products_Data1(),FertiliserProducts[[#Headers],[Include or Exclude]], 0,4)</f>
        <v/>
      </c>
    </row>
    <row r="149" spans="4:31" ht="20.100000000000001" customHeight="1" x14ac:dyDescent="0.25">
      <c r="D149" s="182" t="str" cm="1">
        <f t="array" ref="D149">Common_InputFunctions.Utility_DisplayArrayInTable(Fertiliser_SourceData.Fertiliser_Products_Data1(),FertiliserProducts[[#Headers],[Include or Exclude]], -1)</f>
        <v/>
      </c>
      <c r="E149" s="182" t="str" cm="1">
        <f t="array" ref="E149">Common_InputFunctions.Utility_DisplayArrayInTable(Fertiliser_SourceData.Fertiliser_Products_Data1(),FertiliserProducts[[#Headers],[Include or Exclude]], 0)</f>
        <v/>
      </c>
      <c r="F149" s="182" t="str" cm="1">
        <f t="array" ref="F149">Common_InputFunctions.Utility_DisplayArrayInTable(Fertiliser_SourceData.Fertiliser_Products_Data1(),FertiliserProducts[[#Headers],[Include or Exclude]], 0)</f>
        <v/>
      </c>
      <c r="G149" s="182" t="str" cm="1">
        <f t="array" ref="G149">Common_InputFunctions.Utility_DisplayArrayInTable(Fertiliser_SourceData.Fertiliser_Products_Data1(),FertiliserProducts[[#Headers],[Include or Exclude]], 0)</f>
        <v/>
      </c>
      <c r="H149" s="182" t="str" cm="1">
        <f t="array" ref="H149">Common_InputFunctions.Utility_DisplayArrayInTable(Fertiliser_SourceData.Fertiliser_Products_Data1(),FertiliserProducts[[#Headers],[Include or Exclude]], 0,4)</f>
        <v/>
      </c>
      <c r="I149" s="182" t="str" cm="1">
        <f t="array" ref="I149">Common_InputFunctions.Utility_DisplayArrayInTable(Fertiliser_SourceData.Fertiliser_Products_Data1(),FertiliserProducts[[#Headers],[Include or Exclude]], 0,4)</f>
        <v/>
      </c>
      <c r="J149" s="182" t="str" cm="1">
        <f t="array" ref="J149">Common_InputFunctions.Utility_DisplayArrayInTable(Fertiliser_SourceData.Fertiliser_Products_Data1(),FertiliserProducts[[#Headers],[Include or Exclude]], 0,4)</f>
        <v/>
      </c>
      <c r="K149" s="182" t="str" cm="1">
        <f t="array" ref="K149">Common_InputFunctions.Utility_DisplayArrayInTable(Fertiliser_SourceData.Fertiliser_Products_Data1(),FertiliserProducts[[#Headers],[Include or Exclude]], 0,4)</f>
        <v/>
      </c>
      <c r="L149" s="182" t="str" cm="1">
        <f t="array" ref="L149">Common_InputFunctions.Utility_DisplayArrayInTable(Fertiliser_SourceData.Fertiliser_Products_Data1(),FertiliserProducts[[#Headers],[Include or Exclude]], 0,4)</f>
        <v/>
      </c>
      <c r="M149" s="182" t="str" cm="1">
        <f t="array" ref="M149">Common_InputFunctions.Utility_DisplayArrayInTable(Fertiliser_SourceData.Fertiliser_Products_Data1(),FertiliserProducts[[#Headers],[Include or Exclude]], 0,4)</f>
        <v/>
      </c>
      <c r="N149" s="182" t="str" cm="1">
        <f t="array" ref="N149">Common_InputFunctions.Utility_DisplayArrayInTable(Fertiliser_SourceData.Fertiliser_Products_Data1(),FertiliserProducts[[#Headers],[Include or Exclude]], 0,4)</f>
        <v/>
      </c>
      <c r="O149" s="182" t="str" cm="1">
        <f t="array" ref="O149">Common_InputFunctions.Utility_DisplayArrayInTable(Fertiliser_SourceData.Fertiliser_Products_Data1(),FertiliserProducts[[#Headers],[Include or Exclude]], 0,4)</f>
        <v/>
      </c>
      <c r="P149" s="182" t="str" cm="1">
        <f t="array" ref="P149">Common_InputFunctions.Utility_DisplayArrayInTable(Fertiliser_SourceData.Fertiliser_Products_Data1(),FertiliserProducts[[#Headers],[Include or Exclude]], 0,4)</f>
        <v/>
      </c>
      <c r="Q149" s="182" t="str" cm="1">
        <f t="array" ref="Q149">Common_InputFunctions.Utility_DisplayArrayInTable(Fertiliser_SourceData.Fertiliser_Products_Data1(),FertiliserProducts[[#Headers],[Include or Exclude]], 0,4)</f>
        <v/>
      </c>
      <c r="R149" s="182" t="str" cm="1">
        <f t="array" ref="R149">Common_InputFunctions.Utility_DisplayArrayInTable(Fertiliser_SourceData.Fertiliser_Products_Data1(),FertiliserProducts[[#Headers],[Include or Exclude]], 0,4)</f>
        <v/>
      </c>
      <c r="S149" s="182" t="str" cm="1">
        <f t="array" ref="S149">Common_InputFunctions.Utility_DisplayArrayInTable(Fertiliser_SourceData.Fertiliser_Products_Data1(),FertiliserProducts[[#Headers],[Include or Exclude]], 0,4)</f>
        <v/>
      </c>
      <c r="T149" s="182" t="str" cm="1">
        <f t="array" ref="T149">Common_InputFunctions.Utility_DisplayArrayInTable(Fertiliser_SourceData.Fertiliser_Products_Data1(),FertiliserProducts[[#Headers],[Include or Exclude]], 0,4)</f>
        <v/>
      </c>
      <c r="U149" s="182" t="str" cm="1">
        <f t="array" ref="U149">Common_InputFunctions.Utility_DisplayArrayInTable(Fertiliser_SourceData.Fertiliser_Products_Data1(),FertiliserProducts[[#Headers],[Include or Exclude]], 0,4)</f>
        <v/>
      </c>
      <c r="V149" s="182" t="str" cm="1">
        <f t="array" ref="V149">Common_InputFunctions.Utility_DisplayArrayInTable(Fertiliser_SourceData.Fertiliser_Products_Data1(),FertiliserProducts[[#Headers],[Include or Exclude]], 0,4)</f>
        <v/>
      </c>
      <c r="W149" s="182" t="str" cm="1">
        <f t="array" ref="W149">Common_InputFunctions.Utility_DisplayArrayInTable(Fertiliser_SourceData.Fertiliser_Products_Data1(),FertiliserProducts[[#Headers],[Include or Exclude]], 0,4)</f>
        <v/>
      </c>
      <c r="X149" s="182" t="str" cm="1">
        <f t="array" ref="X149">Common_InputFunctions.Utility_DisplayArrayInTable(Fertiliser_SourceData.Fertiliser_Products_Data1(),FertiliserProducts[[#Headers],[Include or Exclude]], 0,4)</f>
        <v/>
      </c>
      <c r="Y149" s="182" t="str" cm="1">
        <f t="array" ref="Y149">Common_InputFunctions.Utility_DisplayArrayInTable(Fertiliser_SourceData.Fertiliser_Products_Data1(),FertiliserProducts[[#Headers],[Include or Exclude]], 0,4)</f>
        <v/>
      </c>
      <c r="Z149" s="182" t="str" cm="1">
        <f t="array" ref="Z149">Common_InputFunctions.Utility_DisplayArrayInTable(Fertiliser_SourceData.Fertiliser_Products_Data1(),FertiliserProducts[[#Headers],[Include or Exclude]], 0,4)</f>
        <v/>
      </c>
      <c r="AA149" s="182" t="str" cm="1">
        <f t="array" ref="AA149">Common_InputFunctions.Utility_DisplayArrayInTable(Fertiliser_SourceData.Fertiliser_Products_Data1(),FertiliserProducts[[#Headers],[Include or Exclude]], 0,4)</f>
        <v/>
      </c>
      <c r="AB149" s="182" t="str" cm="1">
        <f t="array" ref="AB149">Common_InputFunctions.Utility_DisplayArrayInTable(Fertiliser_SourceData.Fertiliser_Products_Data1(),FertiliserProducts[[#Headers],[Include or Exclude]], 0,4)</f>
        <v/>
      </c>
      <c r="AC149" s="182" t="str" cm="1">
        <f t="array" ref="AC149">Common_InputFunctions.Utility_DisplayArrayInTable(Fertiliser_SourceData.Fertiliser_Products_Data1(),FertiliserProducts[[#Headers],[Include or Exclude]], 0,4)</f>
        <v/>
      </c>
      <c r="AD149" s="182" t="str" cm="1">
        <f t="array" ref="AD149">Common_InputFunctions.Utility_DisplayArrayInTable(Fertiliser_SourceData.Fertiliser_Products_Data1(),FertiliserProducts[[#Headers],[Include or Exclude]], 0,4)</f>
        <v/>
      </c>
      <c r="AE149" s="182" t="str" cm="1">
        <f t="array" ref="AE149">Common_InputFunctions.Utility_DisplayArrayInTable(Fertiliser_SourceData.Fertiliser_Products_Data1(),FertiliserProducts[[#Headers],[Include or Exclude]], 0,4)</f>
        <v/>
      </c>
    </row>
    <row r="150" spans="4:31" ht="20.100000000000001" customHeight="1" x14ac:dyDescent="0.25">
      <c r="D150" s="182" t="str" cm="1">
        <f t="array" ref="D150">Common_InputFunctions.Utility_DisplayArrayInTable(Fertiliser_SourceData.Fertiliser_Products_Data1(),FertiliserProducts[[#Headers],[Include or Exclude]], -1)</f>
        <v/>
      </c>
      <c r="E150" s="182" t="str" cm="1">
        <f t="array" ref="E150">Common_InputFunctions.Utility_DisplayArrayInTable(Fertiliser_SourceData.Fertiliser_Products_Data1(),FertiliserProducts[[#Headers],[Include or Exclude]], 0)</f>
        <v/>
      </c>
      <c r="F150" s="182" t="str" cm="1">
        <f t="array" ref="F150">Common_InputFunctions.Utility_DisplayArrayInTable(Fertiliser_SourceData.Fertiliser_Products_Data1(),FertiliserProducts[[#Headers],[Include or Exclude]], 0)</f>
        <v/>
      </c>
      <c r="G150" s="182" t="str" cm="1">
        <f t="array" ref="G150">Common_InputFunctions.Utility_DisplayArrayInTable(Fertiliser_SourceData.Fertiliser_Products_Data1(),FertiliserProducts[[#Headers],[Include or Exclude]], 0)</f>
        <v/>
      </c>
      <c r="H150" s="182" t="str" cm="1">
        <f t="array" ref="H150">Common_InputFunctions.Utility_DisplayArrayInTable(Fertiliser_SourceData.Fertiliser_Products_Data1(),FertiliserProducts[[#Headers],[Include or Exclude]], 0,4)</f>
        <v/>
      </c>
      <c r="I150" s="182" t="str" cm="1">
        <f t="array" ref="I150">Common_InputFunctions.Utility_DisplayArrayInTable(Fertiliser_SourceData.Fertiliser_Products_Data1(),FertiliserProducts[[#Headers],[Include or Exclude]], 0,4)</f>
        <v/>
      </c>
      <c r="J150" s="182" t="str" cm="1">
        <f t="array" ref="J150">Common_InputFunctions.Utility_DisplayArrayInTable(Fertiliser_SourceData.Fertiliser_Products_Data1(),FertiliserProducts[[#Headers],[Include or Exclude]], 0,4)</f>
        <v/>
      </c>
      <c r="K150" s="182" t="str" cm="1">
        <f t="array" ref="K150">Common_InputFunctions.Utility_DisplayArrayInTable(Fertiliser_SourceData.Fertiliser_Products_Data1(),FertiliserProducts[[#Headers],[Include or Exclude]], 0,4)</f>
        <v/>
      </c>
      <c r="L150" s="182" t="str" cm="1">
        <f t="array" ref="L150">Common_InputFunctions.Utility_DisplayArrayInTable(Fertiliser_SourceData.Fertiliser_Products_Data1(),FertiliserProducts[[#Headers],[Include or Exclude]], 0,4)</f>
        <v/>
      </c>
      <c r="M150" s="182" t="str" cm="1">
        <f t="array" ref="M150">Common_InputFunctions.Utility_DisplayArrayInTable(Fertiliser_SourceData.Fertiliser_Products_Data1(),FertiliserProducts[[#Headers],[Include or Exclude]], 0,4)</f>
        <v/>
      </c>
      <c r="N150" s="182" t="str" cm="1">
        <f t="array" ref="N150">Common_InputFunctions.Utility_DisplayArrayInTable(Fertiliser_SourceData.Fertiliser_Products_Data1(),FertiliserProducts[[#Headers],[Include or Exclude]], 0,4)</f>
        <v/>
      </c>
      <c r="O150" s="182" t="str" cm="1">
        <f t="array" ref="O150">Common_InputFunctions.Utility_DisplayArrayInTable(Fertiliser_SourceData.Fertiliser_Products_Data1(),FertiliserProducts[[#Headers],[Include or Exclude]], 0,4)</f>
        <v/>
      </c>
      <c r="P150" s="182" t="str" cm="1">
        <f t="array" ref="P150">Common_InputFunctions.Utility_DisplayArrayInTable(Fertiliser_SourceData.Fertiliser_Products_Data1(),FertiliserProducts[[#Headers],[Include or Exclude]], 0,4)</f>
        <v/>
      </c>
      <c r="Q150" s="182" t="str" cm="1">
        <f t="array" ref="Q150">Common_InputFunctions.Utility_DisplayArrayInTable(Fertiliser_SourceData.Fertiliser_Products_Data1(),FertiliserProducts[[#Headers],[Include or Exclude]], 0,4)</f>
        <v/>
      </c>
      <c r="R150" s="182" t="str" cm="1">
        <f t="array" ref="R150">Common_InputFunctions.Utility_DisplayArrayInTable(Fertiliser_SourceData.Fertiliser_Products_Data1(),FertiliserProducts[[#Headers],[Include or Exclude]], 0,4)</f>
        <v/>
      </c>
      <c r="S150" s="182" t="str" cm="1">
        <f t="array" ref="S150">Common_InputFunctions.Utility_DisplayArrayInTable(Fertiliser_SourceData.Fertiliser_Products_Data1(),FertiliserProducts[[#Headers],[Include or Exclude]], 0,4)</f>
        <v/>
      </c>
      <c r="T150" s="182" t="str" cm="1">
        <f t="array" ref="T150">Common_InputFunctions.Utility_DisplayArrayInTable(Fertiliser_SourceData.Fertiliser_Products_Data1(),FertiliserProducts[[#Headers],[Include or Exclude]], 0,4)</f>
        <v/>
      </c>
      <c r="U150" s="182" t="str" cm="1">
        <f t="array" ref="U150">Common_InputFunctions.Utility_DisplayArrayInTable(Fertiliser_SourceData.Fertiliser_Products_Data1(),FertiliserProducts[[#Headers],[Include or Exclude]], 0,4)</f>
        <v/>
      </c>
      <c r="V150" s="182" t="str" cm="1">
        <f t="array" ref="V150">Common_InputFunctions.Utility_DisplayArrayInTable(Fertiliser_SourceData.Fertiliser_Products_Data1(),FertiliserProducts[[#Headers],[Include or Exclude]], 0,4)</f>
        <v/>
      </c>
      <c r="W150" s="182" t="str" cm="1">
        <f t="array" ref="W150">Common_InputFunctions.Utility_DisplayArrayInTable(Fertiliser_SourceData.Fertiliser_Products_Data1(),FertiliserProducts[[#Headers],[Include or Exclude]], 0,4)</f>
        <v/>
      </c>
      <c r="X150" s="182" t="str" cm="1">
        <f t="array" ref="X150">Common_InputFunctions.Utility_DisplayArrayInTable(Fertiliser_SourceData.Fertiliser_Products_Data1(),FertiliserProducts[[#Headers],[Include or Exclude]], 0,4)</f>
        <v/>
      </c>
      <c r="Y150" s="182" t="str" cm="1">
        <f t="array" ref="Y150">Common_InputFunctions.Utility_DisplayArrayInTable(Fertiliser_SourceData.Fertiliser_Products_Data1(),FertiliserProducts[[#Headers],[Include or Exclude]], 0,4)</f>
        <v/>
      </c>
      <c r="Z150" s="182" t="str" cm="1">
        <f t="array" ref="Z150">Common_InputFunctions.Utility_DisplayArrayInTable(Fertiliser_SourceData.Fertiliser_Products_Data1(),FertiliserProducts[[#Headers],[Include or Exclude]], 0,4)</f>
        <v/>
      </c>
      <c r="AA150" s="182" t="str" cm="1">
        <f t="array" ref="AA150">Common_InputFunctions.Utility_DisplayArrayInTable(Fertiliser_SourceData.Fertiliser_Products_Data1(),FertiliserProducts[[#Headers],[Include or Exclude]], 0,4)</f>
        <v/>
      </c>
      <c r="AB150" s="182" t="str" cm="1">
        <f t="array" ref="AB150">Common_InputFunctions.Utility_DisplayArrayInTable(Fertiliser_SourceData.Fertiliser_Products_Data1(),FertiliserProducts[[#Headers],[Include or Exclude]], 0,4)</f>
        <v/>
      </c>
      <c r="AC150" s="182" t="str" cm="1">
        <f t="array" ref="AC150">Common_InputFunctions.Utility_DisplayArrayInTable(Fertiliser_SourceData.Fertiliser_Products_Data1(),FertiliserProducts[[#Headers],[Include or Exclude]], 0,4)</f>
        <v/>
      </c>
      <c r="AD150" s="182" t="str" cm="1">
        <f t="array" ref="AD150">Common_InputFunctions.Utility_DisplayArrayInTable(Fertiliser_SourceData.Fertiliser_Products_Data1(),FertiliserProducts[[#Headers],[Include or Exclude]], 0,4)</f>
        <v/>
      </c>
      <c r="AE150" s="182" t="str" cm="1">
        <f t="array" ref="AE150">Common_InputFunctions.Utility_DisplayArrayInTable(Fertiliser_SourceData.Fertiliser_Products_Data1(),FertiliserProducts[[#Headers],[Include or Exclude]], 0,4)</f>
        <v/>
      </c>
    </row>
    <row r="151" spans="4:31" ht="20.100000000000001" customHeight="1" x14ac:dyDescent="0.25">
      <c r="D151" s="182" t="str" cm="1">
        <f t="array" ref="D151">Common_InputFunctions.Utility_DisplayArrayInTable(Fertiliser_SourceData.Fertiliser_Products_Data1(),FertiliserProducts[[#Headers],[Include or Exclude]], -1)</f>
        <v/>
      </c>
      <c r="E151" s="182" t="str" cm="1">
        <f t="array" ref="E151">Common_InputFunctions.Utility_DisplayArrayInTable(Fertiliser_SourceData.Fertiliser_Products_Data1(),FertiliserProducts[[#Headers],[Include or Exclude]], 0)</f>
        <v/>
      </c>
      <c r="F151" s="182" t="str" cm="1">
        <f t="array" ref="F151">Common_InputFunctions.Utility_DisplayArrayInTable(Fertiliser_SourceData.Fertiliser_Products_Data1(),FertiliserProducts[[#Headers],[Include or Exclude]], 0)</f>
        <v/>
      </c>
      <c r="G151" s="182" t="str" cm="1">
        <f t="array" ref="G151">Common_InputFunctions.Utility_DisplayArrayInTable(Fertiliser_SourceData.Fertiliser_Products_Data1(),FertiliserProducts[[#Headers],[Include or Exclude]], 0)</f>
        <v/>
      </c>
      <c r="H151" s="182" t="str" cm="1">
        <f t="array" ref="H151">Common_InputFunctions.Utility_DisplayArrayInTable(Fertiliser_SourceData.Fertiliser_Products_Data1(),FertiliserProducts[[#Headers],[Include or Exclude]], 0,4)</f>
        <v/>
      </c>
      <c r="I151" s="182" t="str" cm="1">
        <f t="array" ref="I151">Common_InputFunctions.Utility_DisplayArrayInTable(Fertiliser_SourceData.Fertiliser_Products_Data1(),FertiliserProducts[[#Headers],[Include or Exclude]], 0,4)</f>
        <v/>
      </c>
      <c r="J151" s="182" t="str" cm="1">
        <f t="array" ref="J151">Common_InputFunctions.Utility_DisplayArrayInTable(Fertiliser_SourceData.Fertiliser_Products_Data1(),FertiliserProducts[[#Headers],[Include or Exclude]], 0,4)</f>
        <v/>
      </c>
      <c r="K151" s="182" t="str" cm="1">
        <f t="array" ref="K151">Common_InputFunctions.Utility_DisplayArrayInTable(Fertiliser_SourceData.Fertiliser_Products_Data1(),FertiliserProducts[[#Headers],[Include or Exclude]], 0,4)</f>
        <v/>
      </c>
      <c r="L151" s="182" t="str" cm="1">
        <f t="array" ref="L151">Common_InputFunctions.Utility_DisplayArrayInTable(Fertiliser_SourceData.Fertiliser_Products_Data1(),FertiliserProducts[[#Headers],[Include or Exclude]], 0,4)</f>
        <v/>
      </c>
      <c r="M151" s="182" t="str" cm="1">
        <f t="array" ref="M151">Common_InputFunctions.Utility_DisplayArrayInTable(Fertiliser_SourceData.Fertiliser_Products_Data1(),FertiliserProducts[[#Headers],[Include or Exclude]], 0,4)</f>
        <v/>
      </c>
      <c r="N151" s="182" t="str" cm="1">
        <f t="array" ref="N151">Common_InputFunctions.Utility_DisplayArrayInTable(Fertiliser_SourceData.Fertiliser_Products_Data1(),FertiliserProducts[[#Headers],[Include or Exclude]], 0,4)</f>
        <v/>
      </c>
      <c r="O151" s="182" t="str" cm="1">
        <f t="array" ref="O151">Common_InputFunctions.Utility_DisplayArrayInTable(Fertiliser_SourceData.Fertiliser_Products_Data1(),FertiliserProducts[[#Headers],[Include or Exclude]], 0,4)</f>
        <v/>
      </c>
      <c r="P151" s="182" t="str" cm="1">
        <f t="array" ref="P151">Common_InputFunctions.Utility_DisplayArrayInTable(Fertiliser_SourceData.Fertiliser_Products_Data1(),FertiliserProducts[[#Headers],[Include or Exclude]], 0,4)</f>
        <v/>
      </c>
      <c r="Q151" s="182" t="str" cm="1">
        <f t="array" ref="Q151">Common_InputFunctions.Utility_DisplayArrayInTable(Fertiliser_SourceData.Fertiliser_Products_Data1(),FertiliserProducts[[#Headers],[Include or Exclude]], 0,4)</f>
        <v/>
      </c>
      <c r="R151" s="182" t="str" cm="1">
        <f t="array" ref="R151">Common_InputFunctions.Utility_DisplayArrayInTable(Fertiliser_SourceData.Fertiliser_Products_Data1(),FertiliserProducts[[#Headers],[Include or Exclude]], 0,4)</f>
        <v/>
      </c>
      <c r="S151" s="182" t="str" cm="1">
        <f t="array" ref="S151">Common_InputFunctions.Utility_DisplayArrayInTable(Fertiliser_SourceData.Fertiliser_Products_Data1(),FertiliserProducts[[#Headers],[Include or Exclude]], 0,4)</f>
        <v/>
      </c>
      <c r="T151" s="182" t="str" cm="1">
        <f t="array" ref="T151">Common_InputFunctions.Utility_DisplayArrayInTable(Fertiliser_SourceData.Fertiliser_Products_Data1(),FertiliserProducts[[#Headers],[Include or Exclude]], 0,4)</f>
        <v/>
      </c>
      <c r="U151" s="182" t="str" cm="1">
        <f t="array" ref="U151">Common_InputFunctions.Utility_DisplayArrayInTable(Fertiliser_SourceData.Fertiliser_Products_Data1(),FertiliserProducts[[#Headers],[Include or Exclude]], 0,4)</f>
        <v/>
      </c>
      <c r="V151" s="182" t="str" cm="1">
        <f t="array" ref="V151">Common_InputFunctions.Utility_DisplayArrayInTable(Fertiliser_SourceData.Fertiliser_Products_Data1(),FertiliserProducts[[#Headers],[Include or Exclude]], 0,4)</f>
        <v/>
      </c>
      <c r="W151" s="182" t="str" cm="1">
        <f t="array" ref="W151">Common_InputFunctions.Utility_DisplayArrayInTable(Fertiliser_SourceData.Fertiliser_Products_Data1(),FertiliserProducts[[#Headers],[Include or Exclude]], 0,4)</f>
        <v/>
      </c>
      <c r="X151" s="182" t="str" cm="1">
        <f t="array" ref="X151">Common_InputFunctions.Utility_DisplayArrayInTable(Fertiliser_SourceData.Fertiliser_Products_Data1(),FertiliserProducts[[#Headers],[Include or Exclude]], 0,4)</f>
        <v/>
      </c>
      <c r="Y151" s="182" t="str" cm="1">
        <f t="array" ref="Y151">Common_InputFunctions.Utility_DisplayArrayInTable(Fertiliser_SourceData.Fertiliser_Products_Data1(),FertiliserProducts[[#Headers],[Include or Exclude]], 0,4)</f>
        <v/>
      </c>
      <c r="Z151" s="182" t="str" cm="1">
        <f t="array" ref="Z151">Common_InputFunctions.Utility_DisplayArrayInTable(Fertiliser_SourceData.Fertiliser_Products_Data1(),FertiliserProducts[[#Headers],[Include or Exclude]], 0,4)</f>
        <v/>
      </c>
      <c r="AA151" s="182" t="str" cm="1">
        <f t="array" ref="AA151">Common_InputFunctions.Utility_DisplayArrayInTable(Fertiliser_SourceData.Fertiliser_Products_Data1(),FertiliserProducts[[#Headers],[Include or Exclude]], 0,4)</f>
        <v/>
      </c>
      <c r="AB151" s="182" t="str" cm="1">
        <f t="array" ref="AB151">Common_InputFunctions.Utility_DisplayArrayInTable(Fertiliser_SourceData.Fertiliser_Products_Data1(),FertiliserProducts[[#Headers],[Include or Exclude]], 0,4)</f>
        <v/>
      </c>
      <c r="AC151" s="182" t="str" cm="1">
        <f t="array" ref="AC151">Common_InputFunctions.Utility_DisplayArrayInTable(Fertiliser_SourceData.Fertiliser_Products_Data1(),FertiliserProducts[[#Headers],[Include or Exclude]], 0,4)</f>
        <v/>
      </c>
      <c r="AD151" s="182" t="str" cm="1">
        <f t="array" ref="AD151">Common_InputFunctions.Utility_DisplayArrayInTable(Fertiliser_SourceData.Fertiliser_Products_Data1(),FertiliserProducts[[#Headers],[Include or Exclude]], 0,4)</f>
        <v/>
      </c>
      <c r="AE151" s="182" t="str" cm="1">
        <f t="array" ref="AE151">Common_InputFunctions.Utility_DisplayArrayInTable(Fertiliser_SourceData.Fertiliser_Products_Data1(),FertiliserProducts[[#Headers],[Include or Exclude]], 0,4)</f>
        <v/>
      </c>
    </row>
    <row r="152" spans="4:31" ht="20.100000000000001" customHeight="1" x14ac:dyDescent="0.25">
      <c r="D152" s="182" t="str" cm="1">
        <f t="array" ref="D152">Common_InputFunctions.Utility_DisplayArrayInTable(Fertiliser_SourceData.Fertiliser_Products_Data1(),FertiliserProducts[[#Headers],[Include or Exclude]], -1)</f>
        <v/>
      </c>
      <c r="E152" s="182" t="str" cm="1">
        <f t="array" ref="E152">Common_InputFunctions.Utility_DisplayArrayInTable(Fertiliser_SourceData.Fertiliser_Products_Data1(),FertiliserProducts[[#Headers],[Include or Exclude]], 0)</f>
        <v/>
      </c>
      <c r="F152" s="182" t="str" cm="1">
        <f t="array" ref="F152">Common_InputFunctions.Utility_DisplayArrayInTable(Fertiliser_SourceData.Fertiliser_Products_Data1(),FertiliserProducts[[#Headers],[Include or Exclude]], 0)</f>
        <v/>
      </c>
      <c r="G152" s="182" t="str" cm="1">
        <f t="array" ref="G152">Common_InputFunctions.Utility_DisplayArrayInTable(Fertiliser_SourceData.Fertiliser_Products_Data1(),FertiliserProducts[[#Headers],[Include or Exclude]], 0)</f>
        <v/>
      </c>
      <c r="H152" s="182" t="str" cm="1">
        <f t="array" ref="H152">Common_InputFunctions.Utility_DisplayArrayInTable(Fertiliser_SourceData.Fertiliser_Products_Data1(),FertiliserProducts[[#Headers],[Include or Exclude]], 0,4)</f>
        <v/>
      </c>
      <c r="I152" s="182" t="str" cm="1">
        <f t="array" ref="I152">Common_InputFunctions.Utility_DisplayArrayInTable(Fertiliser_SourceData.Fertiliser_Products_Data1(),FertiliserProducts[[#Headers],[Include or Exclude]], 0,4)</f>
        <v/>
      </c>
      <c r="J152" s="182" t="str" cm="1">
        <f t="array" ref="J152">Common_InputFunctions.Utility_DisplayArrayInTable(Fertiliser_SourceData.Fertiliser_Products_Data1(),FertiliserProducts[[#Headers],[Include or Exclude]], 0,4)</f>
        <v/>
      </c>
      <c r="K152" s="182" t="str" cm="1">
        <f t="array" ref="K152">Common_InputFunctions.Utility_DisplayArrayInTable(Fertiliser_SourceData.Fertiliser_Products_Data1(),FertiliserProducts[[#Headers],[Include or Exclude]], 0,4)</f>
        <v/>
      </c>
      <c r="L152" s="182" t="str" cm="1">
        <f t="array" ref="L152">Common_InputFunctions.Utility_DisplayArrayInTable(Fertiliser_SourceData.Fertiliser_Products_Data1(),FertiliserProducts[[#Headers],[Include or Exclude]], 0,4)</f>
        <v/>
      </c>
      <c r="M152" s="182" t="str" cm="1">
        <f t="array" ref="M152">Common_InputFunctions.Utility_DisplayArrayInTable(Fertiliser_SourceData.Fertiliser_Products_Data1(),FertiliserProducts[[#Headers],[Include or Exclude]], 0,4)</f>
        <v/>
      </c>
      <c r="N152" s="182" t="str" cm="1">
        <f t="array" ref="N152">Common_InputFunctions.Utility_DisplayArrayInTable(Fertiliser_SourceData.Fertiliser_Products_Data1(),FertiliserProducts[[#Headers],[Include or Exclude]], 0,4)</f>
        <v/>
      </c>
      <c r="O152" s="182" t="str" cm="1">
        <f t="array" ref="O152">Common_InputFunctions.Utility_DisplayArrayInTable(Fertiliser_SourceData.Fertiliser_Products_Data1(),FertiliserProducts[[#Headers],[Include or Exclude]], 0,4)</f>
        <v/>
      </c>
      <c r="P152" s="182" t="str" cm="1">
        <f t="array" ref="P152">Common_InputFunctions.Utility_DisplayArrayInTable(Fertiliser_SourceData.Fertiliser_Products_Data1(),FertiliserProducts[[#Headers],[Include or Exclude]], 0,4)</f>
        <v/>
      </c>
      <c r="Q152" s="182" t="str" cm="1">
        <f t="array" ref="Q152">Common_InputFunctions.Utility_DisplayArrayInTable(Fertiliser_SourceData.Fertiliser_Products_Data1(),FertiliserProducts[[#Headers],[Include or Exclude]], 0,4)</f>
        <v/>
      </c>
      <c r="R152" s="182" t="str" cm="1">
        <f t="array" ref="R152">Common_InputFunctions.Utility_DisplayArrayInTable(Fertiliser_SourceData.Fertiliser_Products_Data1(),FertiliserProducts[[#Headers],[Include or Exclude]], 0,4)</f>
        <v/>
      </c>
      <c r="S152" s="182" t="str" cm="1">
        <f t="array" ref="S152">Common_InputFunctions.Utility_DisplayArrayInTable(Fertiliser_SourceData.Fertiliser_Products_Data1(),FertiliserProducts[[#Headers],[Include or Exclude]], 0,4)</f>
        <v/>
      </c>
      <c r="T152" s="182" t="str" cm="1">
        <f t="array" ref="T152">Common_InputFunctions.Utility_DisplayArrayInTable(Fertiliser_SourceData.Fertiliser_Products_Data1(),FertiliserProducts[[#Headers],[Include or Exclude]], 0,4)</f>
        <v/>
      </c>
      <c r="U152" s="182" t="str" cm="1">
        <f t="array" ref="U152">Common_InputFunctions.Utility_DisplayArrayInTable(Fertiliser_SourceData.Fertiliser_Products_Data1(),FertiliserProducts[[#Headers],[Include or Exclude]], 0,4)</f>
        <v/>
      </c>
      <c r="V152" s="182" t="str" cm="1">
        <f t="array" ref="V152">Common_InputFunctions.Utility_DisplayArrayInTable(Fertiliser_SourceData.Fertiliser_Products_Data1(),FertiliserProducts[[#Headers],[Include or Exclude]], 0,4)</f>
        <v/>
      </c>
      <c r="W152" s="182" t="str" cm="1">
        <f t="array" ref="W152">Common_InputFunctions.Utility_DisplayArrayInTable(Fertiliser_SourceData.Fertiliser_Products_Data1(),FertiliserProducts[[#Headers],[Include or Exclude]], 0,4)</f>
        <v/>
      </c>
      <c r="X152" s="182" t="str" cm="1">
        <f t="array" ref="X152">Common_InputFunctions.Utility_DisplayArrayInTable(Fertiliser_SourceData.Fertiliser_Products_Data1(),FertiliserProducts[[#Headers],[Include or Exclude]], 0,4)</f>
        <v/>
      </c>
      <c r="Y152" s="182" t="str" cm="1">
        <f t="array" ref="Y152">Common_InputFunctions.Utility_DisplayArrayInTable(Fertiliser_SourceData.Fertiliser_Products_Data1(),FertiliserProducts[[#Headers],[Include or Exclude]], 0,4)</f>
        <v/>
      </c>
      <c r="Z152" s="182" t="str" cm="1">
        <f t="array" ref="Z152">Common_InputFunctions.Utility_DisplayArrayInTable(Fertiliser_SourceData.Fertiliser_Products_Data1(),FertiliserProducts[[#Headers],[Include or Exclude]], 0,4)</f>
        <v/>
      </c>
      <c r="AA152" s="182" t="str" cm="1">
        <f t="array" ref="AA152">Common_InputFunctions.Utility_DisplayArrayInTable(Fertiliser_SourceData.Fertiliser_Products_Data1(),FertiliserProducts[[#Headers],[Include or Exclude]], 0,4)</f>
        <v/>
      </c>
      <c r="AB152" s="182" t="str" cm="1">
        <f t="array" ref="AB152">Common_InputFunctions.Utility_DisplayArrayInTable(Fertiliser_SourceData.Fertiliser_Products_Data1(),FertiliserProducts[[#Headers],[Include or Exclude]], 0,4)</f>
        <v/>
      </c>
      <c r="AC152" s="182" t="str" cm="1">
        <f t="array" ref="AC152">Common_InputFunctions.Utility_DisplayArrayInTable(Fertiliser_SourceData.Fertiliser_Products_Data1(),FertiliserProducts[[#Headers],[Include or Exclude]], 0,4)</f>
        <v/>
      </c>
      <c r="AD152" s="182" t="str" cm="1">
        <f t="array" ref="AD152">Common_InputFunctions.Utility_DisplayArrayInTable(Fertiliser_SourceData.Fertiliser_Products_Data1(),FertiliserProducts[[#Headers],[Include or Exclude]], 0,4)</f>
        <v/>
      </c>
      <c r="AE152" s="182" t="str" cm="1">
        <f t="array" ref="AE152">Common_InputFunctions.Utility_DisplayArrayInTable(Fertiliser_SourceData.Fertiliser_Products_Data1(),FertiliserProducts[[#Headers],[Include or Exclude]], 0,4)</f>
        <v/>
      </c>
    </row>
    <row r="153" spans="4:31" ht="20.100000000000001" customHeight="1" x14ac:dyDescent="0.25">
      <c r="D153" s="182" t="str" cm="1">
        <f t="array" ref="D153">Common_InputFunctions.Utility_DisplayArrayInTable(Fertiliser_SourceData.Fertiliser_Products_Data1(),FertiliserProducts[[#Headers],[Include or Exclude]], -1)</f>
        <v/>
      </c>
      <c r="E153" s="182" t="str" cm="1">
        <f t="array" ref="E153">Common_InputFunctions.Utility_DisplayArrayInTable(Fertiliser_SourceData.Fertiliser_Products_Data1(),FertiliserProducts[[#Headers],[Include or Exclude]], 0)</f>
        <v/>
      </c>
      <c r="F153" s="182" t="str" cm="1">
        <f t="array" ref="F153">Common_InputFunctions.Utility_DisplayArrayInTable(Fertiliser_SourceData.Fertiliser_Products_Data1(),FertiliserProducts[[#Headers],[Include or Exclude]], 0)</f>
        <v/>
      </c>
      <c r="G153" s="182" t="str" cm="1">
        <f t="array" ref="G153">Common_InputFunctions.Utility_DisplayArrayInTable(Fertiliser_SourceData.Fertiliser_Products_Data1(),FertiliserProducts[[#Headers],[Include or Exclude]], 0)</f>
        <v/>
      </c>
      <c r="H153" s="182" t="str" cm="1">
        <f t="array" ref="H153">Common_InputFunctions.Utility_DisplayArrayInTable(Fertiliser_SourceData.Fertiliser_Products_Data1(),FertiliserProducts[[#Headers],[Include or Exclude]], 0,4)</f>
        <v/>
      </c>
      <c r="I153" s="182" t="str" cm="1">
        <f t="array" ref="I153">Common_InputFunctions.Utility_DisplayArrayInTable(Fertiliser_SourceData.Fertiliser_Products_Data1(),FertiliserProducts[[#Headers],[Include or Exclude]], 0,4)</f>
        <v/>
      </c>
      <c r="J153" s="182" t="str" cm="1">
        <f t="array" ref="J153">Common_InputFunctions.Utility_DisplayArrayInTable(Fertiliser_SourceData.Fertiliser_Products_Data1(),FertiliserProducts[[#Headers],[Include or Exclude]], 0,4)</f>
        <v/>
      </c>
      <c r="K153" s="182" t="str" cm="1">
        <f t="array" ref="K153">Common_InputFunctions.Utility_DisplayArrayInTable(Fertiliser_SourceData.Fertiliser_Products_Data1(),FertiliserProducts[[#Headers],[Include or Exclude]], 0,4)</f>
        <v/>
      </c>
      <c r="L153" s="182" t="str" cm="1">
        <f t="array" ref="L153">Common_InputFunctions.Utility_DisplayArrayInTable(Fertiliser_SourceData.Fertiliser_Products_Data1(),FertiliserProducts[[#Headers],[Include or Exclude]], 0,4)</f>
        <v/>
      </c>
      <c r="M153" s="182" t="str" cm="1">
        <f t="array" ref="M153">Common_InputFunctions.Utility_DisplayArrayInTable(Fertiliser_SourceData.Fertiliser_Products_Data1(),FertiliserProducts[[#Headers],[Include or Exclude]], 0,4)</f>
        <v/>
      </c>
      <c r="N153" s="182" t="str" cm="1">
        <f t="array" ref="N153">Common_InputFunctions.Utility_DisplayArrayInTable(Fertiliser_SourceData.Fertiliser_Products_Data1(),FertiliserProducts[[#Headers],[Include or Exclude]], 0,4)</f>
        <v/>
      </c>
      <c r="O153" s="182" t="str" cm="1">
        <f t="array" ref="O153">Common_InputFunctions.Utility_DisplayArrayInTable(Fertiliser_SourceData.Fertiliser_Products_Data1(),FertiliserProducts[[#Headers],[Include or Exclude]], 0,4)</f>
        <v/>
      </c>
      <c r="P153" s="182" t="str" cm="1">
        <f t="array" ref="P153">Common_InputFunctions.Utility_DisplayArrayInTable(Fertiliser_SourceData.Fertiliser_Products_Data1(),FertiliserProducts[[#Headers],[Include or Exclude]], 0,4)</f>
        <v/>
      </c>
      <c r="Q153" s="182" t="str" cm="1">
        <f t="array" ref="Q153">Common_InputFunctions.Utility_DisplayArrayInTable(Fertiliser_SourceData.Fertiliser_Products_Data1(),FertiliserProducts[[#Headers],[Include or Exclude]], 0,4)</f>
        <v/>
      </c>
      <c r="R153" s="182" t="str" cm="1">
        <f t="array" ref="R153">Common_InputFunctions.Utility_DisplayArrayInTable(Fertiliser_SourceData.Fertiliser_Products_Data1(),FertiliserProducts[[#Headers],[Include or Exclude]], 0,4)</f>
        <v/>
      </c>
      <c r="S153" s="182" t="str" cm="1">
        <f t="array" ref="S153">Common_InputFunctions.Utility_DisplayArrayInTable(Fertiliser_SourceData.Fertiliser_Products_Data1(),FertiliserProducts[[#Headers],[Include or Exclude]], 0,4)</f>
        <v/>
      </c>
      <c r="T153" s="182" t="str" cm="1">
        <f t="array" ref="T153">Common_InputFunctions.Utility_DisplayArrayInTable(Fertiliser_SourceData.Fertiliser_Products_Data1(),FertiliserProducts[[#Headers],[Include or Exclude]], 0,4)</f>
        <v/>
      </c>
      <c r="U153" s="182" t="str" cm="1">
        <f t="array" ref="U153">Common_InputFunctions.Utility_DisplayArrayInTable(Fertiliser_SourceData.Fertiliser_Products_Data1(),FertiliserProducts[[#Headers],[Include or Exclude]], 0,4)</f>
        <v/>
      </c>
      <c r="V153" s="182" t="str" cm="1">
        <f t="array" ref="V153">Common_InputFunctions.Utility_DisplayArrayInTable(Fertiliser_SourceData.Fertiliser_Products_Data1(),FertiliserProducts[[#Headers],[Include or Exclude]], 0,4)</f>
        <v/>
      </c>
      <c r="W153" s="182" t="str" cm="1">
        <f t="array" ref="W153">Common_InputFunctions.Utility_DisplayArrayInTable(Fertiliser_SourceData.Fertiliser_Products_Data1(),FertiliserProducts[[#Headers],[Include or Exclude]], 0,4)</f>
        <v/>
      </c>
      <c r="X153" s="182" t="str" cm="1">
        <f t="array" ref="X153">Common_InputFunctions.Utility_DisplayArrayInTable(Fertiliser_SourceData.Fertiliser_Products_Data1(),FertiliserProducts[[#Headers],[Include or Exclude]], 0,4)</f>
        <v/>
      </c>
      <c r="Y153" s="182" t="str" cm="1">
        <f t="array" ref="Y153">Common_InputFunctions.Utility_DisplayArrayInTable(Fertiliser_SourceData.Fertiliser_Products_Data1(),FertiliserProducts[[#Headers],[Include or Exclude]], 0,4)</f>
        <v/>
      </c>
      <c r="Z153" s="182" t="str" cm="1">
        <f t="array" ref="Z153">Common_InputFunctions.Utility_DisplayArrayInTable(Fertiliser_SourceData.Fertiliser_Products_Data1(),FertiliserProducts[[#Headers],[Include or Exclude]], 0,4)</f>
        <v/>
      </c>
      <c r="AA153" s="182" t="str" cm="1">
        <f t="array" ref="AA153">Common_InputFunctions.Utility_DisplayArrayInTable(Fertiliser_SourceData.Fertiliser_Products_Data1(),FertiliserProducts[[#Headers],[Include or Exclude]], 0,4)</f>
        <v/>
      </c>
      <c r="AB153" s="182" t="str" cm="1">
        <f t="array" ref="AB153">Common_InputFunctions.Utility_DisplayArrayInTable(Fertiliser_SourceData.Fertiliser_Products_Data1(),FertiliserProducts[[#Headers],[Include or Exclude]], 0,4)</f>
        <v/>
      </c>
      <c r="AC153" s="182" t="str" cm="1">
        <f t="array" ref="AC153">Common_InputFunctions.Utility_DisplayArrayInTable(Fertiliser_SourceData.Fertiliser_Products_Data1(),FertiliserProducts[[#Headers],[Include or Exclude]], 0,4)</f>
        <v/>
      </c>
      <c r="AD153" s="182" t="str" cm="1">
        <f t="array" ref="AD153">Common_InputFunctions.Utility_DisplayArrayInTable(Fertiliser_SourceData.Fertiliser_Products_Data1(),FertiliserProducts[[#Headers],[Include or Exclude]], 0,4)</f>
        <v/>
      </c>
      <c r="AE153" s="182"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206F-841C-4184-BE2A-E03480533C27}">
  <dimension ref="A1:AI165"/>
  <sheetViews>
    <sheetView showGridLines="0" topLeftCell="A138"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753</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Fuel_SourceData.Fuel_Scope1Scope3EmissionFactorsTransport_Title()</f>
        <v>Fuel scope 1 and 3 emission factors - Transport</v>
      </c>
      <c r="E5" s="173"/>
      <c r="F5" s="173"/>
      <c r="G5" s="173"/>
      <c r="H5" s="173"/>
      <c r="I5" s="173"/>
      <c r="J5" s="173"/>
      <c r="K5" s="173"/>
      <c r="L5" s="173"/>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3"/>
      <c r="F6" s="173"/>
      <c r="G6" s="173"/>
      <c r="H6" s="173"/>
      <c r="I6" s="173"/>
      <c r="J6" s="173"/>
      <c r="K6" s="173"/>
      <c r="L6" s="173"/>
    </row>
    <row r="7" spans="1:35" ht="20.100000000000001" customHeight="1" x14ac:dyDescent="0.25">
      <c r="D7" s="27" t="str" cm="1">
        <f t="array" ref="D7">Fuel_SourceData.Fuel_Scope1Scope3EmissionFactorsTransport_Source()</f>
        <v>Australian National Greenhouse Accounts Factors 2025 - Table 9</v>
      </c>
      <c r="E7" s="173"/>
      <c r="F7" s="173"/>
      <c r="G7" s="173"/>
      <c r="H7" s="173"/>
      <c r="I7" s="173"/>
      <c r="J7" s="173"/>
      <c r="K7" s="173"/>
      <c r="L7" s="173"/>
    </row>
    <row r="8" spans="1:35" ht="20.100000000000001" customHeight="1" x14ac:dyDescent="0.25">
      <c r="A8" s="7" t="s">
        <v>0</v>
      </c>
      <c r="D8" s="36" t="str" cm="1">
        <f t="array" ref="D8">"⚠️" &amp; Fuel_SourceData.Fuel_Scope1Scope3EmissionFactorsTransport_Variation()</f>
        <v>⚠️VARIATION OF SOURCE DATA: 'NE' values returned as zero for calculations.</v>
      </c>
      <c r="E8" s="173"/>
      <c r="F8" s="173"/>
      <c r="G8" s="173"/>
      <c r="H8" s="173"/>
      <c r="I8" s="173"/>
      <c r="J8" s="173"/>
      <c r="K8" s="173"/>
      <c r="L8" s="173"/>
    </row>
    <row r="9" spans="1:35" ht="20.100000000000001" customHeight="1" x14ac:dyDescent="0.25">
      <c r="A9" s="5" t="str">
        <f>HYPERLINK("#'Input - Enterprise'!A1", "Enterprise")</f>
        <v>Enterprise</v>
      </c>
      <c r="D9" s="223" t="s">
        <v>754</v>
      </c>
      <c r="E9" s="223" t="s">
        <v>755</v>
      </c>
      <c r="F9" s="223" t="s">
        <v>756</v>
      </c>
      <c r="G9" s="223" t="s">
        <v>757</v>
      </c>
      <c r="H9" s="223" t="s">
        <v>758</v>
      </c>
      <c r="I9" s="223" t="s">
        <v>759</v>
      </c>
      <c r="J9" s="223" t="s">
        <v>760</v>
      </c>
      <c r="K9" s="223" t="s">
        <v>761</v>
      </c>
      <c r="L9" s="223" t="s">
        <v>762</v>
      </c>
    </row>
    <row r="10" spans="1:35" ht="20.100000000000001" customHeight="1" x14ac:dyDescent="0.25">
      <c r="A10" s="5" t="str">
        <f>HYPERLINK("#'Input - Site'!A1", "Site")</f>
        <v>Site</v>
      </c>
      <c r="D10" s="224" t="str" cm="1">
        <f t="array" ref="D10">Common_InputFunctions.Utility_DisplayArrayInTable(Fuel_SourceData.Fuel_Scope1Scope3EmissionFactorsTransport_Data(), Table_Fuel_EFs_Transport[[#Headers],[Transport type]], 0)</f>
        <v>Cars and light commercial vehicles</v>
      </c>
      <c r="E10" s="224" t="str" cm="1">
        <f t="array" ref="E10">Common_InputFunctions.Utility_DisplayArrayInTable(Fuel_SourceData.Fuel_Scope1Scope3EmissionFactorsTransport_Data(), Table_Fuel_EFs_Transport[[#Headers],[Transport type]], 0)</f>
        <v>Gasoline</v>
      </c>
      <c r="F10" s="224" cm="1">
        <f t="array" ref="F10">Common_InputFunctions.Utility_DisplayArrayInTable(Fuel_SourceData.Fuel_Scope1Scope3EmissionFactorsTransport_Data(), Table_Fuel_EFs_Transport[[#Headers],[Transport type]], 0)</f>
        <v>34.200000000000003</v>
      </c>
      <c r="G10" s="224" t="str" cm="1">
        <f t="array" ref="G10">Common_InputFunctions.Utility_DisplayArrayInTable(Fuel_SourceData.Fuel_Scope1Scope3EmissionFactorsTransport_Data(), Table_Fuel_EFs_Transport[[#Headers],[Transport type]], 0)</f>
        <v>kl</v>
      </c>
      <c r="H10" s="224" cm="1">
        <f t="array" ref="H10">Common_InputFunctions.Utility_DisplayArrayInTable(Fuel_SourceData.Fuel_Scope1Scope3EmissionFactorsTransport_Data(), Table_Fuel_EFs_Transport[[#Headers],[Transport type]], 0)</f>
        <v>67.400000000000006</v>
      </c>
      <c r="I10" s="224" cm="1">
        <f t="array" ref="I10">Common_InputFunctions.Utility_DisplayArrayInTable(Fuel_SourceData.Fuel_Scope1Scope3EmissionFactorsTransport_Data(), Table_Fuel_EFs_Transport[[#Headers],[Transport type]], 0)</f>
        <v>0.02</v>
      </c>
      <c r="J10" s="224" cm="1">
        <f t="array" ref="J10">Common_InputFunctions.Utility_DisplayArrayInTable(Fuel_SourceData.Fuel_Scope1Scope3EmissionFactorsTransport_Data(), Table_Fuel_EFs_Transport[[#Headers],[Transport type]], 0)</f>
        <v>0.2</v>
      </c>
      <c r="K10" s="224" cm="1">
        <f t="array" ref="K10">Common_InputFunctions.Utility_DisplayArrayInTable(Fuel_SourceData.Fuel_Scope1Scope3EmissionFactorsTransport_Data(), Table_Fuel_EFs_Transport[[#Headers],[Transport type]], 0)</f>
        <v>67.62</v>
      </c>
      <c r="L10" s="224"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Beef'!A1", "Pasture Beef")</f>
        <v>Pasture Beef</v>
      </c>
      <c r="D11" s="224" t="str" cm="1">
        <f t="array" ref="D11">Common_InputFunctions.Utility_DisplayArrayInTable(Fuel_SourceData.Fuel_Scope1Scope3EmissionFactorsTransport_Data(), Table_Fuel_EFs_Transport[[#Headers],[Transport type]], 0)</f>
        <v>Cars and light commercial vehicles</v>
      </c>
      <c r="E11" s="224" t="str" cm="1">
        <f t="array" ref="E11">Common_InputFunctions.Utility_DisplayArrayInTable(Fuel_SourceData.Fuel_Scope1Scope3EmissionFactorsTransport_Data(), Table_Fuel_EFs_Transport[[#Headers],[Transport type]], 0)</f>
        <v>Diesel oil</v>
      </c>
      <c r="F11" s="224" cm="1">
        <f t="array" ref="F11">Common_InputFunctions.Utility_DisplayArrayInTable(Fuel_SourceData.Fuel_Scope1Scope3EmissionFactorsTransport_Data(), Table_Fuel_EFs_Transport[[#Headers],[Transport type]], 0)</f>
        <v>38.6</v>
      </c>
      <c r="G11" s="224" t="str" cm="1">
        <f t="array" ref="G11">Common_InputFunctions.Utility_DisplayArrayInTable(Fuel_SourceData.Fuel_Scope1Scope3EmissionFactorsTransport_Data(), Table_Fuel_EFs_Transport[[#Headers],[Transport type]], 0)</f>
        <v>kl</v>
      </c>
      <c r="H11" s="224" cm="1">
        <f t="array" ref="H11">Common_InputFunctions.Utility_DisplayArrayInTable(Fuel_SourceData.Fuel_Scope1Scope3EmissionFactorsTransport_Data(), Table_Fuel_EFs_Transport[[#Headers],[Transport type]], 0)</f>
        <v>69.900000000000006</v>
      </c>
      <c r="I11" s="224" cm="1">
        <f t="array" ref="I11">Common_InputFunctions.Utility_DisplayArrayInTable(Fuel_SourceData.Fuel_Scope1Scope3EmissionFactorsTransport_Data(), Table_Fuel_EFs_Transport[[#Headers],[Transport type]], 0)</f>
        <v>0.01</v>
      </c>
      <c r="J11" s="224" cm="1">
        <f t="array" ref="J11">Common_InputFunctions.Utility_DisplayArrayInTable(Fuel_SourceData.Fuel_Scope1Scope3EmissionFactorsTransport_Data(), Table_Fuel_EFs_Transport[[#Headers],[Transport type]], 0)</f>
        <v>0.5</v>
      </c>
      <c r="K11" s="224" cm="1">
        <f t="array" ref="K11">Common_InputFunctions.Utility_DisplayArrayInTable(Fuel_SourceData.Fuel_Scope1Scope3EmissionFactorsTransport_Data(), Table_Fuel_EFs_Transport[[#Headers],[Transport type]], 0)</f>
        <v>70.41</v>
      </c>
      <c r="L11" s="224"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 Beef (Enteric)'!A1", "Pasture Beef (Enteric)")</f>
        <v>Pasture Beef (Enteric)</v>
      </c>
      <c r="D12" s="224" t="str" cm="1">
        <f t="array" ref="D12">Common_InputFunctions.Utility_DisplayArrayInTable(Fuel_SourceData.Fuel_Scope1Scope3EmissionFactorsTransport_Data(), Table_Fuel_EFs_Transport[[#Headers],[Transport type]], 0)</f>
        <v>Cars and light commercial vehicles</v>
      </c>
      <c r="E12" s="224" t="str" cm="1">
        <f t="array" ref="E12">Common_InputFunctions.Utility_DisplayArrayInTable(Fuel_SourceData.Fuel_Scope1Scope3EmissionFactorsTransport_Data(), Table_Fuel_EFs_Transport[[#Headers],[Transport type]], 0)</f>
        <v>Liquefied petroleum gas (LPG)</v>
      </c>
      <c r="F12" s="224" cm="1">
        <f t="array" ref="F12">Common_InputFunctions.Utility_DisplayArrayInTable(Fuel_SourceData.Fuel_Scope1Scope3EmissionFactorsTransport_Data(), Table_Fuel_EFs_Transport[[#Headers],[Transport type]], 0)</f>
        <v>26.2</v>
      </c>
      <c r="G12" s="224" t="str" cm="1">
        <f t="array" ref="G12">Common_InputFunctions.Utility_DisplayArrayInTable(Fuel_SourceData.Fuel_Scope1Scope3EmissionFactorsTransport_Data(), Table_Fuel_EFs_Transport[[#Headers],[Transport type]], 0)</f>
        <v>kl</v>
      </c>
      <c r="H12" s="224" cm="1">
        <f t="array" ref="H12">Common_InputFunctions.Utility_DisplayArrayInTable(Fuel_SourceData.Fuel_Scope1Scope3EmissionFactorsTransport_Data(), Table_Fuel_EFs_Transport[[#Headers],[Transport type]], 0)</f>
        <v>60.2</v>
      </c>
      <c r="I12" s="224" cm="1">
        <f t="array" ref="I12">Common_InputFunctions.Utility_DisplayArrayInTable(Fuel_SourceData.Fuel_Scope1Scope3EmissionFactorsTransport_Data(), Table_Fuel_EFs_Transport[[#Headers],[Transport type]], 0)</f>
        <v>0.5</v>
      </c>
      <c r="J12" s="224" cm="1">
        <f t="array" ref="J12">Common_InputFunctions.Utility_DisplayArrayInTable(Fuel_SourceData.Fuel_Scope1Scope3EmissionFactorsTransport_Data(), Table_Fuel_EFs_Transport[[#Headers],[Transport type]], 0)</f>
        <v>0.3</v>
      </c>
      <c r="K12" s="224" cm="1">
        <f t="array" ref="K12">Common_InputFunctions.Utility_DisplayArrayInTable(Fuel_SourceData.Fuel_Scope1Scope3EmissionFactorsTransport_Data(), Table_Fuel_EFs_Transport[[#Headers],[Transport type]], 0)</f>
        <v>61</v>
      </c>
      <c r="L12" s="224"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Livestock sales'!A1", "Livestock sales")</f>
        <v>Livestock sales</v>
      </c>
      <c r="D13" s="224" t="str" cm="1">
        <f t="array" ref="D13">Common_InputFunctions.Utility_DisplayArrayInTable(Fuel_SourceData.Fuel_Scope1Scope3EmissionFactorsTransport_Data(), Table_Fuel_EFs_Transport[[#Headers],[Transport type]], 0)</f>
        <v>Cars and light commercial vehicles</v>
      </c>
      <c r="E13" s="224" t="str" cm="1">
        <f t="array" ref="E13">Common_InputFunctions.Utility_DisplayArrayInTable(Fuel_SourceData.Fuel_Scope1Scope3EmissionFactorsTransport_Data(), Table_Fuel_EFs_Transport[[#Headers],[Transport type]], 0)</f>
        <v>Fuel oil</v>
      </c>
      <c r="F13" s="224" cm="1">
        <f t="array" ref="F13">Common_InputFunctions.Utility_DisplayArrayInTable(Fuel_SourceData.Fuel_Scope1Scope3EmissionFactorsTransport_Data(), Table_Fuel_EFs_Transport[[#Headers],[Transport type]], 0)</f>
        <v>39.700000000000003</v>
      </c>
      <c r="G13" s="224" t="str" cm="1">
        <f t="array" ref="G13">Common_InputFunctions.Utility_DisplayArrayInTable(Fuel_SourceData.Fuel_Scope1Scope3EmissionFactorsTransport_Data(), Table_Fuel_EFs_Transport[[#Headers],[Transport type]], 0)</f>
        <v>kl</v>
      </c>
      <c r="H13" s="224" cm="1">
        <f t="array" ref="H13">Common_InputFunctions.Utility_DisplayArrayInTable(Fuel_SourceData.Fuel_Scope1Scope3EmissionFactorsTransport_Data(), Table_Fuel_EFs_Transport[[#Headers],[Transport type]], 0)</f>
        <v>73.599999999999994</v>
      </c>
      <c r="I13" s="224" cm="1">
        <f t="array" ref="I13">Common_InputFunctions.Utility_DisplayArrayInTable(Fuel_SourceData.Fuel_Scope1Scope3EmissionFactorsTransport_Data(), Table_Fuel_EFs_Transport[[#Headers],[Transport type]], 0)</f>
        <v>0.08</v>
      </c>
      <c r="J13" s="224" cm="1">
        <f t="array" ref="J13">Common_InputFunctions.Utility_DisplayArrayInTable(Fuel_SourceData.Fuel_Scope1Scope3EmissionFactorsTransport_Data(), Table_Fuel_EFs_Transport[[#Headers],[Transport type]], 0)</f>
        <v>0.5</v>
      </c>
      <c r="K13" s="224" cm="1">
        <f t="array" ref="K13">Common_InputFunctions.Utility_DisplayArrayInTable(Fuel_SourceData.Fuel_Scope1Scope3EmissionFactorsTransport_Data(), Table_Fuel_EFs_Transport[[#Headers],[Transport type]], 0)</f>
        <v>74.180000000000007</v>
      </c>
      <c r="L13" s="224"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Beef cattle purchases'!A1", "Beef cattle purchases")</f>
        <v>Beef cattle purchases</v>
      </c>
      <c r="D14" s="224" t="str" cm="1">
        <f t="array" ref="D14">Common_InputFunctions.Utility_DisplayArrayInTable(Fuel_SourceData.Fuel_Scope1Scope3EmissionFactorsTransport_Data(), Table_Fuel_EFs_Transport[[#Headers],[Transport type]], 0)</f>
        <v>Cars and light commercial vehicles</v>
      </c>
      <c r="E14" s="224" t="str" cm="1">
        <f t="array" ref="E14">Common_InputFunctions.Utility_DisplayArrayInTable(Fuel_SourceData.Fuel_Scope1Scope3EmissionFactorsTransport_Data(), Table_Fuel_EFs_Transport[[#Headers],[Transport type]], 0)</f>
        <v>Ethanol</v>
      </c>
      <c r="F14" s="224" cm="1">
        <f t="array" ref="F14">Common_InputFunctions.Utility_DisplayArrayInTable(Fuel_SourceData.Fuel_Scope1Scope3EmissionFactorsTransport_Data(), Table_Fuel_EFs_Transport[[#Headers],[Transport type]], 0)</f>
        <v>23.4</v>
      </c>
      <c r="G14" s="224" t="str" cm="1">
        <f t="array" ref="G14">Common_InputFunctions.Utility_DisplayArrayInTable(Fuel_SourceData.Fuel_Scope1Scope3EmissionFactorsTransport_Data(), Table_Fuel_EFs_Transport[[#Headers],[Transport type]], 0)</f>
        <v>kl</v>
      </c>
      <c r="H14" s="224" cm="1">
        <f t="array" ref="H14">Common_InputFunctions.Utility_DisplayArrayInTable(Fuel_SourceData.Fuel_Scope1Scope3EmissionFactorsTransport_Data(), Table_Fuel_EFs_Transport[[#Headers],[Transport type]], 0)</f>
        <v>0</v>
      </c>
      <c r="I14" s="224" cm="1">
        <f t="array" ref="I14">Common_InputFunctions.Utility_DisplayArrayInTable(Fuel_SourceData.Fuel_Scope1Scope3EmissionFactorsTransport_Data(), Table_Fuel_EFs_Transport[[#Headers],[Transport type]], 0)</f>
        <v>0.2</v>
      </c>
      <c r="J14" s="224" cm="1">
        <f t="array" ref="J14">Common_InputFunctions.Utility_DisplayArrayInTable(Fuel_SourceData.Fuel_Scope1Scope3EmissionFactorsTransport_Data(), Table_Fuel_EFs_Transport[[#Headers],[Transport type]], 0)</f>
        <v>0.2</v>
      </c>
      <c r="K14" s="224" cm="1">
        <f t="array" ref="K14">Common_InputFunctions.Utility_DisplayArrayInTable(Fuel_SourceData.Fuel_Scope1Scope3EmissionFactorsTransport_Data(), Table_Fuel_EFs_Transport[[#Headers],[Transport type]], 0)</f>
        <v>0.4</v>
      </c>
      <c r="L14" s="224"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Pasture'!A1", "Pasture")</f>
        <v>Pasture</v>
      </c>
      <c r="D15" s="224" t="str" cm="1">
        <f t="array" ref="D15">Common_InputFunctions.Utility_DisplayArrayInTable(Fuel_SourceData.Fuel_Scope1Scope3EmissionFactorsTransport_Data(), Table_Fuel_EFs_Transport[[#Headers],[Transport type]], 0)</f>
        <v>Cars and light commercial vehicles</v>
      </c>
      <c r="E15" s="224" t="str" cm="1">
        <f t="array" ref="E15">Common_InputFunctions.Utility_DisplayArrayInTable(Fuel_SourceData.Fuel_Scope1Scope3EmissionFactorsTransport_Data(), Table_Fuel_EFs_Transport[[#Headers],[Transport type]], 0)</f>
        <v>Biodiesel</v>
      </c>
      <c r="F15" s="224" cm="1">
        <f t="array" ref="F15">Common_InputFunctions.Utility_DisplayArrayInTable(Fuel_SourceData.Fuel_Scope1Scope3EmissionFactorsTransport_Data(), Table_Fuel_EFs_Transport[[#Headers],[Transport type]], 0)</f>
        <v>34.6</v>
      </c>
      <c r="G15" s="224" t="str" cm="1">
        <f t="array" ref="G15">Common_InputFunctions.Utility_DisplayArrayInTable(Fuel_SourceData.Fuel_Scope1Scope3EmissionFactorsTransport_Data(), Table_Fuel_EFs_Transport[[#Headers],[Transport type]], 0)</f>
        <v>kl</v>
      </c>
      <c r="H15" s="224" cm="1">
        <f t="array" ref="H15">Common_InputFunctions.Utility_DisplayArrayInTable(Fuel_SourceData.Fuel_Scope1Scope3EmissionFactorsTransport_Data(), Table_Fuel_EFs_Transport[[#Headers],[Transport type]], 0)</f>
        <v>0</v>
      </c>
      <c r="I15" s="224" cm="1">
        <f t="array" ref="I15">Common_InputFunctions.Utility_DisplayArrayInTable(Fuel_SourceData.Fuel_Scope1Scope3EmissionFactorsTransport_Data(), Table_Fuel_EFs_Transport[[#Headers],[Transport type]], 0)</f>
        <v>0.8</v>
      </c>
      <c r="J15" s="224" cm="1">
        <f t="array" ref="J15">Common_InputFunctions.Utility_DisplayArrayInTable(Fuel_SourceData.Fuel_Scope1Scope3EmissionFactorsTransport_Data(), Table_Fuel_EFs_Transport[[#Headers],[Transport type]], 0)</f>
        <v>1.7</v>
      </c>
      <c r="K15" s="224" cm="1">
        <f t="array" ref="K15">Common_InputFunctions.Utility_DisplayArrayInTable(Fuel_SourceData.Fuel_Scope1Scope3EmissionFactorsTransport_Data(), Table_Fuel_EFs_Transport[[#Headers],[Transport type]], 0)</f>
        <v>2.5</v>
      </c>
      <c r="L15" s="224"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 Prod System'!A1", "Fert Prod System")</f>
        <v>Fert Prod System</v>
      </c>
      <c r="D16" s="224" t="str" cm="1">
        <f t="array" ref="D16">Common_InputFunctions.Utility_DisplayArrayInTable(Fuel_SourceData.Fuel_Scope1Scope3EmissionFactorsTransport_Data(), Table_Fuel_EFs_Transport[[#Headers],[Transport type]], 0)</f>
        <v>Cars and light commercial vehicles</v>
      </c>
      <c r="E16" s="224" t="str" cm="1">
        <f t="array" ref="E16">Common_InputFunctions.Utility_DisplayArrayInTable(Fuel_SourceData.Fuel_Scope1Scope3EmissionFactorsTransport_Data(), Table_Fuel_EFs_Transport[[#Headers],[Transport type]], 0)</f>
        <v>Renewable diesel</v>
      </c>
      <c r="F16" s="224" cm="1">
        <f t="array" ref="F16">Common_InputFunctions.Utility_DisplayArrayInTable(Fuel_SourceData.Fuel_Scope1Scope3EmissionFactorsTransport_Data(), Table_Fuel_EFs_Transport[[#Headers],[Transport type]], 0)</f>
        <v>38.6</v>
      </c>
      <c r="G16" s="224" t="str" cm="1">
        <f t="array" ref="G16">Common_InputFunctions.Utility_DisplayArrayInTable(Fuel_SourceData.Fuel_Scope1Scope3EmissionFactorsTransport_Data(), Table_Fuel_EFs_Transport[[#Headers],[Transport type]], 0)</f>
        <v>kl</v>
      </c>
      <c r="H16" s="224" cm="1">
        <f t="array" ref="H16">Common_InputFunctions.Utility_DisplayArrayInTable(Fuel_SourceData.Fuel_Scope1Scope3EmissionFactorsTransport_Data(), Table_Fuel_EFs_Transport[[#Headers],[Transport type]], 0)</f>
        <v>0</v>
      </c>
      <c r="I16" s="224" cm="1">
        <f t="array" ref="I16">Common_InputFunctions.Utility_DisplayArrayInTable(Fuel_SourceData.Fuel_Scope1Scope3EmissionFactorsTransport_Data(), Table_Fuel_EFs_Transport[[#Headers],[Transport type]], 0)</f>
        <v>0.01</v>
      </c>
      <c r="J16" s="224" cm="1">
        <f t="array" ref="J16">Common_InputFunctions.Utility_DisplayArrayInTable(Fuel_SourceData.Fuel_Scope1Scope3EmissionFactorsTransport_Data(), Table_Fuel_EFs_Transport[[#Headers],[Transport type]], 0)</f>
        <v>0.5</v>
      </c>
      <c r="K16" s="224" cm="1">
        <f t="array" ref="K16">Common_InputFunctions.Utility_DisplayArrayInTable(Fuel_SourceData.Fuel_Scope1Scope3EmissionFactorsTransport_Data(), Table_Fuel_EFs_Transport[[#Headers],[Transport type]], 0)</f>
        <v>0.51</v>
      </c>
      <c r="L16" s="224"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Fertiliser'!A1", "Fertiliser")</f>
        <v>Fertiliser</v>
      </c>
      <c r="D17" s="224" t="str" cm="1">
        <f t="array" ref="D17">Common_InputFunctions.Utility_DisplayArrayInTable(Fuel_SourceData.Fuel_Scope1Scope3EmissionFactorsTransport_Data(), Table_Fuel_EFs_Transport[[#Headers],[Transport type]], 0)</f>
        <v>Cars and light commercial vehicles</v>
      </c>
      <c r="E17" s="224" t="str" cm="1">
        <f t="array" ref="E17">Common_InputFunctions.Utility_DisplayArrayInTable(Fuel_SourceData.Fuel_Scope1Scope3EmissionFactorsTransport_Data(), Table_Fuel_EFs_Transport[[#Headers],[Transport type]], 0)</f>
        <v>Other biofuels</v>
      </c>
      <c r="F17" s="224" cm="1">
        <f t="array" ref="F17">Common_InputFunctions.Utility_DisplayArrayInTable(Fuel_SourceData.Fuel_Scope1Scope3EmissionFactorsTransport_Data(), Table_Fuel_EFs_Transport[[#Headers],[Transport type]], 0)</f>
        <v>23.4</v>
      </c>
      <c r="G17" s="224" t="str" cm="1">
        <f t="array" ref="G17">Common_InputFunctions.Utility_DisplayArrayInTable(Fuel_SourceData.Fuel_Scope1Scope3EmissionFactorsTransport_Data(), Table_Fuel_EFs_Transport[[#Headers],[Transport type]], 0)</f>
        <v>kl</v>
      </c>
      <c r="H17" s="224" cm="1">
        <f t="array" ref="H17">Common_InputFunctions.Utility_DisplayArrayInTable(Fuel_SourceData.Fuel_Scope1Scope3EmissionFactorsTransport_Data(), Table_Fuel_EFs_Transport[[#Headers],[Transport type]], 0)</f>
        <v>0</v>
      </c>
      <c r="I17" s="224" cm="1">
        <f t="array" ref="I17">Common_InputFunctions.Utility_DisplayArrayInTable(Fuel_SourceData.Fuel_Scope1Scope3EmissionFactorsTransport_Data(), Table_Fuel_EFs_Transport[[#Headers],[Transport type]], 0)</f>
        <v>0.8</v>
      </c>
      <c r="J17" s="224" cm="1">
        <f t="array" ref="J17">Common_InputFunctions.Utility_DisplayArrayInTable(Fuel_SourceData.Fuel_Scope1Scope3EmissionFactorsTransport_Data(), Table_Fuel_EFs_Transport[[#Headers],[Transport type]], 0)</f>
        <v>1.7</v>
      </c>
      <c r="K17" s="224" cm="1">
        <f t="array" ref="K17">Common_InputFunctions.Utility_DisplayArrayInTable(Fuel_SourceData.Fuel_Scope1Scope3EmissionFactorsTransport_Data(), Table_Fuel_EFs_Transport[[#Headers],[Transport type]], 0)</f>
        <v>2.5</v>
      </c>
      <c r="L17" s="224"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Fuel'!A1", "Fuel")</f>
        <v>Fuel</v>
      </c>
      <c r="D18" s="224" t="str" cm="1">
        <f t="array" ref="D18">Common_InputFunctions.Utility_DisplayArrayInTable(Fuel_SourceData.Fuel_Scope1Scope3EmissionFactorsTransport_Data(), Table_Fuel_EFs_Transport[[#Headers],[Transport type]], 0)</f>
        <v>Light duty vehicles</v>
      </c>
      <c r="E18" s="224" t="str" cm="1">
        <f t="array" ref="E18">Common_InputFunctions.Utility_DisplayArrayInTable(Fuel_SourceData.Fuel_Scope1Scope3EmissionFactorsTransport_Data(), Table_Fuel_EFs_Transport[[#Headers],[Transport type]], 0)</f>
        <v>Compressed natural gas</v>
      </c>
      <c r="F18" s="224" cm="1">
        <f t="array" ref="F18">Common_InputFunctions.Utility_DisplayArrayInTable(Fuel_SourceData.Fuel_Scope1Scope3EmissionFactorsTransport_Data(), Table_Fuel_EFs_Transport[[#Headers],[Transport type]], 0)</f>
        <v>3.9300000000000002E-2</v>
      </c>
      <c r="G18" s="224" t="str" cm="1">
        <f t="array" ref="G18">Common_InputFunctions.Utility_DisplayArrayInTable(Fuel_SourceData.Fuel_Scope1Scope3EmissionFactorsTransport_Data(), Table_Fuel_EFs_Transport[[#Headers],[Transport type]], 0)</f>
        <v>m3</v>
      </c>
      <c r="H18" s="224" cm="1">
        <f t="array" ref="H18">Common_InputFunctions.Utility_DisplayArrayInTable(Fuel_SourceData.Fuel_Scope1Scope3EmissionFactorsTransport_Data(), Table_Fuel_EFs_Transport[[#Headers],[Transport type]], 0)</f>
        <v>51.4</v>
      </c>
      <c r="I18" s="224" cm="1">
        <f t="array" ref="I18">Common_InputFunctions.Utility_DisplayArrayInTable(Fuel_SourceData.Fuel_Scope1Scope3EmissionFactorsTransport_Data(), Table_Fuel_EFs_Transport[[#Headers],[Transport type]], 0)</f>
        <v>7.3</v>
      </c>
      <c r="J18" s="224" cm="1">
        <f t="array" ref="J18">Common_InputFunctions.Utility_DisplayArrayInTable(Fuel_SourceData.Fuel_Scope1Scope3EmissionFactorsTransport_Data(), Table_Fuel_EFs_Transport[[#Headers],[Transport type]], 0)</f>
        <v>0.3</v>
      </c>
      <c r="K18" s="224" cm="1">
        <f t="array" ref="K18">Common_InputFunctions.Utility_DisplayArrayInTable(Fuel_SourceData.Fuel_Scope1Scope3EmissionFactorsTransport_Data(), Table_Fuel_EFs_Transport[[#Headers],[Transport type]], 0)</f>
        <v>59</v>
      </c>
      <c r="L18" s="224"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Electricity'!A1", "Electricity")</f>
        <v>Electricity</v>
      </c>
      <c r="D19" s="224" t="str" cm="1">
        <f t="array" ref="D19">Common_InputFunctions.Utility_DisplayArrayInTable(Fuel_SourceData.Fuel_Scope1Scope3EmissionFactorsTransport_Data(), Table_Fuel_EFs_Transport[[#Headers],[Transport type]], 0)</f>
        <v>Light duty vehicles</v>
      </c>
      <c r="E19" s="224" t="str" cm="1">
        <f t="array" ref="E19">Common_InputFunctions.Utility_DisplayArrayInTable(Fuel_SourceData.Fuel_Scope1Scope3EmissionFactorsTransport_Data(), Table_Fuel_EFs_Transport[[#Headers],[Transport type]], 0)</f>
        <v>Liquefied natural gas</v>
      </c>
      <c r="F19" s="224" cm="1">
        <f t="array" ref="F19">Common_InputFunctions.Utility_DisplayArrayInTable(Fuel_SourceData.Fuel_Scope1Scope3EmissionFactorsTransport_Data(), Table_Fuel_EFs_Transport[[#Headers],[Transport type]], 0)</f>
        <v>25.3</v>
      </c>
      <c r="G19" s="224" t="str" cm="1">
        <f t="array" ref="G19">Common_InputFunctions.Utility_DisplayArrayInTable(Fuel_SourceData.Fuel_Scope1Scope3EmissionFactorsTransport_Data(), Table_Fuel_EFs_Transport[[#Headers],[Transport type]], 0)</f>
        <v>kl</v>
      </c>
      <c r="H19" s="224" cm="1">
        <f t="array" ref="H19">Common_InputFunctions.Utility_DisplayArrayInTable(Fuel_SourceData.Fuel_Scope1Scope3EmissionFactorsTransport_Data(), Table_Fuel_EFs_Transport[[#Headers],[Transport type]], 0)</f>
        <v>51.4</v>
      </c>
      <c r="I19" s="224" cm="1">
        <f t="array" ref="I19">Common_InputFunctions.Utility_DisplayArrayInTable(Fuel_SourceData.Fuel_Scope1Scope3EmissionFactorsTransport_Data(), Table_Fuel_EFs_Transport[[#Headers],[Transport type]], 0)</f>
        <v>7.3</v>
      </c>
      <c r="J19" s="224" cm="1">
        <f t="array" ref="J19">Common_InputFunctions.Utility_DisplayArrayInTable(Fuel_SourceData.Fuel_Scope1Scope3EmissionFactorsTransport_Data(), Table_Fuel_EFs_Transport[[#Headers],[Transport type]], 0)</f>
        <v>0.3</v>
      </c>
      <c r="K19" s="224" cm="1">
        <f t="array" ref="K19">Common_InputFunctions.Utility_DisplayArrayInTable(Fuel_SourceData.Fuel_Scope1Scope3EmissionFactorsTransport_Data(), Table_Fuel_EFs_Transport[[#Headers],[Transport type]], 0)</f>
        <v>59</v>
      </c>
      <c r="L19" s="224"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Farm Inputs'!A1", "Farm Inputs")</f>
        <v>Farm Inputs</v>
      </c>
      <c r="D20" s="224" t="str" cm="1">
        <f t="array" ref="D20">Common_InputFunctions.Utility_DisplayArrayInTable(Fuel_SourceData.Fuel_Scope1Scope3EmissionFactorsTransport_Data(), Table_Fuel_EFs_Transport[[#Headers],[Transport type]], 0)</f>
        <v>Heavy duty vehicles</v>
      </c>
      <c r="E20" s="224" t="str" cm="1">
        <f t="array" ref="E20">Common_InputFunctions.Utility_DisplayArrayInTable(Fuel_SourceData.Fuel_Scope1Scope3EmissionFactorsTransport_Data(), Table_Fuel_EFs_Transport[[#Headers],[Transport type]], 0)</f>
        <v>Compressed natural gas</v>
      </c>
      <c r="F20" s="224" cm="1">
        <f t="array" ref="F20">Common_InputFunctions.Utility_DisplayArrayInTable(Fuel_SourceData.Fuel_Scope1Scope3EmissionFactorsTransport_Data(), Table_Fuel_EFs_Transport[[#Headers],[Transport type]], 0)</f>
        <v>3.9300000000000002E-2</v>
      </c>
      <c r="G20" s="224" t="str" cm="1">
        <f t="array" ref="G20">Common_InputFunctions.Utility_DisplayArrayInTable(Fuel_SourceData.Fuel_Scope1Scope3EmissionFactorsTransport_Data(), Table_Fuel_EFs_Transport[[#Headers],[Transport type]], 0)</f>
        <v>m3</v>
      </c>
      <c r="H20" s="224" cm="1">
        <f t="array" ref="H20">Common_InputFunctions.Utility_DisplayArrayInTable(Fuel_SourceData.Fuel_Scope1Scope3EmissionFactorsTransport_Data(), Table_Fuel_EFs_Transport[[#Headers],[Transport type]], 0)</f>
        <v>51.4</v>
      </c>
      <c r="I20" s="224" cm="1">
        <f t="array" ref="I20">Common_InputFunctions.Utility_DisplayArrayInTable(Fuel_SourceData.Fuel_Scope1Scope3EmissionFactorsTransport_Data(), Table_Fuel_EFs_Transport[[#Headers],[Transport type]], 0)</f>
        <v>2.8</v>
      </c>
      <c r="J20" s="224" cm="1">
        <f t="array" ref="J20">Common_InputFunctions.Utility_DisplayArrayInTable(Fuel_SourceData.Fuel_Scope1Scope3EmissionFactorsTransport_Data(), Table_Fuel_EFs_Transport[[#Headers],[Transport type]], 0)</f>
        <v>0.3</v>
      </c>
      <c r="K20" s="224" cm="1">
        <f t="array" ref="K20">Common_InputFunctions.Utility_DisplayArrayInTable(Fuel_SourceData.Fuel_Scope1Scope3EmissionFactorsTransport_Data(), Table_Fuel_EFs_Transport[[#Headers],[Transport type]], 0)</f>
        <v>54.5</v>
      </c>
      <c r="L20" s="224"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Freight'!A1", "Freight")</f>
        <v>Freight</v>
      </c>
      <c r="D21" s="224" t="str" cm="1">
        <f t="array" ref="D21">Common_InputFunctions.Utility_DisplayArrayInTable(Fuel_SourceData.Fuel_Scope1Scope3EmissionFactorsTransport_Data(), Table_Fuel_EFs_Transport[[#Headers],[Transport type]], 0)</f>
        <v>Heavy duty vehicles</v>
      </c>
      <c r="E21" s="224" t="str" cm="1">
        <f t="array" ref="E21">Common_InputFunctions.Utility_DisplayArrayInTable(Fuel_SourceData.Fuel_Scope1Scope3EmissionFactorsTransport_Data(), Table_Fuel_EFs_Transport[[#Headers],[Transport type]], 0)</f>
        <v>Liquefied natural gas</v>
      </c>
      <c r="F21" s="224" cm="1">
        <f t="array" ref="F21">Common_InputFunctions.Utility_DisplayArrayInTable(Fuel_SourceData.Fuel_Scope1Scope3EmissionFactorsTransport_Data(), Table_Fuel_EFs_Transport[[#Headers],[Transport type]], 0)</f>
        <v>25.3</v>
      </c>
      <c r="G21" s="224" t="str" cm="1">
        <f t="array" ref="G21">Common_InputFunctions.Utility_DisplayArrayInTable(Fuel_SourceData.Fuel_Scope1Scope3EmissionFactorsTransport_Data(), Table_Fuel_EFs_Transport[[#Headers],[Transport type]], 0)</f>
        <v>kl</v>
      </c>
      <c r="H21" s="224" cm="1">
        <f t="array" ref="H21">Common_InputFunctions.Utility_DisplayArrayInTable(Fuel_SourceData.Fuel_Scope1Scope3EmissionFactorsTransport_Data(), Table_Fuel_EFs_Transport[[#Headers],[Transport type]], 0)</f>
        <v>51.4</v>
      </c>
      <c r="I21" s="224" cm="1">
        <f t="array" ref="I21">Common_InputFunctions.Utility_DisplayArrayInTable(Fuel_SourceData.Fuel_Scope1Scope3EmissionFactorsTransport_Data(), Table_Fuel_EFs_Transport[[#Headers],[Transport type]], 0)</f>
        <v>2.8</v>
      </c>
      <c r="J21" s="224" cm="1">
        <f t="array" ref="J21">Common_InputFunctions.Utility_DisplayArrayInTable(Fuel_SourceData.Fuel_Scope1Scope3EmissionFactorsTransport_Data(), Table_Fuel_EFs_Transport[[#Headers],[Transport type]], 0)</f>
        <v>0.3</v>
      </c>
      <c r="K21" s="224" cm="1">
        <f t="array" ref="K21">Common_InputFunctions.Utility_DisplayArrayInTable(Fuel_SourceData.Fuel_Scope1Scope3EmissionFactorsTransport_Data(), Table_Fuel_EFs_Transport[[#Headers],[Transport type]], 0)</f>
        <v>54.5</v>
      </c>
      <c r="L21" s="224"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Manure sent off-site'!A1", "Manure sent off-site")</f>
        <v>Manure sent off-site</v>
      </c>
      <c r="D22" s="224" t="str" cm="1">
        <f t="array" ref="D22">Common_InputFunctions.Utility_DisplayArrayInTable(Fuel_SourceData.Fuel_Scope1Scope3EmissionFactorsTransport_Data(), Table_Fuel_EFs_Transport[[#Headers],[Transport type]], 0)</f>
        <v>Heavy duty vehicles</v>
      </c>
      <c r="E22" s="224" t="str" cm="1">
        <f t="array" ref="E22">Common_InputFunctions.Utility_DisplayArrayInTable(Fuel_SourceData.Fuel_Scope1Scope3EmissionFactorsTransport_Data(), Table_Fuel_EFs_Transport[[#Headers],[Transport type]], 0)</f>
        <v>Diesel oil - Euro iv or higher</v>
      </c>
      <c r="F22" s="224" cm="1">
        <f t="array" ref="F22">Common_InputFunctions.Utility_DisplayArrayInTable(Fuel_SourceData.Fuel_Scope1Scope3EmissionFactorsTransport_Data(), Table_Fuel_EFs_Transport[[#Headers],[Transport type]], 0)</f>
        <v>38.6</v>
      </c>
      <c r="G22" s="224" t="str" cm="1">
        <f t="array" ref="G22">Common_InputFunctions.Utility_DisplayArrayInTable(Fuel_SourceData.Fuel_Scope1Scope3EmissionFactorsTransport_Data(), Table_Fuel_EFs_Transport[[#Headers],[Transport type]], 0)</f>
        <v>kl</v>
      </c>
      <c r="H22" s="224" cm="1">
        <f t="array" ref="H22">Common_InputFunctions.Utility_DisplayArrayInTable(Fuel_SourceData.Fuel_Scope1Scope3EmissionFactorsTransport_Data(), Table_Fuel_EFs_Transport[[#Headers],[Transport type]], 0)</f>
        <v>69.900000000000006</v>
      </c>
      <c r="I22" s="224" cm="1">
        <f t="array" ref="I22">Common_InputFunctions.Utility_DisplayArrayInTable(Fuel_SourceData.Fuel_Scope1Scope3EmissionFactorsTransport_Data(), Table_Fuel_EFs_Transport[[#Headers],[Transport type]], 0)</f>
        <v>7.0000000000000007E-2</v>
      </c>
      <c r="J22" s="224" cm="1">
        <f t="array" ref="J22">Common_InputFunctions.Utility_DisplayArrayInTable(Fuel_SourceData.Fuel_Scope1Scope3EmissionFactorsTransport_Data(), Table_Fuel_EFs_Transport[[#Headers],[Transport type]], 0)</f>
        <v>0.4</v>
      </c>
      <c r="K22" s="224" cm="1">
        <f t="array" ref="K22">Common_InputFunctions.Utility_DisplayArrayInTable(Fuel_SourceData.Fuel_Scope1Scope3EmissionFactorsTransport_Data(), Table_Fuel_EFs_Transport[[#Headers],[Transport type]], 0)</f>
        <v>70.37</v>
      </c>
      <c r="L22" s="224"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Solid waste'!A1", "Solid waste")</f>
        <v>Solid waste</v>
      </c>
      <c r="D23" s="224" t="str" cm="1">
        <f t="array" ref="D23">Common_InputFunctions.Utility_DisplayArrayInTable(Fuel_SourceData.Fuel_Scope1Scope3EmissionFactorsTransport_Data(), Table_Fuel_EFs_Transport[[#Headers],[Transport type]], 0)</f>
        <v>Heavy duty vehicles</v>
      </c>
      <c r="E23" s="224" t="str" cm="1">
        <f t="array" ref="E23">Common_InputFunctions.Utility_DisplayArrayInTable(Fuel_SourceData.Fuel_Scope1Scope3EmissionFactorsTransport_Data(), Table_Fuel_EFs_Transport[[#Headers],[Transport type]], 0)</f>
        <v>Diesel oil - Euro iii</v>
      </c>
      <c r="F23" s="224" cm="1">
        <f t="array" ref="F23">Common_InputFunctions.Utility_DisplayArrayInTable(Fuel_SourceData.Fuel_Scope1Scope3EmissionFactorsTransport_Data(), Table_Fuel_EFs_Transport[[#Headers],[Transport type]], 0)</f>
        <v>38.6</v>
      </c>
      <c r="G23" s="224" t="str" cm="1">
        <f t="array" ref="G23">Common_InputFunctions.Utility_DisplayArrayInTable(Fuel_SourceData.Fuel_Scope1Scope3EmissionFactorsTransport_Data(), Table_Fuel_EFs_Transport[[#Headers],[Transport type]], 0)</f>
        <v>kl</v>
      </c>
      <c r="H23" s="224" cm="1">
        <f t="array" ref="H23">Common_InputFunctions.Utility_DisplayArrayInTable(Fuel_SourceData.Fuel_Scope1Scope3EmissionFactorsTransport_Data(), Table_Fuel_EFs_Transport[[#Headers],[Transport type]], 0)</f>
        <v>69.900000000000006</v>
      </c>
      <c r="I23" s="224" cm="1">
        <f t="array" ref="I23">Common_InputFunctions.Utility_DisplayArrayInTable(Fuel_SourceData.Fuel_Scope1Scope3EmissionFactorsTransport_Data(), Table_Fuel_EFs_Transport[[#Headers],[Transport type]], 0)</f>
        <v>0.1</v>
      </c>
      <c r="J23" s="224" cm="1">
        <f t="array" ref="J23">Common_InputFunctions.Utility_DisplayArrayInTable(Fuel_SourceData.Fuel_Scope1Scope3EmissionFactorsTransport_Data(), Table_Fuel_EFs_Transport[[#Headers],[Transport type]], 0)</f>
        <v>0.4</v>
      </c>
      <c r="K23" s="224" cm="1">
        <f t="array" ref="K23">Common_InputFunctions.Utility_DisplayArrayInTable(Fuel_SourceData.Fuel_Scope1Scope3EmissionFactorsTransport_Data(), Table_Fuel_EFs_Transport[[#Headers],[Transport type]], 0)</f>
        <v>70.400000000000006</v>
      </c>
      <c r="L23" s="224" cm="1">
        <f t="array" ref="L23">Common_InputFunctions.Utility_DisplayArrayInTable(Fuel_SourceData.Fuel_Scope1Scope3EmissionFactorsTransport_Data(), Table_Fuel_EFs_Transport[[#Headers],[Transport type]], 0)</f>
        <v>17.3</v>
      </c>
    </row>
    <row r="24" spans="1:12" ht="20.100000000000001" customHeight="1" x14ac:dyDescent="0.25">
      <c r="D24" s="224" t="str" cm="1">
        <f t="array" ref="D24">Common_InputFunctions.Utility_DisplayArrayInTable(Fuel_SourceData.Fuel_Scope1Scope3EmissionFactorsTransport_Data(), Table_Fuel_EFs_Transport[[#Headers],[Transport type]], 0)</f>
        <v>Heavy duty vehicles</v>
      </c>
      <c r="E24" s="224" t="str" cm="1">
        <f t="array" ref="E24">Common_InputFunctions.Utility_DisplayArrayInTable(Fuel_SourceData.Fuel_Scope1Scope3EmissionFactorsTransport_Data(), Table_Fuel_EFs_Transport[[#Headers],[Transport type]], 0)</f>
        <v>Diesel oil - Euro i</v>
      </c>
      <c r="F24" s="224" cm="1">
        <f t="array" ref="F24">Common_InputFunctions.Utility_DisplayArrayInTable(Fuel_SourceData.Fuel_Scope1Scope3EmissionFactorsTransport_Data(), Table_Fuel_EFs_Transport[[#Headers],[Transport type]], 0)</f>
        <v>38.6</v>
      </c>
      <c r="G24" s="224" t="str" cm="1">
        <f t="array" ref="G24">Common_InputFunctions.Utility_DisplayArrayInTable(Fuel_SourceData.Fuel_Scope1Scope3EmissionFactorsTransport_Data(), Table_Fuel_EFs_Transport[[#Headers],[Transport type]], 0)</f>
        <v>kl</v>
      </c>
      <c r="H24" s="224" cm="1">
        <f t="array" ref="H24">Common_InputFunctions.Utility_DisplayArrayInTable(Fuel_SourceData.Fuel_Scope1Scope3EmissionFactorsTransport_Data(), Table_Fuel_EFs_Transport[[#Headers],[Transport type]], 0)</f>
        <v>69.900000000000006</v>
      </c>
      <c r="I24" s="224" cm="1">
        <f t="array" ref="I24">Common_InputFunctions.Utility_DisplayArrayInTable(Fuel_SourceData.Fuel_Scope1Scope3EmissionFactorsTransport_Data(), Table_Fuel_EFs_Transport[[#Headers],[Transport type]], 0)</f>
        <v>0.2</v>
      </c>
      <c r="J24" s="224" cm="1">
        <f t="array" ref="J24">Common_InputFunctions.Utility_DisplayArrayInTable(Fuel_SourceData.Fuel_Scope1Scope3EmissionFactorsTransport_Data(), Table_Fuel_EFs_Transport[[#Headers],[Transport type]], 0)</f>
        <v>0.4</v>
      </c>
      <c r="K24" s="224" cm="1">
        <f t="array" ref="K24">Common_InputFunctions.Utility_DisplayArrayInTable(Fuel_SourceData.Fuel_Scope1Scope3EmissionFactorsTransport_Data(), Table_Fuel_EFs_Transport[[#Headers],[Transport type]], 0)</f>
        <v>70.5</v>
      </c>
      <c r="L24" s="224" cm="1">
        <f t="array" ref="L24">Common_InputFunctions.Utility_DisplayArrayInTable(Fuel_SourceData.Fuel_Scope1Scope3EmissionFactorsTransport_Data(), Table_Fuel_EFs_Transport[[#Headers],[Transport type]], 0)</f>
        <v>17.3</v>
      </c>
    </row>
    <row r="25" spans="1:12" ht="20.100000000000001" customHeight="1" x14ac:dyDescent="0.25">
      <c r="D25" s="224" t="str" cm="1">
        <f t="array" ref="D25">Common_InputFunctions.Utility_DisplayArrayInTable(Fuel_SourceData.Fuel_Scope1Scope3EmissionFactorsTransport_Data(), Table_Fuel_EFs_Transport[[#Headers],[Transport type]], 0)</f>
        <v>Heavy duty vehicles</v>
      </c>
      <c r="E25" s="224" t="str" cm="1">
        <f t="array" ref="E25">Common_InputFunctions.Utility_DisplayArrayInTable(Fuel_SourceData.Fuel_Scope1Scope3EmissionFactorsTransport_Data(), Table_Fuel_EFs_Transport[[#Headers],[Transport type]], 0)</f>
        <v>Renewable diesel – Euro iv or higher</v>
      </c>
      <c r="F25" s="224" cm="1">
        <f t="array" ref="F25">Common_InputFunctions.Utility_DisplayArrayInTable(Fuel_SourceData.Fuel_Scope1Scope3EmissionFactorsTransport_Data(), Table_Fuel_EFs_Transport[[#Headers],[Transport type]], 0)</f>
        <v>38.6</v>
      </c>
      <c r="G25" s="224" t="str" cm="1">
        <f t="array" ref="G25">Common_InputFunctions.Utility_DisplayArrayInTable(Fuel_SourceData.Fuel_Scope1Scope3EmissionFactorsTransport_Data(), Table_Fuel_EFs_Transport[[#Headers],[Transport type]], 0)</f>
        <v>kl</v>
      </c>
      <c r="H25" s="224" cm="1">
        <f t="array" ref="H25">Common_InputFunctions.Utility_DisplayArrayInTable(Fuel_SourceData.Fuel_Scope1Scope3EmissionFactorsTransport_Data(), Table_Fuel_EFs_Transport[[#Headers],[Transport type]], 0)</f>
        <v>0</v>
      </c>
      <c r="I25" s="224" cm="1">
        <f t="array" ref="I25">Common_InputFunctions.Utility_DisplayArrayInTable(Fuel_SourceData.Fuel_Scope1Scope3EmissionFactorsTransport_Data(), Table_Fuel_EFs_Transport[[#Headers],[Transport type]], 0)</f>
        <v>7.0000000000000007E-2</v>
      </c>
      <c r="J25" s="224" cm="1">
        <f t="array" ref="J25">Common_InputFunctions.Utility_DisplayArrayInTable(Fuel_SourceData.Fuel_Scope1Scope3EmissionFactorsTransport_Data(), Table_Fuel_EFs_Transport[[#Headers],[Transport type]], 0)</f>
        <v>0.4</v>
      </c>
      <c r="K25" s="224" cm="1">
        <f t="array" ref="K25">Common_InputFunctions.Utility_DisplayArrayInTable(Fuel_SourceData.Fuel_Scope1Scope3EmissionFactorsTransport_Data(), Table_Fuel_EFs_Transport[[#Headers],[Transport type]], 0)</f>
        <v>0.47</v>
      </c>
      <c r="L25" s="224" t="str" cm="1">
        <f t="array" ref="L25">Common_InputFunctions.Utility_DisplayArrayInTable(Fuel_SourceData.Fuel_Scope1Scope3EmissionFactorsTransport_Data(), Table_Fuel_EFs_Transport[[#Headers],[Transport type]], 0)</f>
        <v>NE</v>
      </c>
    </row>
    <row r="26" spans="1:12" ht="20.100000000000001" customHeight="1" x14ac:dyDescent="0.25">
      <c r="A26" s="6" t="s">
        <v>2</v>
      </c>
      <c r="D26" s="224" t="str" cm="1">
        <f t="array" ref="D26">Common_InputFunctions.Utility_DisplayArrayInTable(Fuel_SourceData.Fuel_Scope1Scope3EmissionFactorsTransport_Data(), Table_Fuel_EFs_Transport[[#Headers],[Transport type]], 0)</f>
        <v>Heavy duty vehicles</v>
      </c>
      <c r="E26" s="224" t="str" cm="1">
        <f t="array" ref="E26">Common_InputFunctions.Utility_DisplayArrayInTable(Fuel_SourceData.Fuel_Scope1Scope3EmissionFactorsTransport_Data(), Table_Fuel_EFs_Transport[[#Headers],[Transport type]], 0)</f>
        <v>Renewable diesel – Euro iii</v>
      </c>
      <c r="F26" s="224" cm="1">
        <f t="array" ref="F26">Common_InputFunctions.Utility_DisplayArrayInTable(Fuel_SourceData.Fuel_Scope1Scope3EmissionFactorsTransport_Data(), Table_Fuel_EFs_Transport[[#Headers],[Transport type]], 0)</f>
        <v>38.6</v>
      </c>
      <c r="G26" s="224" t="str" cm="1">
        <f t="array" ref="G26">Common_InputFunctions.Utility_DisplayArrayInTable(Fuel_SourceData.Fuel_Scope1Scope3EmissionFactorsTransport_Data(), Table_Fuel_EFs_Transport[[#Headers],[Transport type]], 0)</f>
        <v>kl</v>
      </c>
      <c r="H26" s="224" cm="1">
        <f t="array" ref="H26">Common_InputFunctions.Utility_DisplayArrayInTable(Fuel_SourceData.Fuel_Scope1Scope3EmissionFactorsTransport_Data(), Table_Fuel_EFs_Transport[[#Headers],[Transport type]], 0)</f>
        <v>0</v>
      </c>
      <c r="I26" s="224" cm="1">
        <f t="array" ref="I26">Common_InputFunctions.Utility_DisplayArrayInTable(Fuel_SourceData.Fuel_Scope1Scope3EmissionFactorsTransport_Data(), Table_Fuel_EFs_Transport[[#Headers],[Transport type]], 0)</f>
        <v>0.1</v>
      </c>
      <c r="J26" s="224" cm="1">
        <f t="array" ref="J26">Common_InputFunctions.Utility_DisplayArrayInTable(Fuel_SourceData.Fuel_Scope1Scope3EmissionFactorsTransport_Data(), Table_Fuel_EFs_Transport[[#Headers],[Transport type]], 0)</f>
        <v>0.4</v>
      </c>
      <c r="K26" s="224" cm="1">
        <f t="array" ref="K26">Common_InputFunctions.Utility_DisplayArrayInTable(Fuel_SourceData.Fuel_Scope1Scope3EmissionFactorsTransport_Data(), Table_Fuel_EFs_Transport[[#Headers],[Transport type]], 0)</f>
        <v>0.5</v>
      </c>
      <c r="L26" s="224"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HYPERLINK("#'3.2.1.1-2 Enteric Methane'!A1", "3.2.1.1-2 Enteric methane")</f>
        <v>3.2.1.1-2 Enteric methane</v>
      </c>
      <c r="D27" s="224" t="str" cm="1">
        <f t="array" ref="D27">Common_InputFunctions.Utility_DisplayArrayInTable(Fuel_SourceData.Fuel_Scope1Scope3EmissionFactorsTransport_Data(), Table_Fuel_EFs_Transport[[#Headers],[Transport type]], 0)</f>
        <v>Heavy duty vehicles</v>
      </c>
      <c r="E27" s="224" t="str" cm="1">
        <f t="array" ref="E27">Common_InputFunctions.Utility_DisplayArrayInTable(Fuel_SourceData.Fuel_Scope1Scope3EmissionFactorsTransport_Data(), Table_Fuel_EFs_Transport[[#Headers],[Transport type]], 0)</f>
        <v>Renewable diesel – Euro i</v>
      </c>
      <c r="F27" s="224" cm="1">
        <f t="array" ref="F27">Common_InputFunctions.Utility_DisplayArrayInTable(Fuel_SourceData.Fuel_Scope1Scope3EmissionFactorsTransport_Data(), Table_Fuel_EFs_Transport[[#Headers],[Transport type]], 0)</f>
        <v>38.6</v>
      </c>
      <c r="G27" s="224" t="str" cm="1">
        <f t="array" ref="G27">Common_InputFunctions.Utility_DisplayArrayInTable(Fuel_SourceData.Fuel_Scope1Scope3EmissionFactorsTransport_Data(), Table_Fuel_EFs_Transport[[#Headers],[Transport type]], 0)</f>
        <v>kl</v>
      </c>
      <c r="H27" s="224" cm="1">
        <f t="array" ref="H27">Common_InputFunctions.Utility_DisplayArrayInTable(Fuel_SourceData.Fuel_Scope1Scope3EmissionFactorsTransport_Data(), Table_Fuel_EFs_Transport[[#Headers],[Transport type]], 0)</f>
        <v>0</v>
      </c>
      <c r="I27" s="224" cm="1">
        <f t="array" ref="I27">Common_InputFunctions.Utility_DisplayArrayInTable(Fuel_SourceData.Fuel_Scope1Scope3EmissionFactorsTransport_Data(), Table_Fuel_EFs_Transport[[#Headers],[Transport type]], 0)</f>
        <v>0.2</v>
      </c>
      <c r="J27" s="224" cm="1">
        <f t="array" ref="J27">Common_InputFunctions.Utility_DisplayArrayInTable(Fuel_SourceData.Fuel_Scope1Scope3EmissionFactorsTransport_Data(), Table_Fuel_EFs_Transport[[#Headers],[Transport type]], 0)</f>
        <v>0.4</v>
      </c>
      <c r="K27" s="224" cm="1">
        <f t="array" ref="K27">Common_InputFunctions.Utility_DisplayArrayInTable(Fuel_SourceData.Fuel_Scope1Scope3EmissionFactorsTransport_Data(), Table_Fuel_EFs_Transport[[#Headers],[Transport type]], 0)</f>
        <v>0.6</v>
      </c>
      <c r="L27" s="224"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HYPERLINK("#'4.2.1.1-2 Methane'!A1", "4.2.1.1-2 Manure methane")</f>
        <v>4.2.1.1-2 Manure methane</v>
      </c>
      <c r="D28" s="224" t="str" cm="1">
        <f t="array" ref="D28">Common_InputFunctions.Utility_DisplayArrayInTable(Fuel_SourceData.Fuel_Scope1Scope3EmissionFactorsTransport_Data(), Table_Fuel_EFs_Transport[[#Headers],[Transport type]], 0)</f>
        <v>Aviation</v>
      </c>
      <c r="E28" s="224" t="str" cm="1">
        <f t="array" ref="E28">Common_InputFunctions.Utility_DisplayArrayInTable(Fuel_SourceData.Fuel_Scope1Scope3EmissionFactorsTransport_Data(), Table_Fuel_EFs_Transport[[#Headers],[Transport type]], 0)</f>
        <v>Gasoline for use as fuel in an aircraft</v>
      </c>
      <c r="F28" s="224" cm="1">
        <f t="array" ref="F28">Common_InputFunctions.Utility_DisplayArrayInTable(Fuel_SourceData.Fuel_Scope1Scope3EmissionFactorsTransport_Data(), Table_Fuel_EFs_Transport[[#Headers],[Transport type]], 0)</f>
        <v>33.1</v>
      </c>
      <c r="G28" s="224" t="str" cm="1">
        <f t="array" ref="G28">Common_InputFunctions.Utility_DisplayArrayInTable(Fuel_SourceData.Fuel_Scope1Scope3EmissionFactorsTransport_Data(), Table_Fuel_EFs_Transport[[#Headers],[Transport type]], 0)</f>
        <v>kl</v>
      </c>
      <c r="H28" s="224" cm="1">
        <f t="array" ref="H28">Common_InputFunctions.Utility_DisplayArrayInTable(Fuel_SourceData.Fuel_Scope1Scope3EmissionFactorsTransport_Data(), Table_Fuel_EFs_Transport[[#Headers],[Transport type]], 0)</f>
        <v>67</v>
      </c>
      <c r="I28" s="224" cm="1">
        <f t="array" ref="I28">Common_InputFunctions.Utility_DisplayArrayInTable(Fuel_SourceData.Fuel_Scope1Scope3EmissionFactorsTransport_Data(), Table_Fuel_EFs_Transport[[#Headers],[Transport type]], 0)</f>
        <v>0.06</v>
      </c>
      <c r="J28" s="224" cm="1">
        <f t="array" ref="J28">Common_InputFunctions.Utility_DisplayArrayInTable(Fuel_SourceData.Fuel_Scope1Scope3EmissionFactorsTransport_Data(), Table_Fuel_EFs_Transport[[#Headers],[Transport type]], 0)</f>
        <v>0.6</v>
      </c>
      <c r="K28" s="224" cm="1">
        <f t="array" ref="K28">Common_InputFunctions.Utility_DisplayArrayInTable(Fuel_SourceData.Fuel_Scope1Scope3EmissionFactorsTransport_Data(), Table_Fuel_EFs_Transport[[#Headers],[Transport type]], 0)</f>
        <v>67.66</v>
      </c>
      <c r="L28" s="224"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HYPERLINK("#'4.2.1.3-4 Soil direct N20'!A1", "4.2.1.3-4 Soil direct N2O")</f>
        <v>4.2.1.3-4 Soil direct N2O</v>
      </c>
      <c r="D29" s="224" t="str" cm="1">
        <f t="array" ref="D29">Common_InputFunctions.Utility_DisplayArrayInTable(Fuel_SourceData.Fuel_Scope1Scope3EmissionFactorsTransport_Data(), Table_Fuel_EFs_Transport[[#Headers],[Transport type]], 0)</f>
        <v>Aviation</v>
      </c>
      <c r="E29" s="224" t="str" cm="1">
        <f t="array" ref="E29">Common_InputFunctions.Utility_DisplayArrayInTable(Fuel_SourceData.Fuel_Scope1Scope3EmissionFactorsTransport_Data(), Table_Fuel_EFs_Transport[[#Headers],[Transport type]], 0)</f>
        <v>Kerosene for use as fuel in an aircraft</v>
      </c>
      <c r="F29" s="224" cm="1">
        <f t="array" ref="F29">Common_InputFunctions.Utility_DisplayArrayInTable(Fuel_SourceData.Fuel_Scope1Scope3EmissionFactorsTransport_Data(), Table_Fuel_EFs_Transport[[#Headers],[Transport type]], 0)</f>
        <v>36.799999999999997</v>
      </c>
      <c r="G29" s="224" t="str" cm="1">
        <f t="array" ref="G29">Common_InputFunctions.Utility_DisplayArrayInTable(Fuel_SourceData.Fuel_Scope1Scope3EmissionFactorsTransport_Data(), Table_Fuel_EFs_Transport[[#Headers],[Transport type]], 0)</f>
        <v>kl</v>
      </c>
      <c r="H29" s="224" cm="1">
        <f t="array" ref="H29">Common_InputFunctions.Utility_DisplayArrayInTable(Fuel_SourceData.Fuel_Scope1Scope3EmissionFactorsTransport_Data(), Table_Fuel_EFs_Transport[[#Headers],[Transport type]], 0)</f>
        <v>69.599999999999994</v>
      </c>
      <c r="I29" s="224" cm="1">
        <f t="array" ref="I29">Common_InputFunctions.Utility_DisplayArrayInTable(Fuel_SourceData.Fuel_Scope1Scope3EmissionFactorsTransport_Data(), Table_Fuel_EFs_Transport[[#Headers],[Transport type]], 0)</f>
        <v>0.01</v>
      </c>
      <c r="J29" s="224" cm="1">
        <f t="array" ref="J29">Common_InputFunctions.Utility_DisplayArrayInTable(Fuel_SourceData.Fuel_Scope1Scope3EmissionFactorsTransport_Data(), Table_Fuel_EFs_Transport[[#Headers],[Transport type]], 0)</f>
        <v>0.6</v>
      </c>
      <c r="K29" s="224" cm="1">
        <f t="array" ref="K29">Common_InputFunctions.Utility_DisplayArrayInTable(Fuel_SourceData.Fuel_Scope1Scope3EmissionFactorsTransport_Data(), Table_Fuel_EFs_Transport[[#Headers],[Transport type]], 0)</f>
        <v>70.209999999999994</v>
      </c>
      <c r="L29" s="224"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HYPERLINK("#'4.2.1.5-6 Soil Atmos Dep'!A1", "4.2.1.5-6 Soil atm. deposition")</f>
        <v>4.2.1.5-6 Soil atm. deposition</v>
      </c>
      <c r="D30" s="224" t="str" cm="1">
        <f t="array" ref="D30">Common_InputFunctions.Utility_DisplayArrayInTable(Fuel_SourceData.Fuel_Scope1Scope3EmissionFactorsTransport_Data(), Table_Fuel_EFs_Transport[[#Headers],[Transport type]], 0)</f>
        <v>Aviation</v>
      </c>
      <c r="E30" s="224" t="str" cm="1">
        <f t="array" ref="E30">Common_InputFunctions.Utility_DisplayArrayInTable(Fuel_SourceData.Fuel_Scope1Scope3EmissionFactorsTransport_Data(), Table_Fuel_EFs_Transport[[#Headers],[Transport type]], 0)</f>
        <v>Renewable aviation kerosene</v>
      </c>
      <c r="F30" s="224" cm="1">
        <f t="array" ref="F30">Common_InputFunctions.Utility_DisplayArrayInTable(Fuel_SourceData.Fuel_Scope1Scope3EmissionFactorsTransport_Data(), Table_Fuel_EFs_Transport[[#Headers],[Transport type]], 0)</f>
        <v>36.799999999999997</v>
      </c>
      <c r="G30" s="224" t="str" cm="1">
        <f t="array" ref="G30">Common_InputFunctions.Utility_DisplayArrayInTable(Fuel_SourceData.Fuel_Scope1Scope3EmissionFactorsTransport_Data(), Table_Fuel_EFs_Transport[[#Headers],[Transport type]], 0)</f>
        <v>kl</v>
      </c>
      <c r="H30" s="224" cm="1">
        <f t="array" ref="H30">Common_InputFunctions.Utility_DisplayArrayInTable(Fuel_SourceData.Fuel_Scope1Scope3EmissionFactorsTransport_Data(), Table_Fuel_EFs_Transport[[#Headers],[Transport type]], 0)</f>
        <v>0</v>
      </c>
      <c r="I30" s="224" cm="1">
        <f t="array" ref="I30">Common_InputFunctions.Utility_DisplayArrayInTable(Fuel_SourceData.Fuel_Scope1Scope3EmissionFactorsTransport_Data(), Table_Fuel_EFs_Transport[[#Headers],[Transport type]], 0)</f>
        <v>0.01</v>
      </c>
      <c r="J30" s="224" cm="1">
        <f t="array" ref="J30">Common_InputFunctions.Utility_DisplayArrayInTable(Fuel_SourceData.Fuel_Scope1Scope3EmissionFactorsTransport_Data(), Table_Fuel_EFs_Transport[[#Headers],[Transport type]], 0)</f>
        <v>0.6</v>
      </c>
      <c r="K30" s="224" cm="1">
        <f t="array" ref="K30">Common_InputFunctions.Utility_DisplayArrayInTable(Fuel_SourceData.Fuel_Scope1Scope3EmissionFactorsTransport_Data(), Table_Fuel_EFs_Transport[[#Headers],[Transport type]], 0)</f>
        <v>0.61</v>
      </c>
      <c r="L30" s="224"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HYPERLINK("#'4.2.1.7-8 Soil leach runoff'!A1", "4.2.1.7-8 Soil leach &amp; runoff")</f>
        <v>4.2.1.7-8 Soil leach &amp; runoff</v>
      </c>
      <c r="D31" s="224" t="str" cm="1">
        <f t="array" ref="D31">Common_InputFunctions.Utility_DisplayArrayInTable(Fuel_SourceData.Fuel_Scope1Scope3EmissionFactorsTransport_Data(), Table_Fuel_EFs_Transport[[#Headers],[Transport type]], 0)</f>
        <v>Vessels</v>
      </c>
      <c r="E31" s="224" t="str" cm="1">
        <f t="array" ref="E31">Common_InputFunctions.Utility_DisplayArrayInTable(Fuel_SourceData.Fuel_Scope1Scope3EmissionFactorsTransport_Data(), Table_Fuel_EFs_Transport[[#Headers],[Transport type]], 0)</f>
        <v>Gasoline</v>
      </c>
      <c r="F31" s="224" cm="1">
        <f t="array" ref="F31">Common_InputFunctions.Utility_DisplayArrayInTable(Fuel_SourceData.Fuel_Scope1Scope3EmissionFactorsTransport_Data(), Table_Fuel_EFs_Transport[[#Headers],[Transport type]], 0)</f>
        <v>34.200000000000003</v>
      </c>
      <c r="G31" s="224" t="str" cm="1">
        <f t="array" ref="G31">Common_InputFunctions.Utility_DisplayArrayInTable(Fuel_SourceData.Fuel_Scope1Scope3EmissionFactorsTransport_Data(), Table_Fuel_EFs_Transport[[#Headers],[Transport type]], 0)</f>
        <v>kL</v>
      </c>
      <c r="H31" s="224" cm="1">
        <f t="array" ref="H31">Common_InputFunctions.Utility_DisplayArrayInTable(Fuel_SourceData.Fuel_Scope1Scope3EmissionFactorsTransport_Data(), Table_Fuel_EFs_Transport[[#Headers],[Transport type]], 0)</f>
        <v>67.400000000000006</v>
      </c>
      <c r="I31" s="224" cm="1">
        <f t="array" ref="I31">Common_InputFunctions.Utility_DisplayArrayInTable(Fuel_SourceData.Fuel_Scope1Scope3EmissionFactorsTransport_Data(), Table_Fuel_EFs_Transport[[#Headers],[Transport type]], 0)</f>
        <v>10.1</v>
      </c>
      <c r="J31" s="224" cm="1">
        <f t="array" ref="J31">Common_InputFunctions.Utility_DisplayArrayInTable(Fuel_SourceData.Fuel_Scope1Scope3EmissionFactorsTransport_Data(), Table_Fuel_EFs_Transport[[#Headers],[Transport type]], 0)</f>
        <v>0.3</v>
      </c>
      <c r="K31" s="224" t="str" cm="1">
        <f t="array" ref="K31">Common_InputFunctions.Utility_DisplayArrayInTable(Fuel_SourceData.Fuel_Scope1Scope3EmissionFactorsTransport_Data(), Table_Fuel_EFs_Transport[[#Headers],[Transport type]], 0)</f>
        <v/>
      </c>
      <c r="L31" s="224"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HYPERLINK("#'5.1.1.1-2 Inorganic fert N2O'!A1", "5.1.1.1-2 Inorganic fert N2O")</f>
        <v>5.1.1.1-2 Inorganic fert N2O</v>
      </c>
      <c r="D32" s="225" t="str" cm="1">
        <f t="array" ref="D32">Common_InputFunctions.Utility_DisplayArrayInTable(Fuel_SourceData.Fuel_Scope1Scope3EmissionFactorsTransport_Data(), Table_Fuel_EFs_Transport[[#Headers],[Transport type]], 0)</f>
        <v>Vessels</v>
      </c>
      <c r="E32" s="225" t="str" cm="1">
        <f t="array" ref="E32">Common_InputFunctions.Utility_DisplayArrayInTable(Fuel_SourceData.Fuel_Scope1Scope3EmissionFactorsTransport_Data(), Table_Fuel_EFs_Transport[[#Headers],[Transport type]], 0)</f>
        <v>Diesel oil</v>
      </c>
      <c r="F32" s="225" cm="1">
        <f t="array" ref="F32">Common_InputFunctions.Utility_DisplayArrayInTable(Fuel_SourceData.Fuel_Scope1Scope3EmissionFactorsTransport_Data(), Table_Fuel_EFs_Transport[[#Headers],[Transport type]], 0)</f>
        <v>38.6</v>
      </c>
      <c r="G32" s="225" t="str" cm="1">
        <f t="array" ref="G32">Common_InputFunctions.Utility_DisplayArrayInTable(Fuel_SourceData.Fuel_Scope1Scope3EmissionFactorsTransport_Data(), Table_Fuel_EFs_Transport[[#Headers],[Transport type]], 0)</f>
        <v>kL</v>
      </c>
      <c r="H32" s="225" cm="1">
        <f t="array" ref="H32">Common_InputFunctions.Utility_DisplayArrayInTable(Fuel_SourceData.Fuel_Scope1Scope3EmissionFactorsTransport_Data(), Table_Fuel_EFs_Transport[[#Headers],[Transport type]], 0)</f>
        <v>69.900000000000006</v>
      </c>
      <c r="I32" s="225" cm="1">
        <f t="array" ref="I32">Common_InputFunctions.Utility_DisplayArrayInTable(Fuel_SourceData.Fuel_Scope1Scope3EmissionFactorsTransport_Data(), Table_Fuel_EFs_Transport[[#Headers],[Transport type]], 0)</f>
        <v>0.2</v>
      </c>
      <c r="J32" s="225" cm="1">
        <f t="array" ref="J32">Common_InputFunctions.Utility_DisplayArrayInTable(Fuel_SourceData.Fuel_Scope1Scope3EmissionFactorsTransport_Data(), Table_Fuel_EFs_Transport[[#Headers],[Transport type]], 0)</f>
        <v>0.5</v>
      </c>
      <c r="K32" s="225" t="str" cm="1">
        <f t="array" ref="K32">Common_InputFunctions.Utility_DisplayArrayInTable(Fuel_SourceData.Fuel_Scope1Scope3EmissionFactorsTransport_Data(), Table_Fuel_EFs_Transport[[#Headers],[Transport type]], 0)</f>
        <v/>
      </c>
      <c r="L32" s="225"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HYPERLINK("#'5.1.1.3-4 Inorganic fert CO2'!A1", "5.1.1.3-4 Inorganic fert CO2")</f>
        <v>5.1.1.3-4 Inorganic fert CO2</v>
      </c>
      <c r="D33" s="225" t="str" cm="1">
        <f t="array" ref="D33">Common_InputFunctions.Utility_DisplayArrayInTable(Fuel_SourceData.Fuel_Scope1Scope3EmissionFactorsTransport_Data(), Table_Fuel_EFs_Transport[[#Headers],[Transport type]], 0)</f>
        <v>Vessels</v>
      </c>
      <c r="E33" s="225" t="str" cm="1">
        <f t="array" ref="E33">Common_InputFunctions.Utility_DisplayArrayInTable(Fuel_SourceData.Fuel_Scope1Scope3EmissionFactorsTransport_Data(), Table_Fuel_EFs_Transport[[#Headers],[Transport type]], 0)</f>
        <v>Fuel Oil</v>
      </c>
      <c r="F33" s="225" cm="1">
        <f t="array" ref="F33">Common_InputFunctions.Utility_DisplayArrayInTable(Fuel_SourceData.Fuel_Scope1Scope3EmissionFactorsTransport_Data(), Table_Fuel_EFs_Transport[[#Headers],[Transport type]], 0)</f>
        <v>39.700000000000003</v>
      </c>
      <c r="G33" s="225" t="str" cm="1">
        <f t="array" ref="G33">Common_InputFunctions.Utility_DisplayArrayInTable(Fuel_SourceData.Fuel_Scope1Scope3EmissionFactorsTransport_Data(), Table_Fuel_EFs_Transport[[#Headers],[Transport type]], 0)</f>
        <v>kL</v>
      </c>
      <c r="H33" s="225" cm="1">
        <f t="array" ref="H33">Common_InputFunctions.Utility_DisplayArrayInTable(Fuel_SourceData.Fuel_Scope1Scope3EmissionFactorsTransport_Data(), Table_Fuel_EFs_Transport[[#Headers],[Transport type]], 0)</f>
        <v>73.599999999999994</v>
      </c>
      <c r="I33" s="225" cm="1">
        <f t="array" ref="I33">Common_InputFunctions.Utility_DisplayArrayInTable(Fuel_SourceData.Fuel_Scope1Scope3EmissionFactorsTransport_Data(), Table_Fuel_EFs_Transport[[#Headers],[Transport type]], 0)</f>
        <v>0.2</v>
      </c>
      <c r="J33" s="225" cm="1">
        <f t="array" ref="J33">Common_InputFunctions.Utility_DisplayArrayInTable(Fuel_SourceData.Fuel_Scope1Scope3EmissionFactorsTransport_Data(), Table_Fuel_EFs_Transport[[#Headers],[Transport type]], 0)</f>
        <v>0.5</v>
      </c>
      <c r="K33" s="225" t="str" cm="1">
        <f t="array" ref="K33">Common_InputFunctions.Utility_DisplayArrayInTable(Fuel_SourceData.Fuel_Scope1Scope3EmissionFactorsTransport_Data(), Table_Fuel_EFs_Transport[[#Headers],[Transport type]], 0)</f>
        <v/>
      </c>
      <c r="L33" s="225"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HYPERLINK("#'5.2.1.1-2 Organic Fert N2O'!A1", "5.2.1.1-2 Organic fert N2O")</f>
        <v>5.2.1.1-2 Organic fert N2O</v>
      </c>
      <c r="D34" s="225" t="str" cm="1">
        <f t="array" ref="D34">Common_InputFunctions.Utility_DisplayArrayInTable(Fuel_SourceData.Fuel_Scope1Scope3EmissionFactorsTransport_Data(), Table_Fuel_EFs_Transport[[#Headers],[Transport type]], 0)</f>
        <v>Off-road Agriculture and forestry equipment</v>
      </c>
      <c r="E34" s="225" t="str" cm="1">
        <f t="array" ref="E34">Common_InputFunctions.Utility_DisplayArrayInTable(Fuel_SourceData.Fuel_Scope1Scope3EmissionFactorsTransport_Data(), Table_Fuel_EFs_Transport[[#Headers],[Transport type]], 0)</f>
        <v>Diesel oil</v>
      </c>
      <c r="F34" s="225" cm="1">
        <f t="array" ref="F34">Common_InputFunctions.Utility_DisplayArrayInTable(Fuel_SourceData.Fuel_Scope1Scope3EmissionFactorsTransport_Data(), Table_Fuel_EFs_Transport[[#Headers],[Transport type]], 0)</f>
        <v>38.6</v>
      </c>
      <c r="G34" s="225" t="str" cm="1">
        <f t="array" ref="G34">Common_InputFunctions.Utility_DisplayArrayInTable(Fuel_SourceData.Fuel_Scope1Scope3EmissionFactorsTransport_Data(), Table_Fuel_EFs_Transport[[#Headers],[Transport type]], 0)</f>
        <v>kL</v>
      </c>
      <c r="H34" s="225" cm="1">
        <f t="array" ref="H34">Common_InputFunctions.Utility_DisplayArrayInTable(Fuel_SourceData.Fuel_Scope1Scope3EmissionFactorsTransport_Data(), Table_Fuel_EFs_Transport[[#Headers],[Transport type]], 0)</f>
        <v>69.900000000000006</v>
      </c>
      <c r="I34" s="225" cm="1">
        <f t="array" ref="I34">Common_InputFunctions.Utility_DisplayArrayInTable(Fuel_SourceData.Fuel_Scope1Scope3EmissionFactorsTransport_Data(), Table_Fuel_EFs_Transport[[#Headers],[Transport type]], 0)</f>
        <v>0.3</v>
      </c>
      <c r="J34" s="225" cm="1">
        <f t="array" ref="J34">Common_InputFunctions.Utility_DisplayArrayInTable(Fuel_SourceData.Fuel_Scope1Scope3EmissionFactorsTransport_Data(), Table_Fuel_EFs_Transport[[#Headers],[Transport type]], 0)</f>
        <v>0.5</v>
      </c>
      <c r="K34" s="225" t="str" cm="1">
        <f t="array" ref="K34">Common_InputFunctions.Utility_DisplayArrayInTable(Fuel_SourceData.Fuel_Scope1Scope3EmissionFactorsTransport_Data(), Table_Fuel_EFs_Transport[[#Headers],[Transport type]], 0)</f>
        <v/>
      </c>
      <c r="L34" s="225"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HYPERLINK("#'5.3.1.1-2 Lime CO2'!A1", "5.3.1.1-2 Lime CO2")</f>
        <v>5.3.1.1-2 Lime CO2</v>
      </c>
    </row>
    <row r="36" spans="1:12" ht="20.100000000000001" customHeight="1" x14ac:dyDescent="0.25">
      <c r="A36" s="5" t="str">
        <f>HYPERLINK("#'5.4.1.1-4 Atmos deposition'!A1", "5.4.1.1-4 Atmos. deposition")</f>
        <v>5.4.1.1-4 Atmos. deposition</v>
      </c>
    </row>
    <row r="37" spans="1:12" ht="20.100000000000001" customHeight="1" x14ac:dyDescent="0.25">
      <c r="A37" s="5" t="str">
        <f>HYPERLINK("#'5.5.1.1-2 Leaching and runoff'!A1", "5.5.1.1-2 Leaching &amp; runoff")</f>
        <v>5.5.1.1-2 Leaching &amp; runoff</v>
      </c>
      <c r="D37" s="2" t="str" cm="1">
        <f t="array" ref="D37">Fuel_SourceData.Fuel_Scope1Scope3EmissionFactorsTransportOffRoad_Title()</f>
        <v>Fuel scope 1 and 3 emission factors - Off-road equipment and vessels</v>
      </c>
    </row>
    <row r="38" spans="1:12" ht="20.100000000000001" customHeight="1" x14ac:dyDescent="0.25">
      <c r="A38" s="5" t="str">
        <f>HYPERLINK("#'6.2.1.1-2 Pasture residue N2O'!A1", "6.2.1.1-2 Pasture residue N2O")</f>
        <v>6.2.1.1-2 Pasture residue N2O</v>
      </c>
      <c r="D38" s="27" t="str" cm="1">
        <f t="array" ref="D38">Fuel_SourceData.Fuel_Scope1Scope3EmissionFactorsTransportOffRoad_Source()</f>
        <v>VEERG 2026: Table A.4.2.1</v>
      </c>
    </row>
    <row r="39" spans="1:12" ht="20.100000000000001" customHeight="1" x14ac:dyDescent="0.25">
      <c r="A39" s="5" t="str">
        <f>HYPERLINK("#'6.3.1.1-2 Leach runoff pasture'!A1", "6.3.1.1-2 Leach &amp; runoff (pasture)")</f>
        <v>6.3.1.1-2 Leach &amp; runoff (pasture)</v>
      </c>
      <c r="D39" s="30" t="s">
        <v>763</v>
      </c>
      <c r="E39" s="30" t="s">
        <v>764</v>
      </c>
      <c r="F39" s="30" t="s">
        <v>765</v>
      </c>
      <c r="G39" s="30" t="s">
        <v>766</v>
      </c>
      <c r="H39" s="30" t="s">
        <v>767</v>
      </c>
      <c r="I39" s="30" t="s">
        <v>768</v>
      </c>
      <c r="J39" s="30" t="s">
        <v>769</v>
      </c>
    </row>
    <row r="40" spans="1:12" ht="20.100000000000001" customHeight="1" x14ac:dyDescent="0.25">
      <c r="A40" s="5" t="str">
        <f>HYPERLINK("#'8.1.1.1-2 Transport fuel'!A1", "8.1.1.1-2 Transport fuel")</f>
        <v>8.1.1.1-2 Transport fuel</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HYPERLINK("#'8.2.1.1-2 Stationary fuel'!A1", "8.2.1.1-2 Stationary fuel")</f>
        <v>8.2.1.1-2 Stationary fuel</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HYPERLINK("#'14.1.1-2 Purchased electricity'!A1", "14.1.1-2 Purchased electricity")</f>
        <v>14.1.1-2 Purchased electricity</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HYPERLINK("#'15 Scope 3'!A1", "15 Scope 3")</f>
        <v>15 Scope 3</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HYPERLINK("#'Calcs - Manure sent off-site'!A1", "Calcs - Manure sent off-site")</f>
        <v>Calcs - Manure sent off-site</v>
      </c>
    </row>
    <row r="45" spans="1:12" ht="20.100000000000001" customHeight="1" x14ac:dyDescent="0.25">
      <c r="A45" s="5" t="str">
        <f>HYPERLINK("#'10.1.1-2 Solid waste treatment'!A1", "10.1.1-2 Solid waste treatment")</f>
        <v>10.1.1-2 Solid waste treatment</v>
      </c>
    </row>
    <row r="46" spans="1:12" ht="20.100000000000001" customHeight="1" x14ac:dyDescent="0.25"/>
    <row r="47" spans="1:12" ht="20.100000000000001" customHeight="1" x14ac:dyDescent="0.25"/>
    <row r="48" spans="1:12" ht="20.100000000000001" customHeight="1" x14ac:dyDescent="0.25">
      <c r="A48" s="97" t="s">
        <v>1</v>
      </c>
    </row>
    <row r="49" spans="1:12" ht="20.100000000000001" customHeight="1" x14ac:dyDescent="0.25">
      <c r="A49" s="5" t="str">
        <f>HYPERLINK("#'Constants - Pasture Beef'!A1", "Constants - Pasture Beef")</f>
        <v>Constants - Pasture Beef</v>
      </c>
      <c r="D49" s="2" t="str" cm="1">
        <f t="array" ref="D49">Fuel_SourceData.Fuel_Scope1Scope3EmissionFactorsStationaryLiquid_Title()</f>
        <v>Fuel scope 1 and 3 emission factors - Stationary liquid fuels</v>
      </c>
      <c r="E49" s="173"/>
      <c r="F49" s="173"/>
      <c r="G49" s="173"/>
      <c r="H49" s="173"/>
      <c r="I49" s="173"/>
      <c r="J49" s="173"/>
      <c r="K49" s="173"/>
      <c r="L49" s="173"/>
    </row>
    <row r="50" spans="1:12" ht="20.100000000000001" customHeight="1" x14ac:dyDescent="0.25">
      <c r="A50" s="5" t="str">
        <f>HYPERLINK("#'Constants - Ag Residue'!A1", "Constants - Ag residue")</f>
        <v>Constants - Ag residue</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3"/>
      <c r="F50" s="173"/>
      <c r="G50" s="173"/>
      <c r="H50" s="173"/>
      <c r="I50" s="173"/>
      <c r="J50" s="173"/>
      <c r="K50" s="173"/>
      <c r="L50" s="173"/>
    </row>
    <row r="51" spans="1:12" ht="20.100000000000001" customHeight="1" x14ac:dyDescent="0.25">
      <c r="A51" s="5" t="str">
        <f>HYPERLINK("#'Constants - Common Livestock'!A1", "Constants - Common Livestock")</f>
        <v>Constants - Common Livestock</v>
      </c>
      <c r="D51" s="27" t="str" cm="1">
        <f t="array" ref="D51">Fuel_SourceData.Fuel_Scope1Scope3EmissionFactorsStationaryLiquid_Source()</f>
        <v>Australian National Greenhouse Accounts Factors 2025 - Table 8</v>
      </c>
      <c r="E51" s="173"/>
      <c r="F51" s="173"/>
      <c r="G51" s="173"/>
      <c r="H51" s="173"/>
      <c r="I51" s="173"/>
      <c r="J51" s="173"/>
      <c r="K51" s="173"/>
      <c r="L51" s="173"/>
    </row>
    <row r="52" spans="1:12" ht="20.100000000000001" customHeight="1" x14ac:dyDescent="0.25">
      <c r="A52" s="5" t="str">
        <f>HYPERLINK("#'Constants - Electricity'!A1", "Constants - Electricity")</f>
        <v>Constants - Electricity</v>
      </c>
      <c r="D52" s="36" t="str" cm="1">
        <f t="array" ref="D52">"⚠️" &amp; Fuel_SourceData.Fuel_Scope1Scope3EmissionFactorsStationaryLiquid_Variation()</f>
        <v>⚠️VARIATION OF SOURCE DATA: 'NE' values returned as zero for calculations.</v>
      </c>
      <c r="E52" s="173"/>
      <c r="F52" s="173"/>
      <c r="G52" s="173"/>
      <c r="H52" s="173"/>
      <c r="I52" s="173"/>
      <c r="J52" s="173"/>
      <c r="K52" s="173"/>
      <c r="L52" s="173"/>
    </row>
    <row r="53" spans="1:12" ht="20.100000000000001" customHeight="1" x14ac:dyDescent="0.25">
      <c r="A53" s="5" t="str">
        <f>HYPERLINK("#'Constants - Fertiliser'!A1", "Constants - Fertiliser")</f>
        <v>Constants - Fertiliser</v>
      </c>
      <c r="D53" s="191" t="s">
        <v>755</v>
      </c>
      <c r="E53" s="223" t="s">
        <v>756</v>
      </c>
      <c r="F53" s="191" t="s">
        <v>757</v>
      </c>
      <c r="G53" s="223" t="s">
        <v>758</v>
      </c>
      <c r="H53" s="223" t="s">
        <v>759</v>
      </c>
      <c r="I53" s="223" t="s">
        <v>760</v>
      </c>
      <c r="J53" s="223" t="s">
        <v>761</v>
      </c>
      <c r="K53" s="223" t="s">
        <v>762</v>
      </c>
      <c r="L53" s="173"/>
    </row>
    <row r="54" spans="1:12" ht="20.100000000000001" customHeight="1" x14ac:dyDescent="0.25">
      <c r="A54" s="127" t="str">
        <f>HYPERLINK("#'Constants - Fuel'!A1", "Constants - Fuel")</f>
        <v>Constants - Fuel</v>
      </c>
      <c r="D54" s="2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6" cm="1">
        <f t="array" ref="E54">Common_InputFunctions.Utility_DisplayArrayInTable(Fuel_SourceData.Fuel_Scope1Scope3EmissionFactorsStationaryLiquid_Data(), Table_Fuel_EFs_StationaryLiquid[[#Headers],[Fuel combusted]],0)</f>
        <v>38.799999999999997</v>
      </c>
      <c r="F54" s="226" t="str" cm="1">
        <f t="array" ref="F54">Common_InputFunctions.Utility_DisplayArrayInTable(Fuel_SourceData.Fuel_Scope1Scope3EmissionFactorsStationaryLiquid_Data(), Table_Fuel_EFs_StationaryLiquid[[#Headers],[Fuel combusted]],0)</f>
        <v>kl</v>
      </c>
      <c r="G54" s="226" cm="1">
        <f t="array" ref="G54">Common_InputFunctions.Utility_DisplayArrayInTable(Fuel_SourceData.Fuel_Scope1Scope3EmissionFactorsStationaryLiquid_Data(), Table_Fuel_EFs_StationaryLiquid[[#Headers],[Fuel combusted]],0)</f>
        <v>13.9</v>
      </c>
      <c r="H54" s="226" cm="1">
        <f t="array" ref="H54">Common_InputFunctions.Utility_DisplayArrayInTable(Fuel_SourceData.Fuel_Scope1Scope3EmissionFactorsStationaryLiquid_Data(), Table_Fuel_EFs_StationaryLiquid[[#Headers],[Fuel combusted]],0)</f>
        <v>0</v>
      </c>
      <c r="I54" s="226" cm="1">
        <f t="array" ref="I54">Common_InputFunctions.Utility_DisplayArrayInTable(Fuel_SourceData.Fuel_Scope1Scope3EmissionFactorsStationaryLiquid_Data(), Table_Fuel_EFs_StationaryLiquid[[#Headers],[Fuel combusted]],0)</f>
        <v>0</v>
      </c>
      <c r="J54" s="226" cm="1">
        <f t="array" ref="J54">Common_InputFunctions.Utility_DisplayArrayInTable(Fuel_SourceData.Fuel_Scope1Scope3EmissionFactorsStationaryLiquid_Data(), Table_Fuel_EFs_StationaryLiquid[[#Headers],[Fuel combusted]],0)</f>
        <v>13.9</v>
      </c>
      <c r="K54" s="226" cm="1">
        <f t="array" ref="K54">Common_InputFunctions.Utility_DisplayArrayInTable(Fuel_SourceData.Fuel_Scope1Scope3EmissionFactorsStationaryLiquid_Data(), Table_Fuel_EFs_StationaryLiquid[[#Headers],[Fuel combusted]],0)</f>
        <v>18</v>
      </c>
      <c r="L54" s="173"/>
    </row>
    <row r="55" spans="1:12" ht="20.100000000000001" customHeight="1" x14ac:dyDescent="0.25">
      <c r="A55" s="5" t="str">
        <f>HYPERLINK("#'Constants - Scope 3'!A1", "Constants - Scope 3")</f>
        <v>Constants - Scope 3</v>
      </c>
      <c r="D55" s="226" t="str" cm="1">
        <f t="array" ref="D55">Common_InputFunctions.Utility_DisplayArrayInTable(Fuel_SourceData.Fuel_Scope1Scope3EmissionFactorsStationaryLiquid_Data(), Table_Fuel_EFs_StationaryLiquid[[#Headers],[Fuel combusted]],0)</f>
        <v>Petroleum based greases</v>
      </c>
      <c r="E55" s="226" cm="1">
        <f t="array" ref="E55">Common_InputFunctions.Utility_DisplayArrayInTable(Fuel_SourceData.Fuel_Scope1Scope3EmissionFactorsStationaryLiquid_Data(), Table_Fuel_EFs_StationaryLiquid[[#Headers],[Fuel combusted]],0)</f>
        <v>38.799999999999997</v>
      </c>
      <c r="F55" s="226" t="str" cm="1">
        <f t="array" ref="F55">Common_InputFunctions.Utility_DisplayArrayInTable(Fuel_SourceData.Fuel_Scope1Scope3EmissionFactorsStationaryLiquid_Data(), Table_Fuel_EFs_StationaryLiquid[[#Headers],[Fuel combusted]],0)</f>
        <v>kl</v>
      </c>
      <c r="G55" s="226" cm="1">
        <f t="array" ref="G55">Common_InputFunctions.Utility_DisplayArrayInTable(Fuel_SourceData.Fuel_Scope1Scope3EmissionFactorsStationaryLiquid_Data(), Table_Fuel_EFs_StationaryLiquid[[#Headers],[Fuel combusted]],0)</f>
        <v>3.5</v>
      </c>
      <c r="H55" s="226" cm="1">
        <f t="array" ref="H55">Common_InputFunctions.Utility_DisplayArrayInTable(Fuel_SourceData.Fuel_Scope1Scope3EmissionFactorsStationaryLiquid_Data(), Table_Fuel_EFs_StationaryLiquid[[#Headers],[Fuel combusted]],0)</f>
        <v>0</v>
      </c>
      <c r="I55" s="226" cm="1">
        <f t="array" ref="I55">Common_InputFunctions.Utility_DisplayArrayInTable(Fuel_SourceData.Fuel_Scope1Scope3EmissionFactorsStationaryLiquid_Data(), Table_Fuel_EFs_StationaryLiquid[[#Headers],[Fuel combusted]],0)</f>
        <v>0</v>
      </c>
      <c r="J55" s="226" cm="1">
        <f t="array" ref="J55">Common_InputFunctions.Utility_DisplayArrayInTable(Fuel_SourceData.Fuel_Scope1Scope3EmissionFactorsStationaryLiquid_Data(), Table_Fuel_EFs_StationaryLiquid[[#Headers],[Fuel combusted]],0)</f>
        <v>3.5</v>
      </c>
      <c r="K55" s="226" cm="1">
        <f t="array" ref="K55">Common_InputFunctions.Utility_DisplayArrayInTable(Fuel_SourceData.Fuel_Scope1Scope3EmissionFactorsStationaryLiquid_Data(), Table_Fuel_EFs_StationaryLiquid[[#Headers],[Fuel combusted]],0)</f>
        <v>18</v>
      </c>
      <c r="L55" s="173"/>
    </row>
    <row r="56" spans="1:12" ht="20.100000000000001" customHeight="1" x14ac:dyDescent="0.25">
      <c r="A56" s="5" t="str">
        <f>HYPERLINK("#'Constants - Common'!A1", "Constants - Common")</f>
        <v>Constants - Common</v>
      </c>
      <c r="D56" s="226" t="str" cm="1">
        <f t="array" ref="D56">Common_InputFunctions.Utility_DisplayArrayInTable(Fuel_SourceData.Fuel_Scope1Scope3EmissionFactorsStationaryLiquid_Data(), Table_Fuel_EFs_StationaryLiquid[[#Headers],[Fuel combusted]],0)</f>
        <v>Crude oil including crude oil condensates</v>
      </c>
      <c r="E56" s="226" cm="1">
        <f t="array" ref="E56">Common_InputFunctions.Utility_DisplayArrayInTable(Fuel_SourceData.Fuel_Scope1Scope3EmissionFactorsStationaryLiquid_Data(), Table_Fuel_EFs_StationaryLiquid[[#Headers],[Fuel combusted]],0)</f>
        <v>45.3</v>
      </c>
      <c r="F56" s="226" t="str" cm="1">
        <f t="array" ref="F56">Common_InputFunctions.Utility_DisplayArrayInTable(Fuel_SourceData.Fuel_Scope1Scope3EmissionFactorsStationaryLiquid_Data(), Table_Fuel_EFs_StationaryLiquid[[#Headers],[Fuel combusted]],0)</f>
        <v>t</v>
      </c>
      <c r="G56" s="226" cm="1">
        <f t="array" ref="G56">Common_InputFunctions.Utility_DisplayArrayInTable(Fuel_SourceData.Fuel_Scope1Scope3EmissionFactorsStationaryLiquid_Data(), Table_Fuel_EFs_StationaryLiquid[[#Headers],[Fuel combusted]],0)</f>
        <v>69.599999999999994</v>
      </c>
      <c r="H56" s="226" cm="1">
        <f t="array" ref="H56">Common_InputFunctions.Utility_DisplayArrayInTable(Fuel_SourceData.Fuel_Scope1Scope3EmissionFactorsStationaryLiquid_Data(), Table_Fuel_EFs_StationaryLiquid[[#Headers],[Fuel combusted]],0)</f>
        <v>0.08</v>
      </c>
      <c r="I56" s="226" cm="1">
        <f t="array" ref="I56">Common_InputFunctions.Utility_DisplayArrayInTable(Fuel_SourceData.Fuel_Scope1Scope3EmissionFactorsStationaryLiquid_Data(), Table_Fuel_EFs_StationaryLiquid[[#Headers],[Fuel combusted]],0)</f>
        <v>0.2</v>
      </c>
      <c r="J56" s="226" cm="1">
        <f t="array" ref="J56">Common_InputFunctions.Utility_DisplayArrayInTable(Fuel_SourceData.Fuel_Scope1Scope3EmissionFactorsStationaryLiquid_Data(), Table_Fuel_EFs_StationaryLiquid[[#Headers],[Fuel combusted]],0)</f>
        <v>69.88</v>
      </c>
      <c r="K56" s="226" t="str" cm="1">
        <f t="array" ref="K56">Common_InputFunctions.Utility_DisplayArrayInTable(Fuel_SourceData.Fuel_Scope1Scope3EmissionFactorsStationaryLiquid_Data(), Table_Fuel_EFs_StationaryLiquid[[#Headers],[Fuel combusted]],0)</f>
        <v>NE</v>
      </c>
      <c r="L56" s="173"/>
    </row>
    <row r="57" spans="1:12" ht="20.100000000000001" customHeight="1" x14ac:dyDescent="0.25">
      <c r="A57" s="5" t="str">
        <f>HYPERLINK("#'Acknowledgements'!A1", "Acknowledgements")</f>
        <v>Acknowledgements</v>
      </c>
      <c r="D57" s="226" t="str" cm="1">
        <f t="array" ref="D57">Common_InputFunctions.Utility_DisplayArrayInTable(Fuel_SourceData.Fuel_Scope1Scope3EmissionFactorsStationaryLiquid_Data(), Table_Fuel_EFs_StationaryLiquid[[#Headers],[Fuel combusted]],0)</f>
        <v>Other natural gas liquids</v>
      </c>
      <c r="E57" s="226" cm="1">
        <f t="array" ref="E57">Common_InputFunctions.Utility_DisplayArrayInTable(Fuel_SourceData.Fuel_Scope1Scope3EmissionFactorsStationaryLiquid_Data(), Table_Fuel_EFs_StationaryLiquid[[#Headers],[Fuel combusted]],0)</f>
        <v>46.5</v>
      </c>
      <c r="F57" s="226" t="str" cm="1">
        <f t="array" ref="F57">Common_InputFunctions.Utility_DisplayArrayInTable(Fuel_SourceData.Fuel_Scope1Scope3EmissionFactorsStationaryLiquid_Data(), Table_Fuel_EFs_StationaryLiquid[[#Headers],[Fuel combusted]],0)</f>
        <v>t</v>
      </c>
      <c r="G57" s="226" cm="1">
        <f t="array" ref="G57">Common_InputFunctions.Utility_DisplayArrayInTable(Fuel_SourceData.Fuel_Scope1Scope3EmissionFactorsStationaryLiquid_Data(), Table_Fuel_EFs_StationaryLiquid[[#Headers],[Fuel combusted]],0)</f>
        <v>61</v>
      </c>
      <c r="H57" s="226" cm="1">
        <f t="array" ref="H57">Common_InputFunctions.Utility_DisplayArrayInTable(Fuel_SourceData.Fuel_Scope1Scope3EmissionFactorsStationaryLiquid_Data(), Table_Fuel_EFs_StationaryLiquid[[#Headers],[Fuel combusted]],0)</f>
        <v>0.08</v>
      </c>
      <c r="I57" s="226" cm="1">
        <f t="array" ref="I57">Common_InputFunctions.Utility_DisplayArrayInTable(Fuel_SourceData.Fuel_Scope1Scope3EmissionFactorsStationaryLiquid_Data(), Table_Fuel_EFs_StationaryLiquid[[#Headers],[Fuel combusted]],0)</f>
        <v>0.2</v>
      </c>
      <c r="J57" s="226" cm="1">
        <f t="array" ref="J57">Common_InputFunctions.Utility_DisplayArrayInTable(Fuel_SourceData.Fuel_Scope1Scope3EmissionFactorsStationaryLiquid_Data(), Table_Fuel_EFs_StationaryLiquid[[#Headers],[Fuel combusted]],0)</f>
        <v>61.28</v>
      </c>
      <c r="K57" s="226" t="str" cm="1">
        <f t="array" ref="K57">Common_InputFunctions.Utility_DisplayArrayInTable(Fuel_SourceData.Fuel_Scope1Scope3EmissionFactorsStationaryLiquid_Data(), Table_Fuel_EFs_StationaryLiquid[[#Headers],[Fuel combusted]],0)</f>
        <v>NE</v>
      </c>
      <c r="L57" s="173"/>
    </row>
    <row r="58" spans="1:12" ht="20.100000000000001" customHeight="1" x14ac:dyDescent="0.25">
      <c r="A58" s="5" t="str">
        <f>HYPERLINK("#'Constants - Solid Waste'!A1", "Constants - Solid Waste")</f>
        <v>Constants - Solid Waste</v>
      </c>
      <c r="D58" s="2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6" cm="1">
        <f t="array" ref="E58">Common_InputFunctions.Utility_DisplayArrayInTable(Fuel_SourceData.Fuel_Scope1Scope3EmissionFactorsStationaryLiquid_Data(), Table_Fuel_EFs_StationaryLiquid[[#Headers],[Fuel combusted]],0)</f>
        <v>34.200000000000003</v>
      </c>
      <c r="F58" s="226" t="str" cm="1">
        <f t="array" ref="F58">Common_InputFunctions.Utility_DisplayArrayInTable(Fuel_SourceData.Fuel_Scope1Scope3EmissionFactorsStationaryLiquid_Data(), Table_Fuel_EFs_StationaryLiquid[[#Headers],[Fuel combusted]],0)</f>
        <v>kL</v>
      </c>
      <c r="G58" s="226" cm="1">
        <f t="array" ref="G58">Common_InputFunctions.Utility_DisplayArrayInTable(Fuel_SourceData.Fuel_Scope1Scope3EmissionFactorsStationaryLiquid_Data(), Table_Fuel_EFs_StationaryLiquid[[#Headers],[Fuel combusted]],0)</f>
        <v>67.400000000000006</v>
      </c>
      <c r="H58" s="226" cm="1">
        <f t="array" ref="H58">Common_InputFunctions.Utility_DisplayArrayInTable(Fuel_SourceData.Fuel_Scope1Scope3EmissionFactorsStationaryLiquid_Data(), Table_Fuel_EFs_StationaryLiquid[[#Headers],[Fuel combusted]],0)</f>
        <v>0.2</v>
      </c>
      <c r="I58" s="226" cm="1">
        <f t="array" ref="I58">Common_InputFunctions.Utility_DisplayArrayInTable(Fuel_SourceData.Fuel_Scope1Scope3EmissionFactorsStationaryLiquid_Data(), Table_Fuel_EFs_StationaryLiquid[[#Headers],[Fuel combusted]],0)</f>
        <v>0.2</v>
      </c>
      <c r="J58" s="226" cm="1">
        <f t="array" ref="J58">Common_InputFunctions.Utility_DisplayArrayInTable(Fuel_SourceData.Fuel_Scope1Scope3EmissionFactorsStationaryLiquid_Data(), Table_Fuel_EFs_StationaryLiquid[[#Headers],[Fuel combusted]],0)</f>
        <v>67.8</v>
      </c>
      <c r="K58" s="226" cm="1">
        <f t="array" ref="K58">Common_InputFunctions.Utility_DisplayArrayInTable(Fuel_SourceData.Fuel_Scope1Scope3EmissionFactorsStationaryLiquid_Data(), Table_Fuel_EFs_StationaryLiquid[[#Headers],[Fuel combusted]],0)</f>
        <v>17.2</v>
      </c>
      <c r="L58" s="173"/>
    </row>
    <row r="59" spans="1:12" ht="20.100000000000001" customHeight="1" x14ac:dyDescent="0.25">
      <c r="D59" s="226" t="str" cm="1">
        <f t="array" ref="D59">Common_InputFunctions.Utility_DisplayArrayInTable(Fuel_SourceData.Fuel_Scope1Scope3EmissionFactorsStationaryLiquid_Data(), Table_Fuel_EFs_StationaryLiquid[[#Headers],[Fuel combusted]],0)</f>
        <v>Aviation gasoline</v>
      </c>
      <c r="E59" s="226" cm="1">
        <f t="array" ref="E59">Common_InputFunctions.Utility_DisplayArrayInTable(Fuel_SourceData.Fuel_Scope1Scope3EmissionFactorsStationaryLiquid_Data(), Table_Fuel_EFs_StationaryLiquid[[#Headers],[Fuel combusted]],0)</f>
        <v>33.1</v>
      </c>
      <c r="F59" s="226" t="str" cm="1">
        <f t="array" ref="F59">Common_InputFunctions.Utility_DisplayArrayInTable(Fuel_SourceData.Fuel_Scope1Scope3EmissionFactorsStationaryLiquid_Data(), Table_Fuel_EFs_StationaryLiquid[[#Headers],[Fuel combusted]],0)</f>
        <v>kL</v>
      </c>
      <c r="G59" s="226" cm="1">
        <f t="array" ref="G59">Common_InputFunctions.Utility_DisplayArrayInTable(Fuel_SourceData.Fuel_Scope1Scope3EmissionFactorsStationaryLiquid_Data(), Table_Fuel_EFs_StationaryLiquid[[#Headers],[Fuel combusted]],0)</f>
        <v>67</v>
      </c>
      <c r="H59" s="226" cm="1">
        <f t="array" ref="H59">Common_InputFunctions.Utility_DisplayArrayInTable(Fuel_SourceData.Fuel_Scope1Scope3EmissionFactorsStationaryLiquid_Data(), Table_Fuel_EFs_StationaryLiquid[[#Headers],[Fuel combusted]],0)</f>
        <v>0.2</v>
      </c>
      <c r="I59" s="226" cm="1">
        <f t="array" ref="I59">Common_InputFunctions.Utility_DisplayArrayInTable(Fuel_SourceData.Fuel_Scope1Scope3EmissionFactorsStationaryLiquid_Data(), Table_Fuel_EFs_StationaryLiquid[[#Headers],[Fuel combusted]],0)</f>
        <v>0.2</v>
      </c>
      <c r="J59" s="226" cm="1">
        <f t="array" ref="J59">Common_InputFunctions.Utility_DisplayArrayInTable(Fuel_SourceData.Fuel_Scope1Scope3EmissionFactorsStationaryLiquid_Data(), Table_Fuel_EFs_StationaryLiquid[[#Headers],[Fuel combusted]],0)</f>
        <v>67.400000000000006</v>
      </c>
      <c r="K59" s="226" cm="1">
        <f t="array" ref="K59">Common_InputFunctions.Utility_DisplayArrayInTable(Fuel_SourceData.Fuel_Scope1Scope3EmissionFactorsStationaryLiquid_Data(), Table_Fuel_EFs_StationaryLiquid[[#Headers],[Fuel combusted]],0)</f>
        <v>18</v>
      </c>
      <c r="L59" s="173"/>
    </row>
    <row r="60" spans="1:12" ht="20.100000000000001" customHeight="1" x14ac:dyDescent="0.25">
      <c r="D60" s="226" t="str" cm="1">
        <f t="array" ref="D60">Common_InputFunctions.Utility_DisplayArrayInTable(Fuel_SourceData.Fuel_Scope1Scope3EmissionFactorsStationaryLiquid_Data(), Table_Fuel_EFs_StationaryLiquid[[#Headers],[Fuel combusted]],0)</f>
        <v>Kerosene (other than for use as fuel in an aircraft)</v>
      </c>
      <c r="E60" s="226" cm="1">
        <f t="array" ref="E60">Common_InputFunctions.Utility_DisplayArrayInTable(Fuel_SourceData.Fuel_Scope1Scope3EmissionFactorsStationaryLiquid_Data(), Table_Fuel_EFs_StationaryLiquid[[#Headers],[Fuel combusted]],0)</f>
        <v>37.5</v>
      </c>
      <c r="F60" s="226" t="str" cm="1">
        <f t="array" ref="F60">Common_InputFunctions.Utility_DisplayArrayInTable(Fuel_SourceData.Fuel_Scope1Scope3EmissionFactorsStationaryLiquid_Data(), Table_Fuel_EFs_StationaryLiquid[[#Headers],[Fuel combusted]],0)</f>
        <v>kL</v>
      </c>
      <c r="G60" s="226" cm="1">
        <f t="array" ref="G60">Common_InputFunctions.Utility_DisplayArrayInTable(Fuel_SourceData.Fuel_Scope1Scope3EmissionFactorsStationaryLiquid_Data(), Table_Fuel_EFs_StationaryLiquid[[#Headers],[Fuel combusted]],0)</f>
        <v>68.900000000000006</v>
      </c>
      <c r="H60" s="226" cm="1">
        <f t="array" ref="H60">Common_InputFunctions.Utility_DisplayArrayInTable(Fuel_SourceData.Fuel_Scope1Scope3EmissionFactorsStationaryLiquid_Data(), Table_Fuel_EFs_StationaryLiquid[[#Headers],[Fuel combusted]],0)</f>
        <v>0.01</v>
      </c>
      <c r="I60" s="226" cm="1">
        <f t="array" ref="I60">Common_InputFunctions.Utility_DisplayArrayInTable(Fuel_SourceData.Fuel_Scope1Scope3EmissionFactorsStationaryLiquid_Data(), Table_Fuel_EFs_StationaryLiquid[[#Headers],[Fuel combusted]],0)</f>
        <v>0.2</v>
      </c>
      <c r="J60" s="226" cm="1">
        <f t="array" ref="J60">Common_InputFunctions.Utility_DisplayArrayInTable(Fuel_SourceData.Fuel_Scope1Scope3EmissionFactorsStationaryLiquid_Data(), Table_Fuel_EFs_StationaryLiquid[[#Headers],[Fuel combusted]],0)</f>
        <v>69.11</v>
      </c>
      <c r="K60" s="226" cm="1">
        <f t="array" ref="K60">Common_InputFunctions.Utility_DisplayArrayInTable(Fuel_SourceData.Fuel_Scope1Scope3EmissionFactorsStationaryLiquid_Data(), Table_Fuel_EFs_StationaryLiquid[[#Headers],[Fuel combusted]],0)</f>
        <v>18</v>
      </c>
      <c r="L60" s="173"/>
    </row>
    <row r="61" spans="1:12" ht="20.100000000000001" customHeight="1" x14ac:dyDescent="0.25">
      <c r="D61" s="226" t="str" cm="1">
        <f t="array" ref="D61">Common_InputFunctions.Utility_DisplayArrayInTable(Fuel_SourceData.Fuel_Scope1Scope3EmissionFactorsStationaryLiquid_Data(), Table_Fuel_EFs_StationaryLiquid[[#Headers],[Fuel combusted]],0)</f>
        <v>Aviation turbine fuel / kerosene</v>
      </c>
      <c r="E61" s="226" cm="1">
        <f t="array" ref="E61">Common_InputFunctions.Utility_DisplayArrayInTable(Fuel_SourceData.Fuel_Scope1Scope3EmissionFactorsStationaryLiquid_Data(), Table_Fuel_EFs_StationaryLiquid[[#Headers],[Fuel combusted]],0)</f>
        <v>36.799999999999997</v>
      </c>
      <c r="F61" s="226" t="str" cm="1">
        <f t="array" ref="F61">Common_InputFunctions.Utility_DisplayArrayInTable(Fuel_SourceData.Fuel_Scope1Scope3EmissionFactorsStationaryLiquid_Data(), Table_Fuel_EFs_StationaryLiquid[[#Headers],[Fuel combusted]],0)</f>
        <v>kL</v>
      </c>
      <c r="G61" s="226" cm="1">
        <f t="array" ref="G61">Common_InputFunctions.Utility_DisplayArrayInTable(Fuel_SourceData.Fuel_Scope1Scope3EmissionFactorsStationaryLiquid_Data(), Table_Fuel_EFs_StationaryLiquid[[#Headers],[Fuel combusted]],0)</f>
        <v>69.599999999999994</v>
      </c>
      <c r="H61" s="226" cm="1">
        <f t="array" ref="H61">Common_InputFunctions.Utility_DisplayArrayInTable(Fuel_SourceData.Fuel_Scope1Scope3EmissionFactorsStationaryLiquid_Data(), Table_Fuel_EFs_StationaryLiquid[[#Headers],[Fuel combusted]],0)</f>
        <v>0.02</v>
      </c>
      <c r="I61" s="226" cm="1">
        <f t="array" ref="I61">Common_InputFunctions.Utility_DisplayArrayInTable(Fuel_SourceData.Fuel_Scope1Scope3EmissionFactorsStationaryLiquid_Data(), Table_Fuel_EFs_StationaryLiquid[[#Headers],[Fuel combusted]],0)</f>
        <v>0.2</v>
      </c>
      <c r="J61" s="226" cm="1">
        <f t="array" ref="J61">Common_InputFunctions.Utility_DisplayArrayInTable(Fuel_SourceData.Fuel_Scope1Scope3EmissionFactorsStationaryLiquid_Data(), Table_Fuel_EFs_StationaryLiquid[[#Headers],[Fuel combusted]],0)</f>
        <v>69.819999999999993</v>
      </c>
      <c r="K61" s="226" cm="1">
        <f t="array" ref="K61">Common_InputFunctions.Utility_DisplayArrayInTable(Fuel_SourceData.Fuel_Scope1Scope3EmissionFactorsStationaryLiquid_Data(), Table_Fuel_EFs_StationaryLiquid[[#Headers],[Fuel combusted]],0)</f>
        <v>18</v>
      </c>
      <c r="L61" s="173"/>
    </row>
    <row r="62" spans="1:12" ht="20.100000000000001" customHeight="1" x14ac:dyDescent="0.25">
      <c r="D62" s="226" t="str" cm="1">
        <f t="array" ref="D62">Common_InputFunctions.Utility_DisplayArrayInTable(Fuel_SourceData.Fuel_Scope1Scope3EmissionFactorsStationaryLiquid_Data(), Table_Fuel_EFs_StationaryLiquid[[#Headers],[Fuel combusted]],0)</f>
        <v>Heating oil</v>
      </c>
      <c r="E62" s="226" cm="1">
        <f t="array" ref="E62">Common_InputFunctions.Utility_DisplayArrayInTable(Fuel_SourceData.Fuel_Scope1Scope3EmissionFactorsStationaryLiquid_Data(), Table_Fuel_EFs_StationaryLiquid[[#Headers],[Fuel combusted]],0)</f>
        <v>37.299999999999997</v>
      </c>
      <c r="F62" s="226" t="str" cm="1">
        <f t="array" ref="F62">Common_InputFunctions.Utility_DisplayArrayInTable(Fuel_SourceData.Fuel_Scope1Scope3EmissionFactorsStationaryLiquid_Data(), Table_Fuel_EFs_StationaryLiquid[[#Headers],[Fuel combusted]],0)</f>
        <v>kL</v>
      </c>
      <c r="G62" s="226" cm="1">
        <f t="array" ref="G62">Common_InputFunctions.Utility_DisplayArrayInTable(Fuel_SourceData.Fuel_Scope1Scope3EmissionFactorsStationaryLiquid_Data(), Table_Fuel_EFs_StationaryLiquid[[#Headers],[Fuel combusted]],0)</f>
        <v>69.5</v>
      </c>
      <c r="H62" s="226" cm="1">
        <f t="array" ref="H62">Common_InputFunctions.Utility_DisplayArrayInTable(Fuel_SourceData.Fuel_Scope1Scope3EmissionFactorsStationaryLiquid_Data(), Table_Fuel_EFs_StationaryLiquid[[#Headers],[Fuel combusted]],0)</f>
        <v>0.03</v>
      </c>
      <c r="I62" s="226" cm="1">
        <f t="array" ref="I62">Common_InputFunctions.Utility_DisplayArrayInTable(Fuel_SourceData.Fuel_Scope1Scope3EmissionFactorsStationaryLiquid_Data(), Table_Fuel_EFs_StationaryLiquid[[#Headers],[Fuel combusted]],0)</f>
        <v>0.2</v>
      </c>
      <c r="J62" s="226" cm="1">
        <f t="array" ref="J62">Common_InputFunctions.Utility_DisplayArrayInTable(Fuel_SourceData.Fuel_Scope1Scope3EmissionFactorsStationaryLiquid_Data(), Table_Fuel_EFs_StationaryLiquid[[#Headers],[Fuel combusted]],0)</f>
        <v>69.73</v>
      </c>
      <c r="K62" s="226" cm="1">
        <f t="array" ref="K62">Common_InputFunctions.Utility_DisplayArrayInTable(Fuel_SourceData.Fuel_Scope1Scope3EmissionFactorsStationaryLiquid_Data(), Table_Fuel_EFs_StationaryLiquid[[#Headers],[Fuel combusted]],0)</f>
        <v>18</v>
      </c>
      <c r="L62" s="173"/>
    </row>
    <row r="63" spans="1:12" ht="20.100000000000001" customHeight="1" x14ac:dyDescent="0.25">
      <c r="D63" s="226" t="str" cm="1">
        <f t="array" ref="D63">Common_InputFunctions.Utility_DisplayArrayInTable(Fuel_SourceData.Fuel_Scope1Scope3EmissionFactorsStationaryLiquid_Data(), Table_Fuel_EFs_StationaryLiquid[[#Headers],[Fuel combusted]],0)</f>
        <v>Diesel oil</v>
      </c>
      <c r="E63" s="226" cm="1">
        <f t="array" ref="E63">Common_InputFunctions.Utility_DisplayArrayInTable(Fuel_SourceData.Fuel_Scope1Scope3EmissionFactorsStationaryLiquid_Data(), Table_Fuel_EFs_StationaryLiquid[[#Headers],[Fuel combusted]],0)</f>
        <v>38.6</v>
      </c>
      <c r="F63" s="226" t="str" cm="1">
        <f t="array" ref="F63">Common_InputFunctions.Utility_DisplayArrayInTable(Fuel_SourceData.Fuel_Scope1Scope3EmissionFactorsStationaryLiquid_Data(), Table_Fuel_EFs_StationaryLiquid[[#Headers],[Fuel combusted]],0)</f>
        <v>kL</v>
      </c>
      <c r="G63" s="226" cm="1">
        <f t="array" ref="G63">Common_InputFunctions.Utility_DisplayArrayInTable(Fuel_SourceData.Fuel_Scope1Scope3EmissionFactorsStationaryLiquid_Data(), Table_Fuel_EFs_StationaryLiquid[[#Headers],[Fuel combusted]],0)</f>
        <v>69.900000000000006</v>
      </c>
      <c r="H63" s="226" cm="1">
        <f t="array" ref="H63">Common_InputFunctions.Utility_DisplayArrayInTable(Fuel_SourceData.Fuel_Scope1Scope3EmissionFactorsStationaryLiquid_Data(), Table_Fuel_EFs_StationaryLiquid[[#Headers],[Fuel combusted]],0)</f>
        <v>0.1</v>
      </c>
      <c r="I63" s="226" cm="1">
        <f t="array" ref="I63">Common_InputFunctions.Utility_DisplayArrayInTable(Fuel_SourceData.Fuel_Scope1Scope3EmissionFactorsStationaryLiquid_Data(), Table_Fuel_EFs_StationaryLiquid[[#Headers],[Fuel combusted]],0)</f>
        <v>0.2</v>
      </c>
      <c r="J63" s="226" cm="1">
        <f t="array" ref="J63">Common_InputFunctions.Utility_DisplayArrayInTable(Fuel_SourceData.Fuel_Scope1Scope3EmissionFactorsStationaryLiquid_Data(), Table_Fuel_EFs_StationaryLiquid[[#Headers],[Fuel combusted]],0)</f>
        <v>70.2</v>
      </c>
      <c r="K63" s="226" cm="1">
        <f t="array" ref="K63">Common_InputFunctions.Utility_DisplayArrayInTable(Fuel_SourceData.Fuel_Scope1Scope3EmissionFactorsStationaryLiquid_Data(), Table_Fuel_EFs_StationaryLiquid[[#Headers],[Fuel combusted]],0)</f>
        <v>17.3</v>
      </c>
      <c r="L63" s="173"/>
    </row>
    <row r="64" spans="1:12" ht="20.100000000000001" customHeight="1" x14ac:dyDescent="0.25">
      <c r="D64" s="226" t="str" cm="1">
        <f t="array" ref="D64">Common_InputFunctions.Utility_DisplayArrayInTable(Fuel_SourceData.Fuel_Scope1Scope3EmissionFactorsStationaryLiquid_Data(), Table_Fuel_EFs_StationaryLiquid[[#Headers],[Fuel combusted]],0)</f>
        <v>Fuel oil</v>
      </c>
      <c r="E64" s="226" cm="1">
        <f t="array" ref="E64">Common_InputFunctions.Utility_DisplayArrayInTable(Fuel_SourceData.Fuel_Scope1Scope3EmissionFactorsStationaryLiquid_Data(), Table_Fuel_EFs_StationaryLiquid[[#Headers],[Fuel combusted]],0)</f>
        <v>39.700000000000003</v>
      </c>
      <c r="F64" s="226" t="str" cm="1">
        <f t="array" ref="F64">Common_InputFunctions.Utility_DisplayArrayInTable(Fuel_SourceData.Fuel_Scope1Scope3EmissionFactorsStationaryLiquid_Data(), Table_Fuel_EFs_StationaryLiquid[[#Headers],[Fuel combusted]],0)</f>
        <v>kL</v>
      </c>
      <c r="G64" s="226" cm="1">
        <f t="array" ref="G64">Common_InputFunctions.Utility_DisplayArrayInTable(Fuel_SourceData.Fuel_Scope1Scope3EmissionFactorsStationaryLiquid_Data(), Table_Fuel_EFs_StationaryLiquid[[#Headers],[Fuel combusted]],0)</f>
        <v>73.599999999999994</v>
      </c>
      <c r="H64" s="226" cm="1">
        <f t="array" ref="H64">Common_InputFunctions.Utility_DisplayArrayInTable(Fuel_SourceData.Fuel_Scope1Scope3EmissionFactorsStationaryLiquid_Data(), Table_Fuel_EFs_StationaryLiquid[[#Headers],[Fuel combusted]],0)</f>
        <v>0.04</v>
      </c>
      <c r="I64" s="226" cm="1">
        <f t="array" ref="I64">Common_InputFunctions.Utility_DisplayArrayInTable(Fuel_SourceData.Fuel_Scope1Scope3EmissionFactorsStationaryLiquid_Data(), Table_Fuel_EFs_StationaryLiquid[[#Headers],[Fuel combusted]],0)</f>
        <v>0.2</v>
      </c>
      <c r="J64" s="226" cm="1">
        <f t="array" ref="J64">Common_InputFunctions.Utility_DisplayArrayInTable(Fuel_SourceData.Fuel_Scope1Scope3EmissionFactorsStationaryLiquid_Data(), Table_Fuel_EFs_StationaryLiquid[[#Headers],[Fuel combusted]],0)</f>
        <v>73.84</v>
      </c>
      <c r="K64" s="226" cm="1">
        <f t="array" ref="K64">Common_InputFunctions.Utility_DisplayArrayInTable(Fuel_SourceData.Fuel_Scope1Scope3EmissionFactorsStationaryLiquid_Data(), Table_Fuel_EFs_StationaryLiquid[[#Headers],[Fuel combusted]],0)</f>
        <v>18</v>
      </c>
      <c r="L64" s="173"/>
    </row>
    <row r="65" spans="4:13" ht="20.100000000000001" customHeight="1" x14ac:dyDescent="0.25">
      <c r="D65" s="226" t="str" cm="1">
        <f t="array" ref="D65">Common_InputFunctions.Utility_DisplayArrayInTable(Fuel_SourceData.Fuel_Scope1Scope3EmissionFactorsStationaryLiquid_Data(), Table_Fuel_EFs_StationaryLiquid[[#Headers],[Fuel combusted]],0)</f>
        <v>Liquefied aromatic hydrocarbons</v>
      </c>
      <c r="E65" s="226" cm="1">
        <f t="array" ref="E65">Common_InputFunctions.Utility_DisplayArrayInTable(Fuel_SourceData.Fuel_Scope1Scope3EmissionFactorsStationaryLiquid_Data(), Table_Fuel_EFs_StationaryLiquid[[#Headers],[Fuel combusted]],0)</f>
        <v>34.4</v>
      </c>
      <c r="F65" s="226" t="str" cm="1">
        <f t="array" ref="F65">Common_InputFunctions.Utility_DisplayArrayInTable(Fuel_SourceData.Fuel_Scope1Scope3EmissionFactorsStationaryLiquid_Data(), Table_Fuel_EFs_StationaryLiquid[[#Headers],[Fuel combusted]],0)</f>
        <v>kL</v>
      </c>
      <c r="G65" s="226" cm="1">
        <f t="array" ref="G65">Common_InputFunctions.Utility_DisplayArrayInTable(Fuel_SourceData.Fuel_Scope1Scope3EmissionFactorsStationaryLiquid_Data(), Table_Fuel_EFs_StationaryLiquid[[#Headers],[Fuel combusted]],0)</f>
        <v>69.7</v>
      </c>
      <c r="H65" s="226" cm="1">
        <f t="array" ref="H65">Common_InputFunctions.Utility_DisplayArrayInTable(Fuel_SourceData.Fuel_Scope1Scope3EmissionFactorsStationaryLiquid_Data(), Table_Fuel_EFs_StationaryLiquid[[#Headers],[Fuel combusted]],0)</f>
        <v>0.03</v>
      </c>
      <c r="I65" s="226" cm="1">
        <f t="array" ref="I65">Common_InputFunctions.Utility_DisplayArrayInTable(Fuel_SourceData.Fuel_Scope1Scope3EmissionFactorsStationaryLiquid_Data(), Table_Fuel_EFs_StationaryLiquid[[#Headers],[Fuel combusted]],0)</f>
        <v>0.2</v>
      </c>
      <c r="J65" s="226" cm="1">
        <f t="array" ref="J65">Common_InputFunctions.Utility_DisplayArrayInTable(Fuel_SourceData.Fuel_Scope1Scope3EmissionFactorsStationaryLiquid_Data(), Table_Fuel_EFs_StationaryLiquid[[#Headers],[Fuel combusted]],0)</f>
        <v>69.930000000000007</v>
      </c>
      <c r="K65" s="226" cm="1">
        <f t="array" ref="K65">Common_InputFunctions.Utility_DisplayArrayInTable(Fuel_SourceData.Fuel_Scope1Scope3EmissionFactorsStationaryLiquid_Data(), Table_Fuel_EFs_StationaryLiquid[[#Headers],[Fuel combusted]],0)</f>
        <v>18</v>
      </c>
      <c r="L65" s="173"/>
    </row>
    <row r="66" spans="4:13" ht="20.100000000000001" customHeight="1" x14ac:dyDescent="0.25">
      <c r="D66" s="226" t="str" cm="1">
        <f t="array" ref="D66">Common_InputFunctions.Utility_DisplayArrayInTable(Fuel_SourceData.Fuel_Scope1Scope3EmissionFactorsStationaryLiquid_Data(), Table_Fuel_EFs_StationaryLiquid[[#Headers],[Fuel combusted]],0)</f>
        <v>Solvents: mineral turpentine or white spirits</v>
      </c>
      <c r="E66" s="226" cm="1">
        <f t="array" ref="E66">Common_InputFunctions.Utility_DisplayArrayInTable(Fuel_SourceData.Fuel_Scope1Scope3EmissionFactorsStationaryLiquid_Data(), Table_Fuel_EFs_StationaryLiquid[[#Headers],[Fuel combusted]],0)</f>
        <v>34.4</v>
      </c>
      <c r="F66" s="226" t="str" cm="1">
        <f t="array" ref="F66">Common_InputFunctions.Utility_DisplayArrayInTable(Fuel_SourceData.Fuel_Scope1Scope3EmissionFactorsStationaryLiquid_Data(), Table_Fuel_EFs_StationaryLiquid[[#Headers],[Fuel combusted]],0)</f>
        <v>kL</v>
      </c>
      <c r="G66" s="226" cm="1">
        <f t="array" ref="G66">Common_InputFunctions.Utility_DisplayArrayInTable(Fuel_SourceData.Fuel_Scope1Scope3EmissionFactorsStationaryLiquid_Data(), Table_Fuel_EFs_StationaryLiquid[[#Headers],[Fuel combusted]],0)</f>
        <v>69.7</v>
      </c>
      <c r="H66" s="226" cm="1">
        <f t="array" ref="H66">Common_InputFunctions.Utility_DisplayArrayInTable(Fuel_SourceData.Fuel_Scope1Scope3EmissionFactorsStationaryLiquid_Data(), Table_Fuel_EFs_StationaryLiquid[[#Headers],[Fuel combusted]],0)</f>
        <v>0.03</v>
      </c>
      <c r="I66" s="226" cm="1">
        <f t="array" ref="I66">Common_InputFunctions.Utility_DisplayArrayInTable(Fuel_SourceData.Fuel_Scope1Scope3EmissionFactorsStationaryLiquid_Data(), Table_Fuel_EFs_StationaryLiquid[[#Headers],[Fuel combusted]],0)</f>
        <v>0.2</v>
      </c>
      <c r="J66" s="226" cm="1">
        <f t="array" ref="J66">Common_InputFunctions.Utility_DisplayArrayInTable(Fuel_SourceData.Fuel_Scope1Scope3EmissionFactorsStationaryLiquid_Data(), Table_Fuel_EFs_StationaryLiquid[[#Headers],[Fuel combusted]],0)</f>
        <v>69.930000000000007</v>
      </c>
      <c r="K66" s="226" cm="1">
        <f t="array" ref="K66">Common_InputFunctions.Utility_DisplayArrayInTable(Fuel_SourceData.Fuel_Scope1Scope3EmissionFactorsStationaryLiquid_Data(), Table_Fuel_EFs_StationaryLiquid[[#Headers],[Fuel combusted]],0)</f>
        <v>18</v>
      </c>
      <c r="L66" s="173"/>
    </row>
    <row r="67" spans="4:13" ht="20.100000000000001" customHeight="1" x14ac:dyDescent="0.25">
      <c r="D67" s="226" t="str" cm="1">
        <f t="array" ref="D67">Common_InputFunctions.Utility_DisplayArrayInTable(Fuel_SourceData.Fuel_Scope1Scope3EmissionFactorsStationaryLiquid_Data(), Table_Fuel_EFs_StationaryLiquid[[#Headers],[Fuel combusted]],0)</f>
        <v>Liquefied petroleum gas (LPG)</v>
      </c>
      <c r="E67" s="226" cm="1">
        <f t="array" ref="E67">Common_InputFunctions.Utility_DisplayArrayInTable(Fuel_SourceData.Fuel_Scope1Scope3EmissionFactorsStationaryLiquid_Data(), Table_Fuel_EFs_StationaryLiquid[[#Headers],[Fuel combusted]],0)</f>
        <v>25.7</v>
      </c>
      <c r="F67" s="226" t="str" cm="1">
        <f t="array" ref="F67">Common_InputFunctions.Utility_DisplayArrayInTable(Fuel_SourceData.Fuel_Scope1Scope3EmissionFactorsStationaryLiquid_Data(), Table_Fuel_EFs_StationaryLiquid[[#Headers],[Fuel combusted]],0)</f>
        <v>kL</v>
      </c>
      <c r="G67" s="226" cm="1">
        <f t="array" ref="G67">Common_InputFunctions.Utility_DisplayArrayInTable(Fuel_SourceData.Fuel_Scope1Scope3EmissionFactorsStationaryLiquid_Data(), Table_Fuel_EFs_StationaryLiquid[[#Headers],[Fuel combusted]],0)</f>
        <v>60.2</v>
      </c>
      <c r="H67" s="226" cm="1">
        <f t="array" ref="H67">Common_InputFunctions.Utility_DisplayArrayInTable(Fuel_SourceData.Fuel_Scope1Scope3EmissionFactorsStationaryLiquid_Data(), Table_Fuel_EFs_StationaryLiquid[[#Headers],[Fuel combusted]],0)</f>
        <v>0.2</v>
      </c>
      <c r="I67" s="226" cm="1">
        <f t="array" ref="I67">Common_InputFunctions.Utility_DisplayArrayInTable(Fuel_SourceData.Fuel_Scope1Scope3EmissionFactorsStationaryLiquid_Data(), Table_Fuel_EFs_StationaryLiquid[[#Headers],[Fuel combusted]],0)</f>
        <v>0.2</v>
      </c>
      <c r="J67" s="226" cm="1">
        <f t="array" ref="J67">Common_InputFunctions.Utility_DisplayArrayInTable(Fuel_SourceData.Fuel_Scope1Scope3EmissionFactorsStationaryLiquid_Data(), Table_Fuel_EFs_StationaryLiquid[[#Headers],[Fuel combusted]],0)</f>
        <v>60.6</v>
      </c>
      <c r="K67" s="226" cm="1">
        <f t="array" ref="K67">Common_InputFunctions.Utility_DisplayArrayInTable(Fuel_SourceData.Fuel_Scope1Scope3EmissionFactorsStationaryLiquid_Data(), Table_Fuel_EFs_StationaryLiquid[[#Headers],[Fuel combusted]],0)</f>
        <v>20.2</v>
      </c>
      <c r="L67" s="173"/>
    </row>
    <row r="68" spans="4:13" ht="20.100000000000001" customHeight="1" x14ac:dyDescent="0.25">
      <c r="D68" s="226" t="str" cm="1">
        <f t="array" ref="D68">Common_InputFunctions.Utility_DisplayArrayInTable(Fuel_SourceData.Fuel_Scope1Scope3EmissionFactorsStationaryLiquid_Data(), Table_Fuel_EFs_StationaryLiquid[[#Headers],[Fuel combusted]],0)</f>
        <v>Naphtha</v>
      </c>
      <c r="E68" s="226" cm="1">
        <f t="array" ref="E68">Common_InputFunctions.Utility_DisplayArrayInTable(Fuel_SourceData.Fuel_Scope1Scope3EmissionFactorsStationaryLiquid_Data(), Table_Fuel_EFs_StationaryLiquid[[#Headers],[Fuel combusted]],0)</f>
        <v>31.4</v>
      </c>
      <c r="F68" s="226" t="str" cm="1">
        <f t="array" ref="F68">Common_InputFunctions.Utility_DisplayArrayInTable(Fuel_SourceData.Fuel_Scope1Scope3EmissionFactorsStationaryLiquid_Data(), Table_Fuel_EFs_StationaryLiquid[[#Headers],[Fuel combusted]],0)</f>
        <v>kL</v>
      </c>
      <c r="G68" s="226" cm="1">
        <f t="array" ref="G68">Common_InputFunctions.Utility_DisplayArrayInTable(Fuel_SourceData.Fuel_Scope1Scope3EmissionFactorsStationaryLiquid_Data(), Table_Fuel_EFs_StationaryLiquid[[#Headers],[Fuel combusted]],0)</f>
        <v>69.8</v>
      </c>
      <c r="H68" s="226" cm="1">
        <f t="array" ref="H68">Common_InputFunctions.Utility_DisplayArrayInTable(Fuel_SourceData.Fuel_Scope1Scope3EmissionFactorsStationaryLiquid_Data(), Table_Fuel_EFs_StationaryLiquid[[#Headers],[Fuel combusted]],0)</f>
        <v>0.01</v>
      </c>
      <c r="I68" s="226" cm="1">
        <f t="array" ref="I68">Common_InputFunctions.Utility_DisplayArrayInTable(Fuel_SourceData.Fuel_Scope1Scope3EmissionFactorsStationaryLiquid_Data(), Table_Fuel_EFs_StationaryLiquid[[#Headers],[Fuel combusted]],0)</f>
        <v>0.01</v>
      </c>
      <c r="J68" s="226" cm="1">
        <f t="array" ref="J68">Common_InputFunctions.Utility_DisplayArrayInTable(Fuel_SourceData.Fuel_Scope1Scope3EmissionFactorsStationaryLiquid_Data(), Table_Fuel_EFs_StationaryLiquid[[#Headers],[Fuel combusted]],0)</f>
        <v>69.819999999999993</v>
      </c>
      <c r="K68" s="226" cm="1">
        <f t="array" ref="K68">Common_InputFunctions.Utility_DisplayArrayInTable(Fuel_SourceData.Fuel_Scope1Scope3EmissionFactorsStationaryLiquid_Data(), Table_Fuel_EFs_StationaryLiquid[[#Headers],[Fuel combusted]],0)</f>
        <v>18</v>
      </c>
      <c r="L68" s="173"/>
    </row>
    <row r="69" spans="4:13" ht="20.100000000000001" customHeight="1" x14ac:dyDescent="0.25">
      <c r="D69" s="226" t="str" cm="1">
        <f t="array" ref="D69">Common_InputFunctions.Utility_DisplayArrayInTable(Fuel_SourceData.Fuel_Scope1Scope3EmissionFactorsStationaryLiquid_Data(), Table_Fuel_EFs_StationaryLiquid[[#Headers],[Fuel combusted]],0)</f>
        <v>Petroleum coke</v>
      </c>
      <c r="E69" s="226" cm="1">
        <f t="array" ref="E69">Common_InputFunctions.Utility_DisplayArrayInTable(Fuel_SourceData.Fuel_Scope1Scope3EmissionFactorsStationaryLiquid_Data(), Table_Fuel_EFs_StationaryLiquid[[#Headers],[Fuel combusted]],0)</f>
        <v>34.200000000000003</v>
      </c>
      <c r="F69" s="226" t="str" cm="1">
        <f t="array" ref="F69">Common_InputFunctions.Utility_DisplayArrayInTable(Fuel_SourceData.Fuel_Scope1Scope3EmissionFactorsStationaryLiquid_Data(), Table_Fuel_EFs_StationaryLiquid[[#Headers],[Fuel combusted]],0)</f>
        <v>t</v>
      </c>
      <c r="G69" s="226" cm="1">
        <f t="array" ref="G69">Common_InputFunctions.Utility_DisplayArrayInTable(Fuel_SourceData.Fuel_Scope1Scope3EmissionFactorsStationaryLiquid_Data(), Table_Fuel_EFs_StationaryLiquid[[#Headers],[Fuel combusted]],0)</f>
        <v>92.6</v>
      </c>
      <c r="H69" s="226" cm="1">
        <f t="array" ref="H69">Common_InputFunctions.Utility_DisplayArrayInTable(Fuel_SourceData.Fuel_Scope1Scope3EmissionFactorsStationaryLiquid_Data(), Table_Fuel_EFs_StationaryLiquid[[#Headers],[Fuel combusted]],0)</f>
        <v>0.08</v>
      </c>
      <c r="I69" s="226" cm="1">
        <f t="array" ref="I69">Common_InputFunctions.Utility_DisplayArrayInTable(Fuel_SourceData.Fuel_Scope1Scope3EmissionFactorsStationaryLiquid_Data(), Table_Fuel_EFs_StationaryLiquid[[#Headers],[Fuel combusted]],0)</f>
        <v>0.2</v>
      </c>
      <c r="J69" s="226" cm="1">
        <f t="array" ref="J69">Common_InputFunctions.Utility_DisplayArrayInTable(Fuel_SourceData.Fuel_Scope1Scope3EmissionFactorsStationaryLiquid_Data(), Table_Fuel_EFs_StationaryLiquid[[#Headers],[Fuel combusted]],0)</f>
        <v>92.88</v>
      </c>
      <c r="K69" s="226" cm="1">
        <f t="array" ref="K69">Common_InputFunctions.Utility_DisplayArrayInTable(Fuel_SourceData.Fuel_Scope1Scope3EmissionFactorsStationaryLiquid_Data(), Table_Fuel_EFs_StationaryLiquid[[#Headers],[Fuel combusted]],0)</f>
        <v>18</v>
      </c>
      <c r="L69" s="173"/>
    </row>
    <row r="70" spans="4:13" ht="20.100000000000001" customHeight="1" x14ac:dyDescent="0.25">
      <c r="D70" s="226" t="str" cm="1">
        <f t="array" ref="D70">Common_InputFunctions.Utility_DisplayArrayInTable(Fuel_SourceData.Fuel_Scope1Scope3EmissionFactorsStationaryLiquid_Data(), Table_Fuel_EFs_StationaryLiquid[[#Headers],[Fuel combusted]],0)</f>
        <v>Refinery gas and liquids</v>
      </c>
      <c r="E70" s="226" cm="1">
        <f t="array" ref="E70">Common_InputFunctions.Utility_DisplayArrayInTable(Fuel_SourceData.Fuel_Scope1Scope3EmissionFactorsStationaryLiquid_Data(), Table_Fuel_EFs_StationaryLiquid[[#Headers],[Fuel combusted]],0)</f>
        <v>42.9</v>
      </c>
      <c r="F70" s="226" t="str" cm="1">
        <f t="array" ref="F70">Common_InputFunctions.Utility_DisplayArrayInTable(Fuel_SourceData.Fuel_Scope1Scope3EmissionFactorsStationaryLiquid_Data(), Table_Fuel_EFs_StationaryLiquid[[#Headers],[Fuel combusted]],0)</f>
        <v>t</v>
      </c>
      <c r="G70" s="226" cm="1">
        <f t="array" ref="G70">Common_InputFunctions.Utility_DisplayArrayInTable(Fuel_SourceData.Fuel_Scope1Scope3EmissionFactorsStationaryLiquid_Data(), Table_Fuel_EFs_StationaryLiquid[[#Headers],[Fuel combusted]],0)</f>
        <v>54.7</v>
      </c>
      <c r="H70" s="226" cm="1">
        <f t="array" ref="H70">Common_InputFunctions.Utility_DisplayArrayInTable(Fuel_SourceData.Fuel_Scope1Scope3EmissionFactorsStationaryLiquid_Data(), Table_Fuel_EFs_StationaryLiquid[[#Headers],[Fuel combusted]],0)</f>
        <v>0.03</v>
      </c>
      <c r="I70" s="226" cm="1">
        <f t="array" ref="I70">Common_InputFunctions.Utility_DisplayArrayInTable(Fuel_SourceData.Fuel_Scope1Scope3EmissionFactorsStationaryLiquid_Data(), Table_Fuel_EFs_StationaryLiquid[[#Headers],[Fuel combusted]],0)</f>
        <v>0.03</v>
      </c>
      <c r="J70" s="226" cm="1">
        <f t="array" ref="J70">Common_InputFunctions.Utility_DisplayArrayInTable(Fuel_SourceData.Fuel_Scope1Scope3EmissionFactorsStationaryLiquid_Data(), Table_Fuel_EFs_StationaryLiquid[[#Headers],[Fuel combusted]],0)</f>
        <v>54.76</v>
      </c>
      <c r="K70" s="226" cm="1">
        <f t="array" ref="K70">Common_InputFunctions.Utility_DisplayArrayInTable(Fuel_SourceData.Fuel_Scope1Scope3EmissionFactorsStationaryLiquid_Data(), Table_Fuel_EFs_StationaryLiquid[[#Headers],[Fuel combusted]],0)</f>
        <v>18</v>
      </c>
      <c r="L70" s="173"/>
    </row>
    <row r="71" spans="4:13" ht="20.100000000000001" customHeight="1" x14ac:dyDescent="0.25">
      <c r="D71" s="226" t="str" cm="1">
        <f t="array" ref="D71">Common_InputFunctions.Utility_DisplayArrayInTable(Fuel_SourceData.Fuel_Scope1Scope3EmissionFactorsStationaryLiquid_Data(), Table_Fuel_EFs_StationaryLiquid[[#Headers],[Fuel combusted]],0)</f>
        <v>Refinery coke</v>
      </c>
      <c r="E71" s="226" cm="1">
        <f t="array" ref="E71">Common_InputFunctions.Utility_DisplayArrayInTable(Fuel_SourceData.Fuel_Scope1Scope3EmissionFactorsStationaryLiquid_Data(), Table_Fuel_EFs_StationaryLiquid[[#Headers],[Fuel combusted]],0)</f>
        <v>34.200000000000003</v>
      </c>
      <c r="F71" s="226" t="str" cm="1">
        <f t="array" ref="F71">Common_InputFunctions.Utility_DisplayArrayInTable(Fuel_SourceData.Fuel_Scope1Scope3EmissionFactorsStationaryLiquid_Data(), Table_Fuel_EFs_StationaryLiquid[[#Headers],[Fuel combusted]],0)</f>
        <v>t</v>
      </c>
      <c r="G71" s="226" cm="1">
        <f t="array" ref="G71">Common_InputFunctions.Utility_DisplayArrayInTable(Fuel_SourceData.Fuel_Scope1Scope3EmissionFactorsStationaryLiquid_Data(), Table_Fuel_EFs_StationaryLiquid[[#Headers],[Fuel combusted]],0)</f>
        <v>92.6</v>
      </c>
      <c r="H71" s="226" cm="1">
        <f t="array" ref="H71">Common_InputFunctions.Utility_DisplayArrayInTable(Fuel_SourceData.Fuel_Scope1Scope3EmissionFactorsStationaryLiquid_Data(), Table_Fuel_EFs_StationaryLiquid[[#Headers],[Fuel combusted]],0)</f>
        <v>0.08</v>
      </c>
      <c r="I71" s="226" cm="1">
        <f t="array" ref="I71">Common_InputFunctions.Utility_DisplayArrayInTable(Fuel_SourceData.Fuel_Scope1Scope3EmissionFactorsStationaryLiquid_Data(), Table_Fuel_EFs_StationaryLiquid[[#Headers],[Fuel combusted]],0)</f>
        <v>0.2</v>
      </c>
      <c r="J71" s="226" cm="1">
        <f t="array" ref="J71">Common_InputFunctions.Utility_DisplayArrayInTable(Fuel_SourceData.Fuel_Scope1Scope3EmissionFactorsStationaryLiquid_Data(), Table_Fuel_EFs_StationaryLiquid[[#Headers],[Fuel combusted]],0)</f>
        <v>92.88</v>
      </c>
      <c r="K71" s="226" cm="1">
        <f t="array" ref="K71">Common_InputFunctions.Utility_DisplayArrayInTable(Fuel_SourceData.Fuel_Scope1Scope3EmissionFactorsStationaryLiquid_Data(), Table_Fuel_EFs_StationaryLiquid[[#Headers],[Fuel combusted]],0)</f>
        <v>18</v>
      </c>
      <c r="L71" s="173"/>
    </row>
    <row r="72" spans="4:13" ht="20.100000000000001" customHeight="1" x14ac:dyDescent="0.25">
      <c r="D72" s="226" t="str" cm="1">
        <f t="array" ref="D72">Common_InputFunctions.Utility_DisplayArrayInTable(Fuel_SourceData.Fuel_Scope1Scope3EmissionFactorsStationaryLiquid_Data(), Table_Fuel_EFs_StationaryLiquid[[#Headers],[Fuel combusted]],0)</f>
        <v>Petroleum based products other than mentioned in the items above</v>
      </c>
      <c r="E72" s="226" cm="1">
        <f t="array" ref="E72">Common_InputFunctions.Utility_DisplayArrayInTable(Fuel_SourceData.Fuel_Scope1Scope3EmissionFactorsStationaryLiquid_Data(), Table_Fuel_EFs_StationaryLiquid[[#Headers],[Fuel combusted]],0)</f>
        <v>34.4</v>
      </c>
      <c r="F72" s="226" t="str" cm="1">
        <f t="array" ref="F72">Common_InputFunctions.Utility_DisplayArrayInTable(Fuel_SourceData.Fuel_Scope1Scope3EmissionFactorsStationaryLiquid_Data(), Table_Fuel_EFs_StationaryLiquid[[#Headers],[Fuel combusted]],0)</f>
        <v>kL</v>
      </c>
      <c r="G72" s="226" cm="1">
        <f t="array" ref="G72">Common_InputFunctions.Utility_DisplayArrayInTable(Fuel_SourceData.Fuel_Scope1Scope3EmissionFactorsStationaryLiquid_Data(), Table_Fuel_EFs_StationaryLiquid[[#Headers],[Fuel combusted]],0)</f>
        <v>69.8</v>
      </c>
      <c r="H72" s="226" cm="1">
        <f t="array" ref="H72">Common_InputFunctions.Utility_DisplayArrayInTable(Fuel_SourceData.Fuel_Scope1Scope3EmissionFactorsStationaryLiquid_Data(), Table_Fuel_EFs_StationaryLiquid[[#Headers],[Fuel combusted]],0)</f>
        <v>0.02</v>
      </c>
      <c r="I72" s="226" cm="1">
        <f t="array" ref="I72">Common_InputFunctions.Utility_DisplayArrayInTable(Fuel_SourceData.Fuel_Scope1Scope3EmissionFactorsStationaryLiquid_Data(), Table_Fuel_EFs_StationaryLiquid[[#Headers],[Fuel combusted]],0)</f>
        <v>0.1</v>
      </c>
      <c r="J72" s="226" cm="1">
        <f t="array" ref="J72">Common_InputFunctions.Utility_DisplayArrayInTable(Fuel_SourceData.Fuel_Scope1Scope3EmissionFactorsStationaryLiquid_Data(), Table_Fuel_EFs_StationaryLiquid[[#Headers],[Fuel combusted]],0)</f>
        <v>69.92</v>
      </c>
      <c r="K72" s="226" cm="1">
        <f t="array" ref="K72">Common_InputFunctions.Utility_DisplayArrayInTable(Fuel_SourceData.Fuel_Scope1Scope3EmissionFactorsStationaryLiquid_Data(), Table_Fuel_EFs_StationaryLiquid[[#Headers],[Fuel combusted]],0)</f>
        <v>18</v>
      </c>
      <c r="L72" s="173"/>
    </row>
    <row r="73" spans="4:13" ht="20.100000000000001" customHeight="1" x14ac:dyDescent="0.25">
      <c r="D73" s="226" t="str" cm="1">
        <f t="array" ref="D73">Common_InputFunctions.Utility_DisplayArrayInTable(Fuel_SourceData.Fuel_Scope1Scope3EmissionFactorsStationaryLiquid_Data(), Table_Fuel_EFs_StationaryLiquid[[#Headers],[Fuel combusted]],0)</f>
        <v>Biodiesel</v>
      </c>
      <c r="E73" s="226" cm="1">
        <f t="array" ref="E73">Common_InputFunctions.Utility_DisplayArrayInTable(Fuel_SourceData.Fuel_Scope1Scope3EmissionFactorsStationaryLiquid_Data(), Table_Fuel_EFs_StationaryLiquid[[#Headers],[Fuel combusted]],0)</f>
        <v>34.6</v>
      </c>
      <c r="F73" s="226" t="str" cm="1">
        <f t="array" ref="F73">Common_InputFunctions.Utility_DisplayArrayInTable(Fuel_SourceData.Fuel_Scope1Scope3EmissionFactorsStationaryLiquid_Data(), Table_Fuel_EFs_StationaryLiquid[[#Headers],[Fuel combusted]],0)</f>
        <v>kL</v>
      </c>
      <c r="G73" s="226" cm="1">
        <f t="array" ref="G73">Common_InputFunctions.Utility_DisplayArrayInTable(Fuel_SourceData.Fuel_Scope1Scope3EmissionFactorsStationaryLiquid_Data(), Table_Fuel_EFs_StationaryLiquid[[#Headers],[Fuel combusted]],0)</f>
        <v>0</v>
      </c>
      <c r="H73" s="226" cm="1">
        <f t="array" ref="H73">Common_InputFunctions.Utility_DisplayArrayInTable(Fuel_SourceData.Fuel_Scope1Scope3EmissionFactorsStationaryLiquid_Data(), Table_Fuel_EFs_StationaryLiquid[[#Headers],[Fuel combusted]],0)</f>
        <v>0.08</v>
      </c>
      <c r="I73" s="226" cm="1">
        <f t="array" ref="I73">Common_InputFunctions.Utility_DisplayArrayInTable(Fuel_SourceData.Fuel_Scope1Scope3EmissionFactorsStationaryLiquid_Data(), Table_Fuel_EFs_StationaryLiquid[[#Headers],[Fuel combusted]],0)</f>
        <v>0.2</v>
      </c>
      <c r="J73" s="226" cm="1">
        <f t="array" ref="J73">Common_InputFunctions.Utility_DisplayArrayInTable(Fuel_SourceData.Fuel_Scope1Scope3EmissionFactorsStationaryLiquid_Data(), Table_Fuel_EFs_StationaryLiquid[[#Headers],[Fuel combusted]],0)</f>
        <v>0.28000000000000003</v>
      </c>
      <c r="K73" s="226" t="str" cm="1">
        <f t="array" ref="K73">Common_InputFunctions.Utility_DisplayArrayInTable(Fuel_SourceData.Fuel_Scope1Scope3EmissionFactorsStationaryLiquid_Data(), Table_Fuel_EFs_StationaryLiquid[[#Headers],[Fuel combusted]],0)</f>
        <v>NE</v>
      </c>
      <c r="L73" s="173"/>
    </row>
    <row r="74" spans="4:13" ht="20.100000000000001" customHeight="1" x14ac:dyDescent="0.25">
      <c r="D74" s="226" t="str" cm="1">
        <f t="array" ref="D74">Common_InputFunctions.Utility_DisplayArrayInTable(Fuel_SourceData.Fuel_Scope1Scope3EmissionFactorsStationaryLiquid_Data(), Table_Fuel_EFs_StationaryLiquid[[#Headers],[Fuel combusted]],0)</f>
        <v>Ethanol for use as a fuel in an internal combustion engine</v>
      </c>
      <c r="E74" s="226" cm="1">
        <f t="array" ref="E74">Common_InputFunctions.Utility_DisplayArrayInTable(Fuel_SourceData.Fuel_Scope1Scope3EmissionFactorsStationaryLiquid_Data(), Table_Fuel_EFs_StationaryLiquid[[#Headers],[Fuel combusted]],0)</f>
        <v>23.4</v>
      </c>
      <c r="F74" s="226" t="str" cm="1">
        <f t="array" ref="F74">Common_InputFunctions.Utility_DisplayArrayInTable(Fuel_SourceData.Fuel_Scope1Scope3EmissionFactorsStationaryLiquid_Data(), Table_Fuel_EFs_StationaryLiquid[[#Headers],[Fuel combusted]],0)</f>
        <v>kL</v>
      </c>
      <c r="G74" s="226" cm="1">
        <f t="array" ref="G74">Common_InputFunctions.Utility_DisplayArrayInTable(Fuel_SourceData.Fuel_Scope1Scope3EmissionFactorsStationaryLiquid_Data(), Table_Fuel_EFs_StationaryLiquid[[#Headers],[Fuel combusted]],0)</f>
        <v>0</v>
      </c>
      <c r="H74" s="226" cm="1">
        <f t="array" ref="H74">Common_InputFunctions.Utility_DisplayArrayInTable(Fuel_SourceData.Fuel_Scope1Scope3EmissionFactorsStationaryLiquid_Data(), Table_Fuel_EFs_StationaryLiquid[[#Headers],[Fuel combusted]],0)</f>
        <v>0.08</v>
      </c>
      <c r="I74" s="226" cm="1">
        <f t="array" ref="I74">Common_InputFunctions.Utility_DisplayArrayInTable(Fuel_SourceData.Fuel_Scope1Scope3EmissionFactorsStationaryLiquid_Data(), Table_Fuel_EFs_StationaryLiquid[[#Headers],[Fuel combusted]],0)</f>
        <v>0.2</v>
      </c>
      <c r="J74" s="226" cm="1">
        <f t="array" ref="J74">Common_InputFunctions.Utility_DisplayArrayInTable(Fuel_SourceData.Fuel_Scope1Scope3EmissionFactorsStationaryLiquid_Data(), Table_Fuel_EFs_StationaryLiquid[[#Headers],[Fuel combusted]],0)</f>
        <v>0.28000000000000003</v>
      </c>
      <c r="K74" s="226" t="str" cm="1">
        <f t="array" ref="K74">Common_InputFunctions.Utility_DisplayArrayInTable(Fuel_SourceData.Fuel_Scope1Scope3EmissionFactorsStationaryLiquid_Data(), Table_Fuel_EFs_StationaryLiquid[[#Headers],[Fuel combusted]],0)</f>
        <v>NE</v>
      </c>
      <c r="L74" s="173"/>
    </row>
    <row r="75" spans="4:13" ht="20.100000000000001" customHeight="1" x14ac:dyDescent="0.25">
      <c r="D75" s="226" t="str" cm="1">
        <f t="array" ref="D75">Common_InputFunctions.Utility_DisplayArrayInTable(Fuel_SourceData.Fuel_Scope1Scope3EmissionFactorsStationaryLiquid_Data(), Table_Fuel_EFs_StationaryLiquid[[#Headers],[Fuel combusted]],0)</f>
        <v>Biofuels other than those mentioned in the items above and below</v>
      </c>
      <c r="E75" s="226" cm="1">
        <f t="array" ref="E75">Common_InputFunctions.Utility_DisplayArrayInTable(Fuel_SourceData.Fuel_Scope1Scope3EmissionFactorsStationaryLiquid_Data(), Table_Fuel_EFs_StationaryLiquid[[#Headers],[Fuel combusted]],0)</f>
        <v>23.4</v>
      </c>
      <c r="F75" s="226" t="str" cm="1">
        <f t="array" ref="F75">Common_InputFunctions.Utility_DisplayArrayInTable(Fuel_SourceData.Fuel_Scope1Scope3EmissionFactorsStationaryLiquid_Data(), Table_Fuel_EFs_StationaryLiquid[[#Headers],[Fuel combusted]],0)</f>
        <v>kL</v>
      </c>
      <c r="G75" s="226" cm="1">
        <f t="array" ref="G75">Common_InputFunctions.Utility_DisplayArrayInTable(Fuel_SourceData.Fuel_Scope1Scope3EmissionFactorsStationaryLiquid_Data(), Table_Fuel_EFs_StationaryLiquid[[#Headers],[Fuel combusted]],0)</f>
        <v>0</v>
      </c>
      <c r="H75" s="226" cm="1">
        <f t="array" ref="H75">Common_InputFunctions.Utility_DisplayArrayInTable(Fuel_SourceData.Fuel_Scope1Scope3EmissionFactorsStationaryLiquid_Data(), Table_Fuel_EFs_StationaryLiquid[[#Headers],[Fuel combusted]],0)</f>
        <v>0.08</v>
      </c>
      <c r="I75" s="226" cm="1">
        <f t="array" ref="I75">Common_InputFunctions.Utility_DisplayArrayInTable(Fuel_SourceData.Fuel_Scope1Scope3EmissionFactorsStationaryLiquid_Data(), Table_Fuel_EFs_StationaryLiquid[[#Headers],[Fuel combusted]],0)</f>
        <v>0.2</v>
      </c>
      <c r="J75" s="226" cm="1">
        <f t="array" ref="J75">Common_InputFunctions.Utility_DisplayArrayInTable(Fuel_SourceData.Fuel_Scope1Scope3EmissionFactorsStationaryLiquid_Data(), Table_Fuel_EFs_StationaryLiquid[[#Headers],[Fuel combusted]],0)</f>
        <v>0.28000000000000003</v>
      </c>
      <c r="K75" s="226" t="str" cm="1">
        <f t="array" ref="K75">Common_InputFunctions.Utility_DisplayArrayInTable(Fuel_SourceData.Fuel_Scope1Scope3EmissionFactorsStationaryLiquid_Data(), Table_Fuel_EFs_StationaryLiquid[[#Headers],[Fuel combusted]],0)</f>
        <v>NE</v>
      </c>
      <c r="L75" s="173"/>
    </row>
    <row r="76" spans="4:13" ht="20.100000000000001" customHeight="1" x14ac:dyDescent="0.25">
      <c r="D76" s="226" t="str" cm="1">
        <f t="array" ref="D76">Common_InputFunctions.Utility_DisplayArrayInTable(Fuel_SourceData.Fuel_Scope1Scope3EmissionFactorsStationaryLiquid_Data(), Table_Fuel_EFs_StationaryLiquid[[#Headers],[Fuel combusted]],0)</f>
        <v>Renewable aviation kerosene</v>
      </c>
      <c r="E76" s="226" cm="1">
        <f t="array" ref="E76">Common_InputFunctions.Utility_DisplayArrayInTable(Fuel_SourceData.Fuel_Scope1Scope3EmissionFactorsStationaryLiquid_Data(), Table_Fuel_EFs_StationaryLiquid[[#Headers],[Fuel combusted]],0)</f>
        <v>36.799999999999997</v>
      </c>
      <c r="F76" s="226" t="str" cm="1">
        <f t="array" ref="F76">Common_InputFunctions.Utility_DisplayArrayInTable(Fuel_SourceData.Fuel_Scope1Scope3EmissionFactorsStationaryLiquid_Data(), Table_Fuel_EFs_StationaryLiquid[[#Headers],[Fuel combusted]],0)</f>
        <v>kL</v>
      </c>
      <c r="G76" s="226" cm="1">
        <f t="array" ref="G76">Common_InputFunctions.Utility_DisplayArrayInTable(Fuel_SourceData.Fuel_Scope1Scope3EmissionFactorsStationaryLiquid_Data(), Table_Fuel_EFs_StationaryLiquid[[#Headers],[Fuel combusted]],0)</f>
        <v>0</v>
      </c>
      <c r="H76" s="226" cm="1">
        <f t="array" ref="H76">Common_InputFunctions.Utility_DisplayArrayInTable(Fuel_SourceData.Fuel_Scope1Scope3EmissionFactorsStationaryLiquid_Data(), Table_Fuel_EFs_StationaryLiquid[[#Headers],[Fuel combusted]],0)</f>
        <v>0.02</v>
      </c>
      <c r="I76" s="226" cm="1">
        <f t="array" ref="I76">Common_InputFunctions.Utility_DisplayArrayInTable(Fuel_SourceData.Fuel_Scope1Scope3EmissionFactorsStationaryLiquid_Data(), Table_Fuel_EFs_StationaryLiquid[[#Headers],[Fuel combusted]],0)</f>
        <v>0.2</v>
      </c>
      <c r="J76" s="226" cm="1">
        <f t="array" ref="J76">Common_InputFunctions.Utility_DisplayArrayInTable(Fuel_SourceData.Fuel_Scope1Scope3EmissionFactorsStationaryLiquid_Data(), Table_Fuel_EFs_StationaryLiquid[[#Headers],[Fuel combusted]],0)</f>
        <v>0.22</v>
      </c>
      <c r="K76" s="226" t="str" cm="1">
        <f t="array" ref="K76">Common_InputFunctions.Utility_DisplayArrayInTable(Fuel_SourceData.Fuel_Scope1Scope3EmissionFactorsStationaryLiquid_Data(), Table_Fuel_EFs_StationaryLiquid[[#Headers],[Fuel combusted]],0)</f>
        <v>NE</v>
      </c>
      <c r="L76" s="173"/>
    </row>
    <row r="77" spans="4:13" ht="20.100000000000001" customHeight="1" x14ac:dyDescent="0.25">
      <c r="D77" s="226" t="str" cm="1">
        <f t="array" ref="D77">Common_InputFunctions.Utility_DisplayArrayInTable(Fuel_SourceData.Fuel_Scope1Scope3EmissionFactorsStationaryLiquid_Data(), Table_Fuel_EFs_StationaryLiquid[[#Headers],[Fuel combusted]],0)</f>
        <v>Renewable diesel</v>
      </c>
      <c r="E77" s="226" cm="1">
        <f t="array" ref="E77">Common_InputFunctions.Utility_DisplayArrayInTable(Fuel_SourceData.Fuel_Scope1Scope3EmissionFactorsStationaryLiquid_Data(), Table_Fuel_EFs_StationaryLiquid[[#Headers],[Fuel combusted]],0)</f>
        <v>38.6</v>
      </c>
      <c r="F77" s="226" t="str" cm="1">
        <f t="array" ref="F77">Common_InputFunctions.Utility_DisplayArrayInTable(Fuel_SourceData.Fuel_Scope1Scope3EmissionFactorsStationaryLiquid_Data(), Table_Fuel_EFs_StationaryLiquid[[#Headers],[Fuel combusted]],0)</f>
        <v>kL</v>
      </c>
      <c r="G77" s="226" cm="1">
        <f t="array" ref="G77">Common_InputFunctions.Utility_DisplayArrayInTable(Fuel_SourceData.Fuel_Scope1Scope3EmissionFactorsStationaryLiquid_Data(), Table_Fuel_EFs_StationaryLiquid[[#Headers],[Fuel combusted]],0)</f>
        <v>0</v>
      </c>
      <c r="H77" s="226" cm="1">
        <f t="array" ref="H77">Common_InputFunctions.Utility_DisplayArrayInTable(Fuel_SourceData.Fuel_Scope1Scope3EmissionFactorsStationaryLiquid_Data(), Table_Fuel_EFs_StationaryLiquid[[#Headers],[Fuel combusted]],0)</f>
        <v>0.1</v>
      </c>
      <c r="I77" s="226" cm="1">
        <f t="array" ref="I77">Common_InputFunctions.Utility_DisplayArrayInTable(Fuel_SourceData.Fuel_Scope1Scope3EmissionFactorsStationaryLiquid_Data(), Table_Fuel_EFs_StationaryLiquid[[#Headers],[Fuel combusted]],0)</f>
        <v>0.2</v>
      </c>
      <c r="J77" s="226" cm="1">
        <f t="array" ref="J77">Common_InputFunctions.Utility_DisplayArrayInTable(Fuel_SourceData.Fuel_Scope1Scope3EmissionFactorsStationaryLiquid_Data(), Table_Fuel_EFs_StationaryLiquid[[#Headers],[Fuel combusted]],0)</f>
        <v>0.3</v>
      </c>
      <c r="K77" s="226" t="str" cm="1">
        <f t="array" ref="K77">Common_InputFunctions.Utility_DisplayArrayInTable(Fuel_SourceData.Fuel_Scope1Scope3EmissionFactorsStationaryLiquid_Data(), Table_Fuel_EFs_StationaryLiquid[[#Headers],[Fuel combusted]],0)</f>
        <v>NE</v>
      </c>
      <c r="L77" s="173"/>
    </row>
    <row r="78" spans="4:13" ht="20.100000000000001" customHeight="1" x14ac:dyDescent="0.25">
      <c r="D78" s="173"/>
      <c r="E78" s="173"/>
      <c r="F78" s="173"/>
      <c r="G78" s="173"/>
      <c r="H78" s="173"/>
      <c r="I78" s="173"/>
      <c r="J78" s="173"/>
      <c r="K78" s="173"/>
      <c r="L78" s="173"/>
    </row>
    <row r="79" spans="4:13" ht="20.100000000000001" customHeight="1" x14ac:dyDescent="0.25">
      <c r="D79" s="173"/>
      <c r="E79" s="173"/>
      <c r="F79" s="173"/>
      <c r="G79" s="173"/>
      <c r="H79" s="173"/>
      <c r="I79" s="173"/>
      <c r="J79" s="173"/>
      <c r="K79" s="173"/>
      <c r="L79" s="173"/>
      <c r="M79" s="173"/>
    </row>
    <row r="80" spans="4:13" ht="20.100000000000001" customHeight="1" x14ac:dyDescent="0.25">
      <c r="D80" s="173"/>
      <c r="E80" s="173"/>
      <c r="F80" s="173"/>
      <c r="G80" s="173"/>
      <c r="H80" s="173"/>
      <c r="I80" s="173"/>
      <c r="J80" s="173"/>
      <c r="K80" s="173"/>
      <c r="L80" s="173"/>
      <c r="M80" s="173"/>
    </row>
    <row r="81" spans="4:12" ht="20.100000000000001" customHeight="1" x14ac:dyDescent="0.25">
      <c r="D81" s="2" t="str" cm="1">
        <f t="array" ref="D81">Fuel_SourceData.Fuel_Scope1EmissionFactorsStationaryGaseous_Title()</f>
        <v>Fuel scope 1 emission factors - Stationary gaseous fuels</v>
      </c>
      <c r="E81" s="173"/>
      <c r="F81" s="173"/>
      <c r="G81" s="173"/>
      <c r="H81" s="173"/>
      <c r="I81" s="173"/>
      <c r="J81" s="173"/>
      <c r="K81" s="173"/>
      <c r="L81" s="173"/>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3"/>
      <c r="F82" s="173"/>
      <c r="G82" s="173"/>
      <c r="H82" s="173"/>
      <c r="I82" s="173"/>
      <c r="J82" s="173"/>
      <c r="K82" s="173"/>
      <c r="L82" s="173"/>
    </row>
    <row r="83" spans="4:12" ht="20.100000000000001" customHeight="1" x14ac:dyDescent="0.25">
      <c r="D83" s="27" t="str" cm="1">
        <f t="array" ref="D83">Fuel_SourceData.Fuel_Scope1EmissionFactorsStationaryGaseous_Source()</f>
        <v>Australian National Greenhouse Accounts Factors 2025 - Table 5</v>
      </c>
      <c r="E83" s="173"/>
      <c r="F83" s="173"/>
      <c r="G83" s="173"/>
      <c r="H83" s="173"/>
      <c r="I83" s="173"/>
      <c r="J83" s="173"/>
      <c r="K83" s="173"/>
      <c r="L83" s="173"/>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3"/>
      <c r="F84" s="173"/>
      <c r="G84" s="173"/>
      <c r="H84" s="173"/>
      <c r="I84" s="173"/>
      <c r="J84" s="173"/>
      <c r="K84" s="173"/>
      <c r="L84" s="173"/>
    </row>
    <row r="85" spans="4:12" ht="20.100000000000001" customHeight="1" x14ac:dyDescent="0.25">
      <c r="D85" s="173"/>
      <c r="E85" s="173"/>
      <c r="F85" s="173"/>
      <c r="G85" s="173"/>
      <c r="H85" s="173"/>
      <c r="I85" s="173"/>
      <c r="J85" s="173"/>
      <c r="K85" s="173"/>
      <c r="L85" s="173"/>
    </row>
    <row r="86" spans="4:12" ht="20.100000000000001" customHeight="1" x14ac:dyDescent="0.25">
      <c r="D86" s="191" t="s">
        <v>755</v>
      </c>
      <c r="E86" s="223" t="s">
        <v>756</v>
      </c>
      <c r="F86" s="191" t="s">
        <v>757</v>
      </c>
      <c r="G86" s="223" t="s">
        <v>758</v>
      </c>
      <c r="H86" s="223" t="s">
        <v>759</v>
      </c>
      <c r="I86" s="223" t="s">
        <v>760</v>
      </c>
      <c r="J86" s="223" t="s">
        <v>761</v>
      </c>
      <c r="K86" s="173"/>
      <c r="L86" s="173"/>
    </row>
    <row r="87" spans="4:12" ht="20.100000000000001" customHeight="1" x14ac:dyDescent="0.25">
      <c r="D87" s="226" t="str" cm="1">
        <f t="array" ref="D87">Common_InputFunctions.Utility_DisplayArrayInTable(Fuel_SourceData.Fuel_Scope1EmissionFactorsStationaryGaseous_Data(), Table_Fuel_EFs_StationaryGaseous[[#Headers],[Fuel combusted]],0)</f>
        <v>Natural gas distributed in a pipeline</v>
      </c>
      <c r="E87" s="226" cm="1">
        <f t="array" ref="E87">Common_InputFunctions.Utility_DisplayArrayInTable(Fuel_SourceData.Fuel_Scope1EmissionFactorsStationaryGaseous_Data(), Table_Fuel_EFs_StationaryGaseous[[#Headers],[Fuel combusted]],0)</f>
        <v>3.9300000000000002E-2</v>
      </c>
      <c r="F87" s="226" t="str" cm="1">
        <f t="array" ref="F87">Common_InputFunctions.Utility_DisplayArrayInTable(Fuel_SourceData.Fuel_Scope1EmissionFactorsStationaryGaseous_Data(), Table_Fuel_EFs_StationaryGaseous[[#Headers],[Fuel combusted]],0)</f>
        <v>m3</v>
      </c>
      <c r="G87" s="226" cm="1">
        <f t="array" ref="G87">Common_InputFunctions.Utility_DisplayArrayInTable(Fuel_SourceData.Fuel_Scope1EmissionFactorsStationaryGaseous_Data(), Table_Fuel_EFs_StationaryGaseous[[#Headers],[Fuel combusted]],0)</f>
        <v>51.4</v>
      </c>
      <c r="H87" s="226" cm="1">
        <f t="array" ref="H87">Common_InputFunctions.Utility_DisplayArrayInTable(Fuel_SourceData.Fuel_Scope1EmissionFactorsStationaryGaseous_Data(), Table_Fuel_EFs_StationaryGaseous[[#Headers],[Fuel combusted]],0)</f>
        <v>0.1</v>
      </c>
      <c r="I87" s="226" cm="1">
        <f t="array" ref="I87">Common_InputFunctions.Utility_DisplayArrayInTable(Fuel_SourceData.Fuel_Scope1EmissionFactorsStationaryGaseous_Data(), Table_Fuel_EFs_StationaryGaseous[[#Headers],[Fuel combusted]],0)</f>
        <v>0.03</v>
      </c>
      <c r="J87" s="226" cm="1">
        <f t="array" ref="J87">Common_InputFunctions.Utility_DisplayArrayInTable(Fuel_SourceData.Fuel_Scope1EmissionFactorsStationaryGaseous_Data(), Table_Fuel_EFs_StationaryGaseous[[#Headers],[Fuel combusted]],0)</f>
        <v>51.53</v>
      </c>
      <c r="K87" s="173"/>
      <c r="L87" s="173"/>
    </row>
    <row r="88" spans="4:12" ht="20.100000000000001" customHeight="1" x14ac:dyDescent="0.25">
      <c r="D88" s="226" t="str" cm="1">
        <f t="array" ref="D88">Common_InputFunctions.Utility_DisplayArrayInTable(Fuel_SourceData.Fuel_Scope1EmissionFactorsStationaryGaseous_Data(), Table_Fuel_EFs_StationaryGaseous[[#Headers],[Fuel combusted]],0)</f>
        <v>Coal seam methane that is captured for combustion</v>
      </c>
      <c r="E88" s="226" cm="1">
        <f t="array" ref="E88">Common_InputFunctions.Utility_DisplayArrayInTable(Fuel_SourceData.Fuel_Scope1EmissionFactorsStationaryGaseous_Data(), Table_Fuel_EFs_StationaryGaseous[[#Headers],[Fuel combusted]],0)</f>
        <v>3.7699999999999997E-2</v>
      </c>
      <c r="F88" s="226" t="str" cm="1">
        <f t="array" ref="F88">Common_InputFunctions.Utility_DisplayArrayInTable(Fuel_SourceData.Fuel_Scope1EmissionFactorsStationaryGaseous_Data(), Table_Fuel_EFs_StationaryGaseous[[#Headers],[Fuel combusted]],0)</f>
        <v>m3</v>
      </c>
      <c r="G88" s="226" cm="1">
        <f t="array" ref="G88">Common_InputFunctions.Utility_DisplayArrayInTable(Fuel_SourceData.Fuel_Scope1EmissionFactorsStationaryGaseous_Data(), Table_Fuel_EFs_StationaryGaseous[[#Headers],[Fuel combusted]],0)</f>
        <v>51.4</v>
      </c>
      <c r="H88" s="226" cm="1">
        <f t="array" ref="H88">Common_InputFunctions.Utility_DisplayArrayInTable(Fuel_SourceData.Fuel_Scope1EmissionFactorsStationaryGaseous_Data(), Table_Fuel_EFs_StationaryGaseous[[#Headers],[Fuel combusted]],0)</f>
        <v>0.2</v>
      </c>
      <c r="I88" s="226" cm="1">
        <f t="array" ref="I88">Common_InputFunctions.Utility_DisplayArrayInTable(Fuel_SourceData.Fuel_Scope1EmissionFactorsStationaryGaseous_Data(), Table_Fuel_EFs_StationaryGaseous[[#Headers],[Fuel combusted]],0)</f>
        <v>0.03</v>
      </c>
      <c r="J88" s="226" cm="1">
        <f t="array" ref="J88">Common_InputFunctions.Utility_DisplayArrayInTable(Fuel_SourceData.Fuel_Scope1EmissionFactorsStationaryGaseous_Data(), Table_Fuel_EFs_StationaryGaseous[[#Headers],[Fuel combusted]],0)</f>
        <v>51.63</v>
      </c>
      <c r="K88" s="173"/>
      <c r="L88" s="173"/>
    </row>
    <row r="89" spans="4:12" ht="20.100000000000001" customHeight="1" x14ac:dyDescent="0.25">
      <c r="D89" s="226" t="str" cm="1">
        <f t="array" ref="D89">Common_InputFunctions.Utility_DisplayArrayInTable(Fuel_SourceData.Fuel_Scope1EmissionFactorsStationaryGaseous_Data(), Table_Fuel_EFs_StationaryGaseous[[#Headers],[Fuel combusted]],0)</f>
        <v>Coal mine waste gas that is captured for combustion</v>
      </c>
      <c r="E89" s="226" cm="1">
        <f t="array" ref="E89">Common_InputFunctions.Utility_DisplayArrayInTable(Fuel_SourceData.Fuel_Scope1EmissionFactorsStationaryGaseous_Data(), Table_Fuel_EFs_StationaryGaseous[[#Headers],[Fuel combusted]],0)</f>
        <v>3.7699999999999997E-2</v>
      </c>
      <c r="F89" s="226" t="str" cm="1">
        <f t="array" ref="F89">Common_InputFunctions.Utility_DisplayArrayInTable(Fuel_SourceData.Fuel_Scope1EmissionFactorsStationaryGaseous_Data(), Table_Fuel_EFs_StationaryGaseous[[#Headers],[Fuel combusted]],0)</f>
        <v>m3</v>
      </c>
      <c r="G89" s="226" cm="1">
        <f t="array" ref="G89">Common_InputFunctions.Utility_DisplayArrayInTable(Fuel_SourceData.Fuel_Scope1EmissionFactorsStationaryGaseous_Data(), Table_Fuel_EFs_StationaryGaseous[[#Headers],[Fuel combusted]],0)</f>
        <v>51.9</v>
      </c>
      <c r="H89" s="226" cm="1">
        <f t="array" ref="H89">Common_InputFunctions.Utility_DisplayArrayInTable(Fuel_SourceData.Fuel_Scope1EmissionFactorsStationaryGaseous_Data(), Table_Fuel_EFs_StationaryGaseous[[#Headers],[Fuel combusted]],0)</f>
        <v>4.5999999999999996</v>
      </c>
      <c r="I89" s="226" cm="1">
        <f t="array" ref="I89">Common_InputFunctions.Utility_DisplayArrayInTable(Fuel_SourceData.Fuel_Scope1EmissionFactorsStationaryGaseous_Data(), Table_Fuel_EFs_StationaryGaseous[[#Headers],[Fuel combusted]],0)</f>
        <v>0.3</v>
      </c>
      <c r="J89" s="226" cm="1">
        <f t="array" ref="J89">Common_InputFunctions.Utility_DisplayArrayInTable(Fuel_SourceData.Fuel_Scope1EmissionFactorsStationaryGaseous_Data(), Table_Fuel_EFs_StationaryGaseous[[#Headers],[Fuel combusted]],0)</f>
        <v>56.8</v>
      </c>
      <c r="K89" s="173"/>
      <c r="L89" s="173"/>
    </row>
    <row r="90" spans="4:12" ht="20.100000000000001" customHeight="1" x14ac:dyDescent="0.25">
      <c r="D90" s="226" t="str" cm="1">
        <f t="array" ref="D90">Common_InputFunctions.Utility_DisplayArrayInTable(Fuel_SourceData.Fuel_Scope1EmissionFactorsStationaryGaseous_Data(), Table_Fuel_EFs_StationaryGaseous[[#Headers],[Fuel combusted]],0)</f>
        <v>Compressed natural gas(reverting to standard conditions)</v>
      </c>
      <c r="E90" s="226" cm="1">
        <f t="array" ref="E90">Common_InputFunctions.Utility_DisplayArrayInTable(Fuel_SourceData.Fuel_Scope1EmissionFactorsStationaryGaseous_Data(), Table_Fuel_EFs_StationaryGaseous[[#Headers],[Fuel combusted]],0)</f>
        <v>3.9300000000000002E-2</v>
      </c>
      <c r="F90" s="226" t="str" cm="1">
        <f t="array" ref="F90">Common_InputFunctions.Utility_DisplayArrayInTable(Fuel_SourceData.Fuel_Scope1EmissionFactorsStationaryGaseous_Data(), Table_Fuel_EFs_StationaryGaseous[[#Headers],[Fuel combusted]],0)</f>
        <v>m3</v>
      </c>
      <c r="G90" s="226" cm="1">
        <f t="array" ref="G90">Common_InputFunctions.Utility_DisplayArrayInTable(Fuel_SourceData.Fuel_Scope1EmissionFactorsStationaryGaseous_Data(), Table_Fuel_EFs_StationaryGaseous[[#Headers],[Fuel combusted]],0)</f>
        <v>51.4</v>
      </c>
      <c r="H90" s="226" cm="1">
        <f t="array" ref="H90">Common_InputFunctions.Utility_DisplayArrayInTable(Fuel_SourceData.Fuel_Scope1EmissionFactorsStationaryGaseous_Data(), Table_Fuel_EFs_StationaryGaseous[[#Headers],[Fuel combusted]],0)</f>
        <v>0.1</v>
      </c>
      <c r="I90" s="226" cm="1">
        <f t="array" ref="I90">Common_InputFunctions.Utility_DisplayArrayInTable(Fuel_SourceData.Fuel_Scope1EmissionFactorsStationaryGaseous_Data(), Table_Fuel_EFs_StationaryGaseous[[#Headers],[Fuel combusted]],0)</f>
        <v>0.03</v>
      </c>
      <c r="J90" s="226" cm="1">
        <f t="array" ref="J90">Common_InputFunctions.Utility_DisplayArrayInTable(Fuel_SourceData.Fuel_Scope1EmissionFactorsStationaryGaseous_Data(), Table_Fuel_EFs_StationaryGaseous[[#Headers],[Fuel combusted]],0)</f>
        <v>51.53</v>
      </c>
      <c r="K90" s="173"/>
      <c r="L90" s="173"/>
    </row>
    <row r="91" spans="4:12" ht="20.100000000000001" customHeight="1" x14ac:dyDescent="0.25">
      <c r="D91" s="226" t="str" cm="1">
        <f t="array" ref="D91">Common_InputFunctions.Utility_DisplayArrayInTable(Fuel_SourceData.Fuel_Scope1EmissionFactorsStationaryGaseous_Data(), Table_Fuel_EFs_StationaryGaseous[[#Headers],[Fuel combusted]],0)</f>
        <v>Unprocessed natural gas</v>
      </c>
      <c r="E91" s="226" cm="1">
        <f t="array" ref="E91">Common_InputFunctions.Utility_DisplayArrayInTable(Fuel_SourceData.Fuel_Scope1EmissionFactorsStationaryGaseous_Data(), Table_Fuel_EFs_StationaryGaseous[[#Headers],[Fuel combusted]],0)</f>
        <v>3.9300000000000002E-2</v>
      </c>
      <c r="F91" s="226" t="str" cm="1">
        <f t="array" ref="F91">Common_InputFunctions.Utility_DisplayArrayInTable(Fuel_SourceData.Fuel_Scope1EmissionFactorsStationaryGaseous_Data(), Table_Fuel_EFs_StationaryGaseous[[#Headers],[Fuel combusted]],0)</f>
        <v>m3</v>
      </c>
      <c r="G91" s="226" cm="1">
        <f t="array" ref="G91">Common_InputFunctions.Utility_DisplayArrayInTable(Fuel_SourceData.Fuel_Scope1EmissionFactorsStationaryGaseous_Data(), Table_Fuel_EFs_StationaryGaseous[[#Headers],[Fuel combusted]],0)</f>
        <v>51.4</v>
      </c>
      <c r="H91" s="226" cm="1">
        <f t="array" ref="H91">Common_InputFunctions.Utility_DisplayArrayInTable(Fuel_SourceData.Fuel_Scope1EmissionFactorsStationaryGaseous_Data(), Table_Fuel_EFs_StationaryGaseous[[#Headers],[Fuel combusted]],0)</f>
        <v>0.1</v>
      </c>
      <c r="I91" s="226" cm="1">
        <f t="array" ref="I91">Common_InputFunctions.Utility_DisplayArrayInTable(Fuel_SourceData.Fuel_Scope1EmissionFactorsStationaryGaseous_Data(), Table_Fuel_EFs_StationaryGaseous[[#Headers],[Fuel combusted]],0)</f>
        <v>0.03</v>
      </c>
      <c r="J91" s="226" cm="1">
        <f t="array" ref="J91">Common_InputFunctions.Utility_DisplayArrayInTable(Fuel_SourceData.Fuel_Scope1EmissionFactorsStationaryGaseous_Data(), Table_Fuel_EFs_StationaryGaseous[[#Headers],[Fuel combusted]],0)</f>
        <v>51.53</v>
      </c>
      <c r="K91" s="173"/>
      <c r="L91" s="173"/>
    </row>
    <row r="92" spans="4:12" ht="20.100000000000001" customHeight="1" x14ac:dyDescent="0.25">
      <c r="D92" s="226" t="str" cm="1">
        <f t="array" ref="D92">Common_InputFunctions.Utility_DisplayArrayInTable(Fuel_SourceData.Fuel_Scope1EmissionFactorsStationaryGaseous_Data(), Table_Fuel_EFs_StationaryGaseous[[#Headers],[Fuel combusted]],0)</f>
        <v>Ethane</v>
      </c>
      <c r="E92" s="226" cm="1">
        <f t="array" ref="E92">Common_InputFunctions.Utility_DisplayArrayInTable(Fuel_SourceData.Fuel_Scope1EmissionFactorsStationaryGaseous_Data(), Table_Fuel_EFs_StationaryGaseous[[#Headers],[Fuel combusted]],0)</f>
        <v>6.2899999999999998E-2</v>
      </c>
      <c r="F92" s="226" t="str" cm="1">
        <f t="array" ref="F92">Common_InputFunctions.Utility_DisplayArrayInTable(Fuel_SourceData.Fuel_Scope1EmissionFactorsStationaryGaseous_Data(), Table_Fuel_EFs_StationaryGaseous[[#Headers],[Fuel combusted]],0)</f>
        <v>m3</v>
      </c>
      <c r="G92" s="226" cm="1">
        <f t="array" ref="G92">Common_InputFunctions.Utility_DisplayArrayInTable(Fuel_SourceData.Fuel_Scope1EmissionFactorsStationaryGaseous_Data(), Table_Fuel_EFs_StationaryGaseous[[#Headers],[Fuel combusted]],0)</f>
        <v>56.5</v>
      </c>
      <c r="H92" s="226" cm="1">
        <f t="array" ref="H92">Common_InputFunctions.Utility_DisplayArrayInTable(Fuel_SourceData.Fuel_Scope1EmissionFactorsStationaryGaseous_Data(), Table_Fuel_EFs_StationaryGaseous[[#Headers],[Fuel combusted]],0)</f>
        <v>0.03</v>
      </c>
      <c r="I92" s="226" cm="1">
        <f t="array" ref="I92">Common_InputFunctions.Utility_DisplayArrayInTable(Fuel_SourceData.Fuel_Scope1EmissionFactorsStationaryGaseous_Data(), Table_Fuel_EFs_StationaryGaseous[[#Headers],[Fuel combusted]],0)</f>
        <v>0.03</v>
      </c>
      <c r="J92" s="226" cm="1">
        <f t="array" ref="J92">Common_InputFunctions.Utility_DisplayArrayInTable(Fuel_SourceData.Fuel_Scope1EmissionFactorsStationaryGaseous_Data(), Table_Fuel_EFs_StationaryGaseous[[#Headers],[Fuel combusted]],0)</f>
        <v>56.56</v>
      </c>
      <c r="K92" s="173"/>
      <c r="L92" s="173"/>
    </row>
    <row r="93" spans="4:12" ht="20.100000000000001" customHeight="1" x14ac:dyDescent="0.25">
      <c r="D93" s="226" t="str" cm="1">
        <f t="array" ref="D93">Common_InputFunctions.Utility_DisplayArrayInTable(Fuel_SourceData.Fuel_Scope1EmissionFactorsStationaryGaseous_Data(), Table_Fuel_EFs_StationaryGaseous[[#Headers],[Fuel combusted]],0)</f>
        <v>Coke oven gas</v>
      </c>
      <c r="E93" s="226" cm="1">
        <f t="array" ref="E93">Common_InputFunctions.Utility_DisplayArrayInTable(Fuel_SourceData.Fuel_Scope1EmissionFactorsStationaryGaseous_Data(), Table_Fuel_EFs_StationaryGaseous[[#Headers],[Fuel combusted]],0)</f>
        <v>1.8100000000000002E-2</v>
      </c>
      <c r="F93" s="226" t="str" cm="1">
        <f t="array" ref="F93">Common_InputFunctions.Utility_DisplayArrayInTable(Fuel_SourceData.Fuel_Scope1EmissionFactorsStationaryGaseous_Data(), Table_Fuel_EFs_StationaryGaseous[[#Headers],[Fuel combusted]],0)</f>
        <v>m3</v>
      </c>
      <c r="G93" s="226" cm="1">
        <f t="array" ref="G93">Common_InputFunctions.Utility_DisplayArrayInTable(Fuel_SourceData.Fuel_Scope1EmissionFactorsStationaryGaseous_Data(), Table_Fuel_EFs_StationaryGaseous[[#Headers],[Fuel combusted]],0)</f>
        <v>37</v>
      </c>
      <c r="H93" s="226" cm="1">
        <f t="array" ref="H93">Common_InputFunctions.Utility_DisplayArrayInTable(Fuel_SourceData.Fuel_Scope1EmissionFactorsStationaryGaseous_Data(), Table_Fuel_EFs_StationaryGaseous[[#Headers],[Fuel combusted]],0)</f>
        <v>0.03</v>
      </c>
      <c r="I93" s="226" cm="1">
        <f t="array" ref="I93">Common_InputFunctions.Utility_DisplayArrayInTable(Fuel_SourceData.Fuel_Scope1EmissionFactorsStationaryGaseous_Data(), Table_Fuel_EFs_StationaryGaseous[[#Headers],[Fuel combusted]],0)</f>
        <v>0.05</v>
      </c>
      <c r="J93" s="226" cm="1">
        <f t="array" ref="J93">Common_InputFunctions.Utility_DisplayArrayInTable(Fuel_SourceData.Fuel_Scope1EmissionFactorsStationaryGaseous_Data(), Table_Fuel_EFs_StationaryGaseous[[#Headers],[Fuel combusted]],0)</f>
        <v>37.08</v>
      </c>
      <c r="K93" s="173"/>
      <c r="L93" s="173"/>
    </row>
    <row r="94" spans="4:12" ht="20.100000000000001" customHeight="1" x14ac:dyDescent="0.25">
      <c r="D94" s="226" t="str" cm="1">
        <f t="array" ref="D94">Common_InputFunctions.Utility_DisplayArrayInTable(Fuel_SourceData.Fuel_Scope1EmissionFactorsStationaryGaseous_Data(), Table_Fuel_EFs_StationaryGaseous[[#Headers],[Fuel combusted]],0)</f>
        <v>Blast furnace gas</v>
      </c>
      <c r="E94" s="226" cm="1">
        <f t="array" ref="E94">Common_InputFunctions.Utility_DisplayArrayInTable(Fuel_SourceData.Fuel_Scope1EmissionFactorsStationaryGaseous_Data(), Table_Fuel_EFs_StationaryGaseous[[#Headers],[Fuel combusted]],0)</f>
        <v>4.0000000000000001E-3</v>
      </c>
      <c r="F94" s="226" t="str" cm="1">
        <f t="array" ref="F94">Common_InputFunctions.Utility_DisplayArrayInTable(Fuel_SourceData.Fuel_Scope1EmissionFactorsStationaryGaseous_Data(), Table_Fuel_EFs_StationaryGaseous[[#Headers],[Fuel combusted]],0)</f>
        <v>m3</v>
      </c>
      <c r="G94" s="226" cm="1">
        <f t="array" ref="G94">Common_InputFunctions.Utility_DisplayArrayInTable(Fuel_SourceData.Fuel_Scope1EmissionFactorsStationaryGaseous_Data(), Table_Fuel_EFs_StationaryGaseous[[#Headers],[Fuel combusted]],0)</f>
        <v>234</v>
      </c>
      <c r="H94" s="226" cm="1">
        <f t="array" ref="H94">Common_InputFunctions.Utility_DisplayArrayInTable(Fuel_SourceData.Fuel_Scope1EmissionFactorsStationaryGaseous_Data(), Table_Fuel_EFs_StationaryGaseous[[#Headers],[Fuel combusted]],0)</f>
        <v>0.03</v>
      </c>
      <c r="I94" s="226" cm="1">
        <f t="array" ref="I94">Common_InputFunctions.Utility_DisplayArrayInTable(Fuel_SourceData.Fuel_Scope1EmissionFactorsStationaryGaseous_Data(), Table_Fuel_EFs_StationaryGaseous[[#Headers],[Fuel combusted]],0)</f>
        <v>0.02</v>
      </c>
      <c r="J94" s="226" cm="1">
        <f t="array" ref="J94">Common_InputFunctions.Utility_DisplayArrayInTable(Fuel_SourceData.Fuel_Scope1EmissionFactorsStationaryGaseous_Data(), Table_Fuel_EFs_StationaryGaseous[[#Headers],[Fuel combusted]],0)</f>
        <v>234.05</v>
      </c>
      <c r="K94" s="173"/>
      <c r="L94" s="173"/>
    </row>
    <row r="95" spans="4:12" ht="20.100000000000001" customHeight="1" x14ac:dyDescent="0.25">
      <c r="D95" s="226" t="str" cm="1">
        <f t="array" ref="D95">Common_InputFunctions.Utility_DisplayArrayInTable(Fuel_SourceData.Fuel_Scope1EmissionFactorsStationaryGaseous_Data(), Table_Fuel_EFs_StationaryGaseous[[#Headers],[Fuel combusted]],0)</f>
        <v>Town gas</v>
      </c>
      <c r="E95" s="226" cm="1">
        <f t="array" ref="E95">Common_InputFunctions.Utility_DisplayArrayInTable(Fuel_SourceData.Fuel_Scope1EmissionFactorsStationaryGaseous_Data(), Table_Fuel_EFs_StationaryGaseous[[#Headers],[Fuel combusted]],0)</f>
        <v>3.9E-2</v>
      </c>
      <c r="F95" s="226" t="str" cm="1">
        <f t="array" ref="F95">Common_InputFunctions.Utility_DisplayArrayInTable(Fuel_SourceData.Fuel_Scope1EmissionFactorsStationaryGaseous_Data(), Table_Fuel_EFs_StationaryGaseous[[#Headers],[Fuel combusted]],0)</f>
        <v>m3</v>
      </c>
      <c r="G95" s="226" cm="1">
        <f t="array" ref="G95">Common_InputFunctions.Utility_DisplayArrayInTable(Fuel_SourceData.Fuel_Scope1EmissionFactorsStationaryGaseous_Data(), Table_Fuel_EFs_StationaryGaseous[[#Headers],[Fuel combusted]],0)</f>
        <v>60.2</v>
      </c>
      <c r="H95" s="226" cm="1">
        <f t="array" ref="H95">Common_InputFunctions.Utility_DisplayArrayInTable(Fuel_SourceData.Fuel_Scope1EmissionFactorsStationaryGaseous_Data(), Table_Fuel_EFs_StationaryGaseous[[#Headers],[Fuel combusted]],0)</f>
        <v>0.04</v>
      </c>
      <c r="I95" s="226" cm="1">
        <f t="array" ref="I95">Common_InputFunctions.Utility_DisplayArrayInTable(Fuel_SourceData.Fuel_Scope1EmissionFactorsStationaryGaseous_Data(), Table_Fuel_EFs_StationaryGaseous[[#Headers],[Fuel combusted]],0)</f>
        <v>0.03</v>
      </c>
      <c r="J95" s="226" cm="1">
        <f t="array" ref="J95">Common_InputFunctions.Utility_DisplayArrayInTable(Fuel_SourceData.Fuel_Scope1EmissionFactorsStationaryGaseous_Data(), Table_Fuel_EFs_StationaryGaseous[[#Headers],[Fuel combusted]],0)</f>
        <v>60.27</v>
      </c>
      <c r="K95" s="173"/>
      <c r="L95" s="173"/>
    </row>
    <row r="96" spans="4:12" ht="20.100000000000001" customHeight="1" x14ac:dyDescent="0.25">
      <c r="D96" s="226" t="str" cm="1">
        <f t="array" ref="D96">Common_InputFunctions.Utility_DisplayArrayInTable(Fuel_SourceData.Fuel_Scope1EmissionFactorsStationaryGaseous_Data(), Table_Fuel_EFs_StationaryGaseous[[#Headers],[Fuel combusted]],0)</f>
        <v>Liquefied natural gas</v>
      </c>
      <c r="E96" s="226" cm="1">
        <f t="array" ref="E96">Common_InputFunctions.Utility_DisplayArrayInTable(Fuel_SourceData.Fuel_Scope1EmissionFactorsStationaryGaseous_Data(), Table_Fuel_EFs_StationaryGaseous[[#Headers],[Fuel combusted]],0)</f>
        <v>25.3</v>
      </c>
      <c r="F96" s="226" t="str" cm="1">
        <f t="array" ref="F96">Common_InputFunctions.Utility_DisplayArrayInTable(Fuel_SourceData.Fuel_Scope1EmissionFactorsStationaryGaseous_Data(), Table_Fuel_EFs_StationaryGaseous[[#Headers],[Fuel combusted]],0)</f>
        <v>kL</v>
      </c>
      <c r="G96" s="226" cm="1">
        <f t="array" ref="G96">Common_InputFunctions.Utility_DisplayArrayInTable(Fuel_SourceData.Fuel_Scope1EmissionFactorsStationaryGaseous_Data(), Table_Fuel_EFs_StationaryGaseous[[#Headers],[Fuel combusted]],0)</f>
        <v>51.4</v>
      </c>
      <c r="H96" s="226" cm="1">
        <f t="array" ref="H96">Common_InputFunctions.Utility_DisplayArrayInTable(Fuel_SourceData.Fuel_Scope1EmissionFactorsStationaryGaseous_Data(), Table_Fuel_EFs_StationaryGaseous[[#Headers],[Fuel combusted]],0)</f>
        <v>0.1</v>
      </c>
      <c r="I96" s="226" cm="1">
        <f t="array" ref="I96">Common_InputFunctions.Utility_DisplayArrayInTable(Fuel_SourceData.Fuel_Scope1EmissionFactorsStationaryGaseous_Data(), Table_Fuel_EFs_StationaryGaseous[[#Headers],[Fuel combusted]],0)</f>
        <v>0.03</v>
      </c>
      <c r="J96" s="226" cm="1">
        <f t="array" ref="J96">Common_InputFunctions.Utility_DisplayArrayInTable(Fuel_SourceData.Fuel_Scope1EmissionFactorsStationaryGaseous_Data(), Table_Fuel_EFs_StationaryGaseous[[#Headers],[Fuel combusted]],0)</f>
        <v>51.53</v>
      </c>
      <c r="K96" s="173"/>
      <c r="L96" s="173"/>
    </row>
    <row r="97" spans="4:13" ht="20.100000000000001" customHeight="1" x14ac:dyDescent="0.25">
      <c r="D97" s="226" t="str" cm="1">
        <f t="array" ref="D97">Common_InputFunctions.Utility_DisplayArrayInTable(Fuel_SourceData.Fuel_Scope1EmissionFactorsStationaryGaseous_Data(), Table_Fuel_EFs_StationaryGaseous[[#Headers],[Fuel combusted]],0)</f>
        <v>Gaseous fossil fuels other than those mentioned in the items above</v>
      </c>
      <c r="E97" s="226" cm="1">
        <f t="array" ref="E97">Common_InputFunctions.Utility_DisplayArrayInTable(Fuel_SourceData.Fuel_Scope1EmissionFactorsStationaryGaseous_Data(), Table_Fuel_EFs_StationaryGaseous[[#Headers],[Fuel combusted]],0)</f>
        <v>3.9E-2</v>
      </c>
      <c r="F97" s="226" t="str" cm="1">
        <f t="array" ref="F97">Common_InputFunctions.Utility_DisplayArrayInTable(Fuel_SourceData.Fuel_Scope1EmissionFactorsStationaryGaseous_Data(), Table_Fuel_EFs_StationaryGaseous[[#Headers],[Fuel combusted]],0)</f>
        <v>m3</v>
      </c>
      <c r="G97" s="226" cm="1">
        <f t="array" ref="G97">Common_InputFunctions.Utility_DisplayArrayInTable(Fuel_SourceData.Fuel_Scope1EmissionFactorsStationaryGaseous_Data(), Table_Fuel_EFs_StationaryGaseous[[#Headers],[Fuel combusted]],0)</f>
        <v>51.4</v>
      </c>
      <c r="H97" s="226" cm="1">
        <f t="array" ref="H97">Common_InputFunctions.Utility_DisplayArrayInTable(Fuel_SourceData.Fuel_Scope1EmissionFactorsStationaryGaseous_Data(), Table_Fuel_EFs_StationaryGaseous[[#Headers],[Fuel combusted]],0)</f>
        <v>0.1</v>
      </c>
      <c r="I97" s="226" cm="1">
        <f t="array" ref="I97">Common_InputFunctions.Utility_DisplayArrayInTable(Fuel_SourceData.Fuel_Scope1EmissionFactorsStationaryGaseous_Data(), Table_Fuel_EFs_StationaryGaseous[[#Headers],[Fuel combusted]],0)</f>
        <v>0.03</v>
      </c>
      <c r="J97" s="226" cm="1">
        <f t="array" ref="J97">Common_InputFunctions.Utility_DisplayArrayInTable(Fuel_SourceData.Fuel_Scope1EmissionFactorsStationaryGaseous_Data(), Table_Fuel_EFs_StationaryGaseous[[#Headers],[Fuel combusted]],0)</f>
        <v>51.53</v>
      </c>
      <c r="K97" s="173"/>
      <c r="L97" s="173"/>
    </row>
    <row r="98" spans="4:13" ht="20.100000000000001" customHeight="1" x14ac:dyDescent="0.25">
      <c r="D98" s="226" t="str" cm="1">
        <f t="array" ref="D98">Common_InputFunctions.Utility_DisplayArrayInTable(Fuel_SourceData.Fuel_Scope1EmissionFactorsStationaryGaseous_Data(), Table_Fuel_EFs_StationaryGaseous[[#Headers],[Fuel combusted]],0)</f>
        <v>Landfill biogas that is captured for combustion (methane only)</v>
      </c>
      <c r="E98" s="226" cm="1">
        <f t="array" ref="E98">Common_InputFunctions.Utility_DisplayArrayInTable(Fuel_SourceData.Fuel_Scope1EmissionFactorsStationaryGaseous_Data(), Table_Fuel_EFs_StationaryGaseous[[#Headers],[Fuel combusted]],0)</f>
        <v>3.7699999999999997E-2</v>
      </c>
      <c r="F98" s="226" t="str" cm="1">
        <f t="array" ref="F98">Common_InputFunctions.Utility_DisplayArrayInTable(Fuel_SourceData.Fuel_Scope1EmissionFactorsStationaryGaseous_Data(), Table_Fuel_EFs_StationaryGaseous[[#Headers],[Fuel combusted]],0)</f>
        <v>m3</v>
      </c>
      <c r="G98" s="226" cm="1">
        <f t="array" ref="G98">Common_InputFunctions.Utility_DisplayArrayInTable(Fuel_SourceData.Fuel_Scope1EmissionFactorsStationaryGaseous_Data(), Table_Fuel_EFs_StationaryGaseous[[#Headers],[Fuel combusted]],0)</f>
        <v>0</v>
      </c>
      <c r="H98" s="226" cm="1">
        <f t="array" ref="H98">Common_InputFunctions.Utility_DisplayArrayInTable(Fuel_SourceData.Fuel_Scope1EmissionFactorsStationaryGaseous_Data(), Table_Fuel_EFs_StationaryGaseous[[#Headers],[Fuel combusted]],0)</f>
        <v>6.4</v>
      </c>
      <c r="I98" s="226" cm="1">
        <f t="array" ref="I98">Common_InputFunctions.Utility_DisplayArrayInTable(Fuel_SourceData.Fuel_Scope1EmissionFactorsStationaryGaseous_Data(), Table_Fuel_EFs_StationaryGaseous[[#Headers],[Fuel combusted]],0)</f>
        <v>0.03</v>
      </c>
      <c r="J98" s="226" cm="1">
        <f t="array" ref="J98">Common_InputFunctions.Utility_DisplayArrayInTable(Fuel_SourceData.Fuel_Scope1EmissionFactorsStationaryGaseous_Data(), Table_Fuel_EFs_StationaryGaseous[[#Headers],[Fuel combusted]],0)</f>
        <v>6.43</v>
      </c>
      <c r="K98" s="173"/>
      <c r="L98" s="173"/>
    </row>
    <row r="99" spans="4:13" ht="20.100000000000001" customHeight="1" x14ac:dyDescent="0.25">
      <c r="D99" s="226" t="str" cm="1">
        <f t="array" ref="D99">Common_InputFunctions.Utility_DisplayArrayInTable(Fuel_SourceData.Fuel_Scope1EmissionFactorsStationaryGaseous_Data(), Table_Fuel_EFs_StationaryGaseous[[#Headers],[Fuel combusted]],0)</f>
        <v>Sludge biogas that is captured for combustion (methane only)</v>
      </c>
      <c r="E99" s="226" cm="1">
        <f t="array" ref="E99">Common_InputFunctions.Utility_DisplayArrayInTable(Fuel_SourceData.Fuel_Scope1EmissionFactorsStationaryGaseous_Data(), Table_Fuel_EFs_StationaryGaseous[[#Headers],[Fuel combusted]],0)</f>
        <v>3.7699999999999997E-2</v>
      </c>
      <c r="F99" s="226" t="str" cm="1">
        <f t="array" ref="F99">Common_InputFunctions.Utility_DisplayArrayInTable(Fuel_SourceData.Fuel_Scope1EmissionFactorsStationaryGaseous_Data(), Table_Fuel_EFs_StationaryGaseous[[#Headers],[Fuel combusted]],0)</f>
        <v>m3</v>
      </c>
      <c r="G99" s="226" cm="1">
        <f t="array" ref="G99">Common_InputFunctions.Utility_DisplayArrayInTable(Fuel_SourceData.Fuel_Scope1EmissionFactorsStationaryGaseous_Data(), Table_Fuel_EFs_StationaryGaseous[[#Headers],[Fuel combusted]],0)</f>
        <v>0</v>
      </c>
      <c r="H99" s="226" cm="1">
        <f t="array" ref="H99">Common_InputFunctions.Utility_DisplayArrayInTable(Fuel_SourceData.Fuel_Scope1EmissionFactorsStationaryGaseous_Data(), Table_Fuel_EFs_StationaryGaseous[[#Headers],[Fuel combusted]],0)</f>
        <v>6.4</v>
      </c>
      <c r="I99" s="226" cm="1">
        <f t="array" ref="I99">Common_InputFunctions.Utility_DisplayArrayInTable(Fuel_SourceData.Fuel_Scope1EmissionFactorsStationaryGaseous_Data(), Table_Fuel_EFs_StationaryGaseous[[#Headers],[Fuel combusted]],0)</f>
        <v>0.03</v>
      </c>
      <c r="J99" s="226" cm="1">
        <f t="array" ref="J99">Common_InputFunctions.Utility_DisplayArrayInTable(Fuel_SourceData.Fuel_Scope1EmissionFactorsStationaryGaseous_Data(), Table_Fuel_EFs_StationaryGaseous[[#Headers],[Fuel combusted]],0)</f>
        <v>6.43</v>
      </c>
      <c r="K99" s="173"/>
      <c r="L99" s="173"/>
    </row>
    <row r="100" spans="4:13" ht="20.100000000000001" customHeight="1" x14ac:dyDescent="0.25">
      <c r="D100" s="2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6" cm="1">
        <f t="array" ref="E100">Common_InputFunctions.Utility_DisplayArrayInTable(Fuel_SourceData.Fuel_Scope1EmissionFactorsStationaryGaseous_Data(), Table_Fuel_EFs_StationaryGaseous[[#Headers],[Fuel combusted]],0)</f>
        <v>3.6999999999999998E-2</v>
      </c>
      <c r="F100" s="226" t="str" cm="1">
        <f t="array" ref="F100">Common_InputFunctions.Utility_DisplayArrayInTable(Fuel_SourceData.Fuel_Scope1EmissionFactorsStationaryGaseous_Data(), Table_Fuel_EFs_StationaryGaseous[[#Headers],[Fuel combusted]],0)</f>
        <v>m3</v>
      </c>
      <c r="G100" s="226" cm="1">
        <f t="array" ref="G100">Common_InputFunctions.Utility_DisplayArrayInTable(Fuel_SourceData.Fuel_Scope1EmissionFactorsStationaryGaseous_Data(), Table_Fuel_EFs_StationaryGaseous[[#Headers],[Fuel combusted]],0)</f>
        <v>0</v>
      </c>
      <c r="H100" s="226" cm="1">
        <f t="array" ref="H100">Common_InputFunctions.Utility_DisplayArrayInTable(Fuel_SourceData.Fuel_Scope1EmissionFactorsStationaryGaseous_Data(), Table_Fuel_EFs_StationaryGaseous[[#Headers],[Fuel combusted]],0)</f>
        <v>6.4</v>
      </c>
      <c r="I100" s="226" cm="1">
        <f t="array" ref="I100">Common_InputFunctions.Utility_DisplayArrayInTable(Fuel_SourceData.Fuel_Scope1EmissionFactorsStationaryGaseous_Data(), Table_Fuel_EFs_StationaryGaseous[[#Headers],[Fuel combusted]],0)</f>
        <v>0.03</v>
      </c>
      <c r="J100" s="226" cm="1">
        <f t="array" ref="J100">Common_InputFunctions.Utility_DisplayArrayInTable(Fuel_SourceData.Fuel_Scope1EmissionFactorsStationaryGaseous_Data(), Table_Fuel_EFs_StationaryGaseous[[#Headers],[Fuel combusted]],0)</f>
        <v>6.43</v>
      </c>
      <c r="K100" s="173"/>
      <c r="L100" s="173"/>
    </row>
    <row r="101" spans="4:13" ht="20.100000000000001" customHeight="1" x14ac:dyDescent="0.25">
      <c r="D101" s="226" t="str" cm="1">
        <f t="array" ref="D101">Common_InputFunctions.Utility_DisplayArrayInTable(Fuel_SourceData.Fuel_Scope1EmissionFactorsStationaryGaseous_Data(), Table_Fuel_EFs_StationaryGaseous[[#Headers],[Fuel combusted]],0)</f>
        <v>Biomethane</v>
      </c>
      <c r="E101" s="226" cm="1">
        <f t="array" ref="E101">Common_InputFunctions.Utility_DisplayArrayInTable(Fuel_SourceData.Fuel_Scope1EmissionFactorsStationaryGaseous_Data(), Table_Fuel_EFs_StationaryGaseous[[#Headers],[Fuel combusted]],0)</f>
        <v>3.9300000000000002E-2</v>
      </c>
      <c r="F101" s="226" t="str" cm="1">
        <f t="array" ref="F101">Common_InputFunctions.Utility_DisplayArrayInTable(Fuel_SourceData.Fuel_Scope1EmissionFactorsStationaryGaseous_Data(), Table_Fuel_EFs_StationaryGaseous[[#Headers],[Fuel combusted]],0)</f>
        <v>m3</v>
      </c>
      <c r="G101" s="226" cm="1">
        <f t="array" ref="G101">Common_InputFunctions.Utility_DisplayArrayInTable(Fuel_SourceData.Fuel_Scope1EmissionFactorsStationaryGaseous_Data(), Table_Fuel_EFs_StationaryGaseous[[#Headers],[Fuel combusted]],0)</f>
        <v>0</v>
      </c>
      <c r="H101" s="226" cm="1">
        <f t="array" ref="H101">Common_InputFunctions.Utility_DisplayArrayInTable(Fuel_SourceData.Fuel_Scope1EmissionFactorsStationaryGaseous_Data(), Table_Fuel_EFs_StationaryGaseous[[#Headers],[Fuel combusted]],0)</f>
        <v>0.1</v>
      </c>
      <c r="I101" s="226" cm="1">
        <f t="array" ref="I101">Common_InputFunctions.Utility_DisplayArrayInTable(Fuel_SourceData.Fuel_Scope1EmissionFactorsStationaryGaseous_Data(), Table_Fuel_EFs_StationaryGaseous[[#Headers],[Fuel combusted]],0)</f>
        <v>0.03</v>
      </c>
      <c r="J101" s="226" cm="1">
        <f t="array" ref="J101">Common_InputFunctions.Utility_DisplayArrayInTable(Fuel_SourceData.Fuel_Scope1EmissionFactorsStationaryGaseous_Data(), Table_Fuel_EFs_StationaryGaseous[[#Headers],[Fuel combusted]],0)</f>
        <v>0.13</v>
      </c>
      <c r="K101" s="173"/>
      <c r="L101" s="173"/>
    </row>
    <row r="102" spans="4:13" ht="20.100000000000001" customHeight="1" x14ac:dyDescent="0.25">
      <c r="D102" s="226" t="str" cm="1">
        <f t="array" ref="D102">Common_InputFunctions.Utility_DisplayArrayInTable(Fuel_SourceData.Fuel_Scope1EmissionFactorsStationaryGaseous_Data(), Table_Fuel_EFs_StationaryGaseous[[#Headers],[Fuel combusted]],0)</f>
        <v>Hydrogen</v>
      </c>
      <c r="E102" s="226" cm="1">
        <f t="array" ref="E102">Common_InputFunctions.Utility_DisplayArrayInTable(Fuel_SourceData.Fuel_Scope1EmissionFactorsStationaryGaseous_Data(), Table_Fuel_EFs_StationaryGaseous[[#Headers],[Fuel combusted]],0)</f>
        <v>1.2200000000000001E-2</v>
      </c>
      <c r="F102" s="226" t="str" cm="1">
        <f t="array" ref="F102">Common_InputFunctions.Utility_DisplayArrayInTable(Fuel_SourceData.Fuel_Scope1EmissionFactorsStationaryGaseous_Data(), Table_Fuel_EFs_StationaryGaseous[[#Headers],[Fuel combusted]],0)</f>
        <v>m3</v>
      </c>
      <c r="G102" s="226" cm="1">
        <f t="array" ref="G102">Common_InputFunctions.Utility_DisplayArrayInTable(Fuel_SourceData.Fuel_Scope1EmissionFactorsStationaryGaseous_Data(), Table_Fuel_EFs_StationaryGaseous[[#Headers],[Fuel combusted]],0)</f>
        <v>0</v>
      </c>
      <c r="H102" s="226" cm="1">
        <f t="array" ref="H102">Common_InputFunctions.Utility_DisplayArrayInTable(Fuel_SourceData.Fuel_Scope1EmissionFactorsStationaryGaseous_Data(), Table_Fuel_EFs_StationaryGaseous[[#Headers],[Fuel combusted]],0)</f>
        <v>0</v>
      </c>
      <c r="I102" s="226" cm="1">
        <f t="array" ref="I102">Common_InputFunctions.Utility_DisplayArrayInTable(Fuel_SourceData.Fuel_Scope1EmissionFactorsStationaryGaseous_Data(), Table_Fuel_EFs_StationaryGaseous[[#Headers],[Fuel combusted]],0)</f>
        <v>0.5</v>
      </c>
      <c r="J102" s="226" cm="1">
        <f t="array" ref="J102">Common_InputFunctions.Utility_DisplayArrayInTable(Fuel_SourceData.Fuel_Scope1EmissionFactorsStationaryGaseous_Data(), Table_Fuel_EFs_StationaryGaseous[[#Headers],[Fuel combusted]],0)</f>
        <v>0.5</v>
      </c>
      <c r="K102" s="173"/>
      <c r="L102" s="173"/>
    </row>
    <row r="103" spans="4:13" ht="20.100000000000001" customHeight="1" x14ac:dyDescent="0.25">
      <c r="D103" s="226" t="str" cm="1">
        <f t="array" ref="D103">Common_InputFunctions.Utility_DisplayArrayInTable(Fuel_SourceData.Fuel_Scope1EmissionFactorsStationaryGaseous_Data(), Table_Fuel_EFs_StationaryGaseous[[#Headers],[Fuel combusted]],0)</f>
        <v>Natural gas distributed in a pipeline - Gigajoules</v>
      </c>
      <c r="E103" s="226" cm="1">
        <f t="array" ref="E103">Common_InputFunctions.Utility_DisplayArrayInTable(Fuel_SourceData.Fuel_Scope1EmissionFactorsStationaryGaseous_Data(), Table_Fuel_EFs_StationaryGaseous[[#Headers],[Fuel combusted]],0)</f>
        <v>1</v>
      </c>
      <c r="F103" s="226" t="str" cm="1">
        <f t="array" ref="F103">Common_InputFunctions.Utility_DisplayArrayInTable(Fuel_SourceData.Fuel_Scope1EmissionFactorsStationaryGaseous_Data(), Table_Fuel_EFs_StationaryGaseous[[#Headers],[Fuel combusted]],0)</f>
        <v>GJ</v>
      </c>
      <c r="G103" s="226" cm="1">
        <f t="array" ref="G103">Common_InputFunctions.Utility_DisplayArrayInTable(Fuel_SourceData.Fuel_Scope1EmissionFactorsStationaryGaseous_Data(), Table_Fuel_EFs_StationaryGaseous[[#Headers],[Fuel combusted]],0)</f>
        <v>51.4</v>
      </c>
      <c r="H103" s="226" cm="1">
        <f t="array" ref="H103">Common_InputFunctions.Utility_DisplayArrayInTable(Fuel_SourceData.Fuel_Scope1EmissionFactorsStationaryGaseous_Data(), Table_Fuel_EFs_StationaryGaseous[[#Headers],[Fuel combusted]],0)</f>
        <v>0.1</v>
      </c>
      <c r="I103" s="226" cm="1">
        <f t="array" ref="I103">Common_InputFunctions.Utility_DisplayArrayInTable(Fuel_SourceData.Fuel_Scope1EmissionFactorsStationaryGaseous_Data(), Table_Fuel_EFs_StationaryGaseous[[#Headers],[Fuel combusted]],0)</f>
        <v>0.03</v>
      </c>
      <c r="J103" s="226" cm="1">
        <f t="array" ref="J103">Common_InputFunctions.Utility_DisplayArrayInTable(Fuel_SourceData.Fuel_Scope1EmissionFactorsStationaryGaseous_Data(), Table_Fuel_EFs_StationaryGaseous[[#Headers],[Fuel combusted]],0)</f>
        <v>51.53</v>
      </c>
      <c r="K103" s="173"/>
      <c r="L103" s="173"/>
    </row>
    <row r="104" spans="4:13" ht="20.100000000000001" customHeight="1" x14ac:dyDescent="0.25">
      <c r="D104" s="226" t="str" cm="1">
        <f t="array" ref="D104">Common_InputFunctions.Utility_DisplayArrayInTable(Fuel_SourceData.Fuel_Scope1EmissionFactorsStationaryGaseous_Data(), Table_Fuel_EFs_StationaryGaseous[[#Headers],[Fuel combusted]],0)</f>
        <v>Town gas - Gigajoules</v>
      </c>
      <c r="E104" s="226" cm="1">
        <f t="array" ref="E104">Common_InputFunctions.Utility_DisplayArrayInTable(Fuel_SourceData.Fuel_Scope1EmissionFactorsStationaryGaseous_Data(), Table_Fuel_EFs_StationaryGaseous[[#Headers],[Fuel combusted]],0)</f>
        <v>1</v>
      </c>
      <c r="F104" s="226" t="str" cm="1">
        <f t="array" ref="F104">Common_InputFunctions.Utility_DisplayArrayInTable(Fuel_SourceData.Fuel_Scope1EmissionFactorsStationaryGaseous_Data(), Table_Fuel_EFs_StationaryGaseous[[#Headers],[Fuel combusted]],0)</f>
        <v>GJ</v>
      </c>
      <c r="G104" s="226" cm="1">
        <f t="array" ref="G104">Common_InputFunctions.Utility_DisplayArrayInTable(Fuel_SourceData.Fuel_Scope1EmissionFactorsStationaryGaseous_Data(), Table_Fuel_EFs_StationaryGaseous[[#Headers],[Fuel combusted]],0)</f>
        <v>60.2</v>
      </c>
      <c r="H104" s="226" cm="1">
        <f t="array" ref="H104">Common_InputFunctions.Utility_DisplayArrayInTable(Fuel_SourceData.Fuel_Scope1EmissionFactorsStationaryGaseous_Data(), Table_Fuel_EFs_StationaryGaseous[[#Headers],[Fuel combusted]],0)</f>
        <v>0.04</v>
      </c>
      <c r="I104" s="226" cm="1">
        <f t="array" ref="I104">Common_InputFunctions.Utility_DisplayArrayInTable(Fuel_SourceData.Fuel_Scope1EmissionFactorsStationaryGaseous_Data(), Table_Fuel_EFs_StationaryGaseous[[#Headers],[Fuel combusted]],0)</f>
        <v>0.03</v>
      </c>
      <c r="J104" s="226" cm="1">
        <f t="array" ref="J104">Common_InputFunctions.Utility_DisplayArrayInTable(Fuel_SourceData.Fuel_Scope1EmissionFactorsStationaryGaseous_Data(), Table_Fuel_EFs_StationaryGaseous[[#Headers],[Fuel combusted]],0)</f>
        <v>60.27</v>
      </c>
      <c r="K104" s="173"/>
      <c r="L104" s="173"/>
    </row>
    <row r="105" spans="4:13" ht="20.100000000000001" customHeight="1" x14ac:dyDescent="0.25">
      <c r="D105" s="173"/>
      <c r="E105" s="173"/>
      <c r="F105" s="173"/>
      <c r="G105" s="173"/>
      <c r="H105" s="173"/>
      <c r="I105" s="173"/>
      <c r="J105" s="173"/>
      <c r="K105" s="173"/>
      <c r="L105" s="173"/>
      <c r="M105" s="173"/>
    </row>
    <row r="106" spans="4:13" ht="20.100000000000001" customHeight="1" x14ac:dyDescent="0.25">
      <c r="D106" s="173"/>
      <c r="E106" s="173"/>
      <c r="F106" s="173"/>
      <c r="G106" s="173"/>
      <c r="H106" s="173"/>
      <c r="I106" s="173"/>
      <c r="J106" s="173"/>
      <c r="K106" s="173"/>
      <c r="L106" s="173"/>
      <c r="M106" s="173"/>
    </row>
    <row r="107" spans="4:13" ht="20.100000000000001" customHeight="1" x14ac:dyDescent="0.25">
      <c r="D107" s="2" t="str" cm="1">
        <f t="array" ref="D107">Fuel_SourceData.Fuel_Scope3EmissionFactorsStationaryGaseous_Title()</f>
        <v>Fuel scope 3 emission factors - Stationary gaseous fuels</v>
      </c>
      <c r="E107" s="173"/>
      <c r="F107" s="173"/>
      <c r="G107" s="173"/>
      <c r="H107" s="173"/>
      <c r="I107" s="173"/>
      <c r="J107" s="173"/>
      <c r="K107" s="173"/>
      <c r="L107" s="173"/>
    </row>
    <row r="108" spans="4:13" ht="20.100000000000001" customHeight="1" x14ac:dyDescent="0.25">
      <c r="D108" s="1" t="str" cm="1">
        <f t="array" ref="D108">Fuel_SourceData.Fuel_Scope3EmissionFactorsStationaryGaseous_Description()</f>
        <v>Indirect (Scope 3) emission factors for the consumption of natural gas.</v>
      </c>
      <c r="E108" s="173"/>
      <c r="F108" s="173"/>
      <c r="G108" s="173"/>
      <c r="H108" s="173"/>
      <c r="I108" s="173"/>
      <c r="J108" s="173"/>
      <c r="K108" s="173"/>
      <c r="L108" s="173"/>
    </row>
    <row r="109" spans="4:13" ht="20.100000000000001" customHeight="1" x14ac:dyDescent="0.25">
      <c r="D109" s="27" t="str" cm="1">
        <f t="array" ref="D109">Fuel_SourceData.Fuel_Scope3EmissionFactorsStationaryGaseous_Source()</f>
        <v>Australian National Greenhouse Accounts Factors 2025 - Table 6</v>
      </c>
      <c r="E109" s="173"/>
      <c r="F109" s="173"/>
      <c r="G109" s="173"/>
      <c r="H109" s="173"/>
      <c r="I109" s="173"/>
      <c r="J109" s="173"/>
      <c r="K109" s="173"/>
      <c r="L109" s="173"/>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3"/>
      <c r="F110" s="173"/>
      <c r="G110" s="173"/>
      <c r="H110" s="173"/>
      <c r="I110" s="173"/>
      <c r="J110" s="173"/>
      <c r="K110" s="173"/>
      <c r="L110" s="173"/>
    </row>
    <row r="111" spans="4:13" ht="20.100000000000001" customHeight="1" x14ac:dyDescent="0.25">
      <c r="D111" s="173"/>
      <c r="E111" s="173"/>
      <c r="F111" s="173"/>
      <c r="G111" s="173"/>
      <c r="H111" s="173"/>
      <c r="I111" s="173"/>
      <c r="J111" s="173"/>
      <c r="K111" s="173"/>
      <c r="L111" s="173"/>
    </row>
    <row r="112" spans="4:13" ht="20.100000000000001" customHeight="1" x14ac:dyDescent="0.25">
      <c r="D112" s="191" t="s">
        <v>770</v>
      </c>
      <c r="E112" s="223" t="s">
        <v>704</v>
      </c>
      <c r="F112" s="223" t="s">
        <v>771</v>
      </c>
      <c r="G112" s="173"/>
      <c r="H112" s="88" t="s">
        <v>772</v>
      </c>
      <c r="I112" s="173"/>
      <c r="J112" s="173"/>
      <c r="K112" s="173"/>
      <c r="L112" s="173"/>
    </row>
    <row r="113" spans="4:13" ht="20.100000000000001" customHeight="1" x14ac:dyDescent="0.25">
      <c r="D113" s="227" t="str" cm="1">
        <f t="array" ref="D113">Common_InputFunctions.Utility_DisplayArrayInTable(Fuel_SourceData.Fuel_Scope3EmissionFactorsStationaryGaseous_Data(), Table_Fuel_EFs_StationaryGaseous34[[#Headers],[State or territory]],0)</f>
        <v>New South Wales</v>
      </c>
      <c r="E113" s="227" cm="1">
        <f t="array" ref="E113">Common_InputFunctions.Utility_DisplayArrayInTable(Fuel_SourceData.Fuel_Scope3EmissionFactorsStationaryGaseous_Data(), Table_Fuel_EFs_StationaryGaseous34[[#Headers],[State or territory]],0)</f>
        <v>13.1</v>
      </c>
      <c r="F113" s="227" cm="1">
        <f t="array" ref="F113">Common_InputFunctions.Utility_DisplayArrayInTable(Fuel_SourceData.Fuel_Scope3EmissionFactorsStationaryGaseous_Data(), Table_Fuel_EFs_StationaryGaseous34[[#Headers],[State or territory]],0)</f>
        <v>14</v>
      </c>
      <c r="G113" s="228"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3"/>
      <c r="J113" s="173"/>
      <c r="K113" s="173"/>
      <c r="L113" s="173"/>
    </row>
    <row r="114" spans="4:13" ht="20.100000000000001" customHeight="1" x14ac:dyDescent="0.25">
      <c r="D114" s="227" t="str" cm="1">
        <f t="array" ref="D114">Common_InputFunctions.Utility_DisplayArrayInTable(Fuel_SourceData.Fuel_Scope3EmissionFactorsStationaryGaseous_Data(), Table_Fuel_EFs_StationaryGaseous34[[#Headers],[State or territory]],0)</f>
        <v>ACT</v>
      </c>
      <c r="E114" s="227" cm="1">
        <f t="array" ref="E114">Common_InputFunctions.Utility_DisplayArrayInTable(Fuel_SourceData.Fuel_Scope3EmissionFactorsStationaryGaseous_Data(), Table_Fuel_EFs_StationaryGaseous34[[#Headers],[State or territory]],0)</f>
        <v>13.1</v>
      </c>
      <c r="F114" s="227" cm="1">
        <f t="array" ref="F114">Common_InputFunctions.Utility_DisplayArrayInTable(Fuel_SourceData.Fuel_Scope3EmissionFactorsStationaryGaseous_Data(), Table_Fuel_EFs_StationaryGaseous34[[#Headers],[State or territory]],0)</f>
        <v>14</v>
      </c>
      <c r="G114" s="228" t="str">
        <v/>
      </c>
      <c r="H114" s="1" t="str">
        <v>Gas reaches end users either from the metro distribution networks or direct from the high - pressure distribution pipelines.</v>
      </c>
      <c r="I114" s="173"/>
      <c r="J114" s="173"/>
      <c r="K114" s="173"/>
      <c r="L114" s="173"/>
    </row>
    <row r="115" spans="4:13" ht="20.100000000000001" customHeight="1" x14ac:dyDescent="0.25">
      <c r="D115" s="227" t="str" cm="1">
        <f t="array" ref="D115">Common_InputFunctions.Utility_DisplayArrayInTable(Fuel_SourceData.Fuel_Scope3EmissionFactorsStationaryGaseous_Data(), Table_Fuel_EFs_StationaryGaseous34[[#Headers],[State or territory]],0)</f>
        <v>Victoria</v>
      </c>
      <c r="E115" s="227" cm="1">
        <f t="array" ref="E115">Common_InputFunctions.Utility_DisplayArrayInTable(Fuel_SourceData.Fuel_Scope3EmissionFactorsStationaryGaseous_Data(), Table_Fuel_EFs_StationaryGaseous34[[#Headers],[State or territory]],0)</f>
        <v>4</v>
      </c>
      <c r="F115" s="227" cm="1">
        <f t="array" ref="F115">Common_InputFunctions.Utility_DisplayArrayInTable(Fuel_SourceData.Fuel_Scope3EmissionFactorsStationaryGaseous_Data(), Table_Fuel_EFs_StationaryGaseous34[[#Headers],[State or territory]],0)</f>
        <v>4</v>
      </c>
      <c r="G115" s="228" t="str">
        <v/>
      </c>
      <c r="H115" s="1" t="str">
        <v>Households and commercial users tend to be served by the former, and electricity generators and large industrial plants from the latter.</v>
      </c>
      <c r="I115" s="173"/>
      <c r="J115" s="173"/>
      <c r="K115" s="173"/>
      <c r="L115" s="173"/>
    </row>
    <row r="116" spans="4:13" ht="20.100000000000001" customHeight="1" x14ac:dyDescent="0.25">
      <c r="D116" s="227" t="str" cm="1">
        <f t="array" ref="D116">Common_InputFunctions.Utility_DisplayArrayInTable(Fuel_SourceData.Fuel_Scope3EmissionFactorsStationaryGaseous_Data(), Table_Fuel_EFs_StationaryGaseous34[[#Headers],[State or territory]],0)</f>
        <v>Queensland</v>
      </c>
      <c r="E116" s="227" cm="1">
        <f t="array" ref="E116">Common_InputFunctions.Utility_DisplayArrayInTable(Fuel_SourceData.Fuel_Scope3EmissionFactorsStationaryGaseous_Data(), Table_Fuel_EFs_StationaryGaseous34[[#Headers],[State or territory]],0)</f>
        <v>8.8000000000000007</v>
      </c>
      <c r="F116" s="227" cm="1">
        <f t="array" ref="F116">Common_InputFunctions.Utility_DisplayArrayInTable(Fuel_SourceData.Fuel_Scope3EmissionFactorsStationaryGaseous_Data(), Table_Fuel_EFs_StationaryGaseous34[[#Headers],[State or territory]],0)</f>
        <v>7.9</v>
      </c>
      <c r="G116" s="228" t="str">
        <v>-</v>
      </c>
      <c r="H116" s="1" t="str">
        <v>Metro is defined as located on or east of the dividing range in NSW, including Canberra and Queanbeyan, Melbourne, Brisbane, Adelaide or Perth.</v>
      </c>
      <c r="I116" s="173"/>
      <c r="J116" s="173"/>
      <c r="K116" s="173"/>
      <c r="L116" s="173"/>
    </row>
    <row r="117" spans="4:13" ht="20.100000000000001" customHeight="1" x14ac:dyDescent="0.25">
      <c r="D117" s="227" t="str" cm="1">
        <f t="array" ref="D117">Common_InputFunctions.Utility_DisplayArrayInTable(Fuel_SourceData.Fuel_Scope3EmissionFactorsStationaryGaseous_Data(), Table_Fuel_EFs_StationaryGaseous34[[#Headers],[State or territory]],0)</f>
        <v>South Australia</v>
      </c>
      <c r="E117" s="227" cm="1">
        <f t="array" ref="E117">Common_InputFunctions.Utility_DisplayArrayInTable(Fuel_SourceData.Fuel_Scope3EmissionFactorsStationaryGaseous_Data(), Table_Fuel_EFs_StationaryGaseous34[[#Headers],[State or territory]],0)</f>
        <v>10.7</v>
      </c>
      <c r="F117" s="227" cm="1">
        <f t="array" ref="F117">Common_InputFunctions.Utility_DisplayArrayInTable(Fuel_SourceData.Fuel_Scope3EmissionFactorsStationaryGaseous_Data(), Table_Fuel_EFs_StationaryGaseous34[[#Headers],[State or territory]],0)</f>
        <v>10.6</v>
      </c>
      <c r="G117" s="228" t="str">
        <v/>
      </c>
      <c r="H117" s="1" t="str">
        <v>Otherwise, the non - metro factor should be used.</v>
      </c>
      <c r="I117" s="173"/>
      <c r="J117" s="173"/>
      <c r="K117" s="173"/>
      <c r="L117" s="173"/>
    </row>
    <row r="118" spans="4:13" ht="20.100000000000001" customHeight="1" x14ac:dyDescent="0.25">
      <c r="D118" s="227" t="str" cm="1">
        <f t="array" ref="D118">Common_InputFunctions.Utility_DisplayArrayInTable(Fuel_SourceData.Fuel_Scope3EmissionFactorsStationaryGaseous_Data(), Table_Fuel_EFs_StationaryGaseous34[[#Headers],[State or territory]],0)</f>
        <v>Western Australia</v>
      </c>
      <c r="E118" s="227" cm="1">
        <f t="array" ref="E118">Common_InputFunctions.Utility_DisplayArrayInTable(Fuel_SourceData.Fuel_Scope3EmissionFactorsStationaryGaseous_Data(), Table_Fuel_EFs_StationaryGaseous34[[#Headers],[State or territory]],0)</f>
        <v>4.0999999999999996</v>
      </c>
      <c r="F118" s="227" cm="1">
        <f t="array" ref="F118">Common_InputFunctions.Utility_DisplayArrayInTable(Fuel_SourceData.Fuel_Scope3EmissionFactorsStationaryGaseous_Data(), Table_Fuel_EFs_StationaryGaseous34[[#Headers],[State or territory]],0)</f>
        <v>4</v>
      </c>
      <c r="G118" s="228" t="str">
        <v>-</v>
      </c>
      <c r="H118" s="1" t="str">
        <v>Factors are calculated for all natural gas distributed in a pipeline which may include coal seam methane.</v>
      </c>
      <c r="I118" s="173"/>
      <c r="J118" s="173"/>
      <c r="K118" s="173"/>
      <c r="L118" s="173"/>
    </row>
    <row r="119" spans="4:13" ht="20.100000000000001" customHeight="1" x14ac:dyDescent="0.25">
      <c r="D119" s="227" t="str" cm="1">
        <f t="array" ref="D119">Common_InputFunctions.Utility_DisplayArrayInTable(Fuel_SourceData.Fuel_Scope3EmissionFactorsStationaryGaseous_Data(), Table_Fuel_EFs_StationaryGaseous34[[#Headers],[State or territory]],0)</f>
        <v>Tasmania</v>
      </c>
      <c r="E119" s="227" cm="1">
        <f t="array" ref="E119">Common_InputFunctions.Utility_DisplayArrayInTable(Fuel_SourceData.Fuel_Scope3EmissionFactorsStationaryGaseous_Data(), Table_Fuel_EFs_StationaryGaseous34[[#Headers],[State or territory]],0)</f>
        <v>4</v>
      </c>
      <c r="F119" s="227" cm="1">
        <f t="array" ref="F119">Common_InputFunctions.Utility_DisplayArrayInTable(Fuel_SourceData.Fuel_Scope3EmissionFactorsStationaryGaseous_Data(), Table_Fuel_EFs_StationaryGaseous34[[#Headers],[State or territory]],0)</f>
        <v>4</v>
      </c>
      <c r="G119" s="228" t="str">
        <v>-</v>
      </c>
      <c r="H119" s="1" t="str">
        <v>Table 6 is not applicable to ethane. See Table 7 Indirect (Scope 3) emissions from the consumption of ethane.</v>
      </c>
      <c r="I119" s="173"/>
      <c r="J119" s="173"/>
      <c r="K119" s="173"/>
      <c r="L119" s="173"/>
    </row>
    <row r="120" spans="4:13" ht="20.100000000000001" customHeight="1" x14ac:dyDescent="0.25">
      <c r="D120" s="227" t="str" cm="1">
        <f t="array" ref="D120">Common_InputFunctions.Utility_DisplayArrayInTable(Fuel_SourceData.Fuel_Scope3EmissionFactorsStationaryGaseous_Data(), Table_Fuel_EFs_StationaryGaseous34[[#Headers],[State or territory]],0)</f>
        <v>Northern Territory</v>
      </c>
      <c r="E120" s="227" cm="1">
        <f t="array" ref="E120">Common_InputFunctions.Utility_DisplayArrayInTable(Fuel_SourceData.Fuel_Scope3EmissionFactorsStationaryGaseous_Data(), Table_Fuel_EFs_StationaryGaseous34[[#Headers],[State or territory]],0)</f>
        <v>4.0999999999999996</v>
      </c>
      <c r="F120" s="227" cm="1">
        <f t="array" ref="F120">Common_InputFunctions.Utility_DisplayArrayInTable(Fuel_SourceData.Fuel_Scope3EmissionFactorsStationaryGaseous_Data(), Table_Fuel_EFs_StationaryGaseous34[[#Headers],[State or territory]],0)</f>
        <v>4</v>
      </c>
      <c r="G120" s="228" t="str">
        <v>-</v>
      </c>
      <c r="H120" s="1" t="str">
        <v>C = Confidential. Scope 3 emission factors for Tasmania and the Northern Territory are not available due to confidentiality constraints that arise</v>
      </c>
      <c r="I120" s="173"/>
      <c r="J120" s="173"/>
      <c r="K120" s="173"/>
      <c r="L120" s="173"/>
    </row>
    <row r="121" spans="4:13" ht="20.100000000000001" customHeight="1" x14ac:dyDescent="0.25">
      <c r="D121" s="8"/>
      <c r="E121" s="8"/>
      <c r="F121" s="8"/>
      <c r="G121" s="228" t="str">
        <v/>
      </c>
      <c r="H121" s="1" t="str">
        <v>from the use of a limited number of NGER data inputs. It is suggested that for Tasmania the use of the Victorian emission factors is appropriate,</v>
      </c>
      <c r="I121" s="173"/>
      <c r="J121" s="173"/>
      <c r="K121" s="173"/>
      <c r="L121" s="173"/>
    </row>
    <row r="122" spans="4:13" ht="20.100000000000001" customHeight="1" x14ac:dyDescent="0.25">
      <c r="D122" s="173"/>
      <c r="F122" s="229"/>
      <c r="G122" s="228" t="str">
        <v/>
      </c>
      <c r="H122" s="1" t="str">
        <v>while for Northern Territory the use of the Western Australian emission factors is appropriate.</v>
      </c>
      <c r="I122" s="173"/>
      <c r="J122" s="173"/>
      <c r="K122" s="173"/>
      <c r="L122" s="173"/>
    </row>
    <row r="123" spans="4:13" ht="20.100000000000001" customHeight="1" x14ac:dyDescent="0.25">
      <c r="D123" s="230"/>
      <c r="F123" s="229"/>
      <c r="G123" s="228" t="str">
        <v>-</v>
      </c>
      <c r="H123" s="1" t="str">
        <v>Scope 3 emission factors do not include fugitive emission leakage from low pressure natural gas distribution pipeline networks while those from high pressure</v>
      </c>
      <c r="I123" s="173"/>
      <c r="J123" s="173"/>
      <c r="K123" s="173"/>
      <c r="L123" s="173"/>
    </row>
    <row r="124" spans="4:13" ht="20.100000000000001" customHeight="1" x14ac:dyDescent="0.25">
      <c r="D124" s="230"/>
      <c r="F124" s="229"/>
      <c r="G124" s="173" t="str">
        <v/>
      </c>
      <c r="H124" s="1" t="str">
        <v>gas networks are considered negligible.</v>
      </c>
      <c r="I124" s="173"/>
      <c r="J124" s="173"/>
      <c r="K124" s="173"/>
      <c r="L124" s="173"/>
    </row>
    <row r="125" spans="4:13" ht="20.100000000000001" customHeight="1" x14ac:dyDescent="0.25">
      <c r="D125" s="230"/>
      <c r="F125" s="229"/>
      <c r="G125" s="173"/>
      <c r="H125" s="173"/>
      <c r="I125" s="173"/>
      <c r="J125" s="173"/>
      <c r="K125" s="173"/>
      <c r="L125" s="173"/>
    </row>
    <row r="126" spans="4:13" ht="20.100000000000001" customHeight="1" x14ac:dyDescent="0.25">
      <c r="D126" s="173"/>
      <c r="E126" s="173"/>
      <c r="F126" s="173"/>
      <c r="G126" s="173"/>
      <c r="H126" s="173"/>
      <c r="I126" s="173"/>
      <c r="J126" s="173"/>
      <c r="K126" s="173"/>
      <c r="L126" s="173"/>
      <c r="M126" s="173"/>
    </row>
    <row r="127" spans="4:13" ht="20.100000000000001" customHeight="1" x14ac:dyDescent="0.25">
      <c r="D127" s="173"/>
      <c r="E127" s="173"/>
      <c r="F127" s="173"/>
      <c r="G127" s="173"/>
      <c r="H127" s="173"/>
      <c r="I127" s="173"/>
      <c r="J127" s="173"/>
      <c r="K127" s="173"/>
      <c r="L127" s="173"/>
      <c r="M127" s="173"/>
    </row>
    <row r="128" spans="4:13" ht="20.100000000000001" customHeight="1" x14ac:dyDescent="0.25">
      <c r="D128" s="173"/>
      <c r="E128" s="173"/>
      <c r="F128" s="173"/>
      <c r="G128" s="173"/>
      <c r="H128" s="173"/>
      <c r="I128" s="173"/>
      <c r="J128" s="173"/>
      <c r="K128" s="173"/>
      <c r="L128" s="173"/>
      <c r="M128" s="173"/>
    </row>
    <row r="129" spans="4:33" ht="20.100000000000001" customHeight="1" x14ac:dyDescent="0.25">
      <c r="D129" s="231"/>
      <c r="E129" s="173"/>
      <c r="F129" s="173"/>
      <c r="G129" s="173"/>
      <c r="H129" s="173"/>
      <c r="I129" s="173"/>
      <c r="J129" s="173"/>
      <c r="K129" s="173"/>
      <c r="L129" s="173"/>
    </row>
    <row r="130" spans="4:33" ht="20.100000000000001" customHeight="1" x14ac:dyDescent="0.25">
      <c r="D130" s="232" t="s">
        <v>773</v>
      </c>
      <c r="E130" s="232" t="s">
        <v>713</v>
      </c>
      <c r="F130" s="232" t="s">
        <v>774</v>
      </c>
      <c r="G130" s="232" t="s">
        <v>716</v>
      </c>
      <c r="H130" s="232" t="s">
        <v>718</v>
      </c>
      <c r="I130" s="232" t="s">
        <v>719</v>
      </c>
      <c r="J130" s="173"/>
      <c r="K130" s="173"/>
      <c r="L130" s="173"/>
    </row>
    <row r="131" spans="4:33" ht="20.100000000000001" customHeight="1" x14ac:dyDescent="0.25">
      <c r="D131" s="233" t="str">
        <f>$D$143</f>
        <v>Petrol</v>
      </c>
      <c r="E131" s="233" t="str">
        <f>$D$143</f>
        <v>Petrol</v>
      </c>
      <c r="F131" s="233" t="str">
        <f>$D$150</f>
        <v>Avgas</v>
      </c>
      <c r="G131" s="233" t="str">
        <f>$D$143</f>
        <v>Petrol</v>
      </c>
      <c r="H131" s="233" t="str">
        <f>$D$144</f>
        <v>Diesel</v>
      </c>
      <c r="I131" s="233" t="str">
        <f>$D$143</f>
        <v>Petrol</v>
      </c>
      <c r="J131" s="173"/>
      <c r="K131" s="173"/>
      <c r="L131" s="173"/>
    </row>
    <row r="132" spans="4:33" ht="20.100000000000001" customHeight="1" x14ac:dyDescent="0.25">
      <c r="D132" s="233" t="str">
        <f>$D$144</f>
        <v>Diesel</v>
      </c>
      <c r="E132" s="233" t="str">
        <f>$D$144</f>
        <v>Diesel</v>
      </c>
      <c r="F132" s="233" t="str">
        <f>$D$151</f>
        <v>Jet A1, Jet B</v>
      </c>
      <c r="G132" s="233" t="str">
        <f>$D$144</f>
        <v>Diesel</v>
      </c>
      <c r="H132" s="233"/>
      <c r="I132" s="233" t="str">
        <f>$D$144</f>
        <v>Diesel</v>
      </c>
      <c r="J132" s="173"/>
      <c r="K132" s="173"/>
      <c r="L132" s="173"/>
    </row>
    <row r="133" spans="4:33" ht="20.100000000000001" customHeight="1" x14ac:dyDescent="0.25">
      <c r="D133" s="233" t="str">
        <f>$D$145</f>
        <v>Liquefied petroleum gas (LPG)</v>
      </c>
      <c r="E133" s="233" t="str">
        <f>$D$145</f>
        <v>Liquefied petroleum gas (LPG)</v>
      </c>
      <c r="F133" s="233" t="str">
        <f>$D$152</f>
        <v>Renewable aviation kerosene</v>
      </c>
      <c r="G133" s="233" t="str">
        <f>$D$145</f>
        <v>Liquefied petroleum gas (LPG)</v>
      </c>
      <c r="H133" s="233"/>
      <c r="I133" s="233" t="s">
        <v>720</v>
      </c>
      <c r="J133" s="173"/>
      <c r="K133" s="173"/>
      <c r="L133" s="173"/>
    </row>
    <row r="134" spans="4:33" ht="20.100000000000001" customHeight="1" x14ac:dyDescent="0.25">
      <c r="D134" s="233" t="str">
        <f>$D$146</f>
        <v>Biodiesel</v>
      </c>
      <c r="E134" s="233" t="str">
        <f>$D$146</f>
        <v>Biodiesel</v>
      </c>
      <c r="F134" s="232"/>
      <c r="G134" s="233" t="str">
        <f>$D$160</f>
        <v>Fuel oil</v>
      </c>
      <c r="H134" s="233"/>
      <c r="I134" s="233"/>
      <c r="J134" s="173"/>
      <c r="K134" s="173"/>
      <c r="L134" s="173"/>
    </row>
    <row r="135" spans="4:33" ht="20.100000000000001" customHeight="1" x14ac:dyDescent="0.25">
      <c r="D135" s="233" t="str">
        <f>$D$147</f>
        <v>Ethanol</v>
      </c>
      <c r="E135" s="233" t="str">
        <f>$D$147</f>
        <v>Ethanol</v>
      </c>
      <c r="F135" s="232"/>
      <c r="G135" s="233" t="str">
        <f>$D$147</f>
        <v>Ethanol</v>
      </c>
      <c r="H135" s="233"/>
      <c r="I135" s="233"/>
      <c r="J135" s="173"/>
      <c r="K135" s="173"/>
      <c r="L135" s="173"/>
    </row>
    <row r="136" spans="4:33" ht="20.100000000000001" customHeight="1" x14ac:dyDescent="0.25">
      <c r="D136" s="233" t="str">
        <f>$D$148</f>
        <v>Other biofuels</v>
      </c>
      <c r="E136" s="233" t="str">
        <f>$D$148</f>
        <v>Other biofuels</v>
      </c>
      <c r="F136" s="232"/>
      <c r="G136" s="233" t="str">
        <f>$D$146</f>
        <v>Biodiesel</v>
      </c>
      <c r="H136" s="233"/>
      <c r="I136" s="233"/>
      <c r="J136" s="173"/>
      <c r="K136" s="173"/>
      <c r="L136" s="173"/>
    </row>
    <row r="137" spans="4:33" ht="20.100000000000001" customHeight="1" x14ac:dyDescent="0.25">
      <c r="D137" s="233" t="str">
        <f>$D$149</f>
        <v>Renewable diesel</v>
      </c>
      <c r="E137" s="233" t="str">
        <f>$D$149</f>
        <v>Renewable diesel</v>
      </c>
      <c r="F137" s="232"/>
      <c r="G137" s="233" t="str">
        <f>$D$149</f>
        <v>Renewable diesel</v>
      </c>
      <c r="H137" s="233"/>
      <c r="I137" s="233"/>
      <c r="J137" s="173"/>
      <c r="K137" s="173"/>
      <c r="L137" s="173"/>
    </row>
    <row r="138" spans="4:33" ht="20.100000000000001" customHeight="1" x14ac:dyDescent="0.25">
      <c r="D138" s="232"/>
      <c r="E138" s="234" t="str">
        <f>$D$161</f>
        <v>Natural gas (via pipeline) in GJ</v>
      </c>
      <c r="F138" s="234"/>
      <c r="G138" s="233" t="str">
        <f>$D$148</f>
        <v>Other biofuels</v>
      </c>
      <c r="H138" s="233"/>
      <c r="I138" s="233"/>
      <c r="J138" s="173"/>
      <c r="K138" s="173"/>
      <c r="L138" s="173"/>
    </row>
    <row r="139" spans="4:33" ht="20.100000000000001" customHeight="1" x14ac:dyDescent="0.25">
      <c r="D139" s="234"/>
      <c r="E139" s="234" t="str">
        <f>$D$162</f>
        <v>Town gas in GJ</v>
      </c>
      <c r="F139" s="234"/>
      <c r="G139" s="234"/>
      <c r="H139" s="234"/>
      <c r="I139" s="234"/>
      <c r="J139" s="173"/>
      <c r="K139" s="173"/>
      <c r="L139" s="173"/>
    </row>
    <row r="140" spans="4:33" ht="20.100000000000001" customHeight="1" x14ac:dyDescent="0.25">
      <c r="D140" s="173"/>
      <c r="E140" s="173"/>
      <c r="F140" s="173"/>
      <c r="G140" s="173"/>
      <c r="H140" s="173"/>
      <c r="I140" s="173"/>
      <c r="J140" s="173"/>
      <c r="K140" s="173"/>
      <c r="L140" s="173"/>
    </row>
    <row r="141" spans="4:33" ht="20.100000000000001" customHeight="1" x14ac:dyDescent="0.25">
      <c r="D141" s="173"/>
      <c r="E141" s="173"/>
      <c r="F141" s="173"/>
      <c r="G141" s="173"/>
      <c r="H141" s="173"/>
      <c r="I141" s="173"/>
      <c r="J141" s="173"/>
      <c r="K141" s="173"/>
      <c r="L141" s="173"/>
    </row>
    <row r="142" spans="4:33" ht="20.100000000000001" customHeight="1" x14ac:dyDescent="0.25">
      <c r="D142" t="s">
        <v>775</v>
      </c>
      <c r="E142" t="s">
        <v>131</v>
      </c>
      <c r="F142" t="s">
        <v>776</v>
      </c>
      <c r="G142" s="173"/>
      <c r="H142" s="173"/>
      <c r="I142" s="173"/>
      <c r="J142" s="173"/>
      <c r="K142" s="173"/>
      <c r="L142" s="173"/>
      <c r="M142" s="173"/>
      <c r="AG142" s="1"/>
    </row>
    <row r="143" spans="4:33" ht="20.100000000000001" customHeight="1" x14ac:dyDescent="0.25">
      <c r="D143" s="233" t="s">
        <v>715</v>
      </c>
      <c r="E143" t="s">
        <v>777</v>
      </c>
      <c r="F143" t="s">
        <v>778</v>
      </c>
      <c r="G143" s="173"/>
      <c r="H143" s="173"/>
      <c r="I143" s="173"/>
      <c r="J143" s="173"/>
      <c r="K143" s="173"/>
      <c r="L143" s="173"/>
      <c r="M143" s="173"/>
      <c r="AG143" s="1"/>
    </row>
    <row r="144" spans="4:33" ht="20.100000000000001" customHeight="1" x14ac:dyDescent="0.25">
      <c r="D144" s="233" t="s">
        <v>717</v>
      </c>
      <c r="E144" t="s">
        <v>777</v>
      </c>
      <c r="F144" t="s">
        <v>778</v>
      </c>
      <c r="G144" s="173"/>
      <c r="H144" s="173"/>
      <c r="I144" s="173"/>
      <c r="J144" s="173"/>
      <c r="K144" s="173"/>
      <c r="L144" s="173"/>
      <c r="M144" s="173"/>
      <c r="AG144" s="1"/>
    </row>
    <row r="145" spans="4:33" ht="20.100000000000001" customHeight="1" x14ac:dyDescent="0.25">
      <c r="D145" s="233" t="s">
        <v>779</v>
      </c>
      <c r="E145" t="s">
        <v>777</v>
      </c>
      <c r="F145" t="s">
        <v>778</v>
      </c>
      <c r="G145" s="173"/>
      <c r="H145" s="173"/>
      <c r="I145" s="173"/>
      <c r="J145" s="173"/>
      <c r="K145" s="173"/>
      <c r="L145" s="173"/>
      <c r="M145" s="173"/>
      <c r="AG145" s="1"/>
    </row>
    <row r="146" spans="4:33" ht="20.100000000000001" customHeight="1" x14ac:dyDescent="0.25">
      <c r="D146" s="233" t="s">
        <v>780</v>
      </c>
      <c r="E146" t="s">
        <v>777</v>
      </c>
      <c r="F146" t="s">
        <v>778</v>
      </c>
      <c r="G146" s="173"/>
      <c r="H146" s="173"/>
      <c r="I146" s="173"/>
      <c r="J146" s="173"/>
      <c r="K146" s="173"/>
      <c r="L146" s="173"/>
      <c r="M146" s="173"/>
      <c r="AG146" s="1"/>
    </row>
    <row r="147" spans="4:33" ht="20.100000000000001" customHeight="1" x14ac:dyDescent="0.25">
      <c r="D147" s="233" t="s">
        <v>781</v>
      </c>
      <c r="E147" t="s">
        <v>777</v>
      </c>
      <c r="F147" t="s">
        <v>778</v>
      </c>
      <c r="G147" s="173"/>
      <c r="H147" s="173"/>
      <c r="I147" s="173"/>
      <c r="J147" s="173"/>
      <c r="K147" s="173"/>
      <c r="L147" s="173"/>
      <c r="M147" s="173"/>
      <c r="AG147" s="1"/>
    </row>
    <row r="148" spans="4:33" ht="20.100000000000001" customHeight="1" x14ac:dyDescent="0.25">
      <c r="D148" s="233" t="s">
        <v>782</v>
      </c>
      <c r="E148" t="s">
        <v>777</v>
      </c>
      <c r="F148" t="s">
        <v>778</v>
      </c>
      <c r="G148" s="173"/>
      <c r="H148" s="173"/>
      <c r="I148" s="173"/>
      <c r="J148" s="173"/>
      <c r="K148" s="173"/>
      <c r="L148" s="173"/>
      <c r="M148" s="173"/>
      <c r="AG148" s="1"/>
    </row>
    <row r="149" spans="4:33" ht="20.100000000000001" customHeight="1" x14ac:dyDescent="0.25">
      <c r="D149" s="233" t="s">
        <v>783</v>
      </c>
      <c r="E149" t="s">
        <v>777</v>
      </c>
      <c r="F149" t="s">
        <v>778</v>
      </c>
      <c r="G149" s="173"/>
      <c r="H149" s="173"/>
      <c r="I149" s="173"/>
      <c r="J149" s="173"/>
      <c r="K149" s="173"/>
      <c r="L149" s="173"/>
      <c r="M149" s="173"/>
      <c r="AG149" s="1"/>
    </row>
    <row r="150" spans="4:33" ht="20.100000000000001" customHeight="1" x14ac:dyDescent="0.25">
      <c r="D150" s="233" t="s">
        <v>784</v>
      </c>
      <c r="E150" t="s">
        <v>777</v>
      </c>
      <c r="F150" t="s">
        <v>778</v>
      </c>
      <c r="G150" s="173"/>
      <c r="H150" s="173"/>
      <c r="I150" s="173"/>
      <c r="J150" s="173"/>
      <c r="K150" s="173"/>
      <c r="L150" s="173"/>
      <c r="M150" s="173"/>
      <c r="AG150" s="1"/>
    </row>
    <row r="151" spans="4:33" ht="20.100000000000001" customHeight="1" x14ac:dyDescent="0.25">
      <c r="D151" s="233" t="s">
        <v>785</v>
      </c>
      <c r="E151" t="s">
        <v>777</v>
      </c>
      <c r="F151" t="s">
        <v>778</v>
      </c>
      <c r="G151" s="173"/>
      <c r="H151" s="173"/>
      <c r="I151" s="173"/>
      <c r="J151" s="173"/>
      <c r="K151" s="173"/>
      <c r="L151" s="173"/>
      <c r="M151" s="173"/>
      <c r="AG151" s="1"/>
    </row>
    <row r="152" spans="4:33" ht="20.100000000000001" customHeight="1" x14ac:dyDescent="0.25">
      <c r="D152" s="235" t="s">
        <v>786</v>
      </c>
      <c r="E152" s="8" t="s">
        <v>777</v>
      </c>
      <c r="F152" t="s">
        <v>778</v>
      </c>
      <c r="G152" s="173"/>
      <c r="H152" s="173"/>
      <c r="I152" s="173"/>
      <c r="J152" s="173"/>
      <c r="K152" s="173"/>
      <c r="L152" s="173"/>
      <c r="M152" s="173"/>
      <c r="AG152" s="1"/>
    </row>
    <row r="153" spans="4:33" ht="20.100000000000001" customHeight="1" x14ac:dyDescent="0.25">
      <c r="D153" s="235" t="s">
        <v>787</v>
      </c>
      <c r="E153" s="8" t="s">
        <v>777</v>
      </c>
      <c r="F153" t="s">
        <v>778</v>
      </c>
      <c r="G153" s="173"/>
      <c r="H153" s="173"/>
      <c r="I153" s="173"/>
      <c r="J153" s="173"/>
      <c r="K153" s="173"/>
      <c r="L153" s="173"/>
      <c r="M153" s="173"/>
      <c r="AG153" s="1"/>
    </row>
    <row r="154" spans="4:33" ht="20.100000000000001" customHeight="1" x14ac:dyDescent="0.25">
      <c r="D154" s="235" t="s">
        <v>788</v>
      </c>
      <c r="E154" s="8" t="s">
        <v>777</v>
      </c>
      <c r="F154" t="s">
        <v>778</v>
      </c>
      <c r="G154" s="173"/>
      <c r="H154" s="173"/>
      <c r="I154" s="173"/>
      <c r="J154" s="173"/>
      <c r="K154" s="173"/>
      <c r="L154" s="173"/>
      <c r="M154" s="173"/>
      <c r="AG154" s="1"/>
    </row>
    <row r="155" spans="4:33" ht="20.100000000000001" customHeight="1" x14ac:dyDescent="0.25">
      <c r="D155" s="235" t="s">
        <v>789</v>
      </c>
      <c r="E155" s="8" t="s">
        <v>777</v>
      </c>
      <c r="F155" t="s">
        <v>778</v>
      </c>
      <c r="G155" s="173"/>
      <c r="H155" s="173"/>
      <c r="I155" s="173"/>
      <c r="J155" s="173"/>
      <c r="K155" s="173"/>
      <c r="L155" s="173"/>
      <c r="M155" s="173"/>
      <c r="AG155" s="1"/>
    </row>
    <row r="156" spans="4:33" ht="20.100000000000001" customHeight="1" x14ac:dyDescent="0.25">
      <c r="D156" s="235" t="s">
        <v>790</v>
      </c>
      <c r="E156" s="8" t="s">
        <v>777</v>
      </c>
      <c r="F156" t="s">
        <v>778</v>
      </c>
      <c r="G156" s="173"/>
      <c r="H156" s="173"/>
      <c r="I156" s="173"/>
      <c r="J156" s="173"/>
      <c r="K156" s="173"/>
      <c r="L156" s="173"/>
      <c r="M156" s="173"/>
      <c r="AG156" s="1"/>
    </row>
    <row r="157" spans="4:33" ht="20.100000000000001" customHeight="1" x14ac:dyDescent="0.25">
      <c r="D157" s="235" t="s">
        <v>791</v>
      </c>
      <c r="E157" s="8" t="s">
        <v>777</v>
      </c>
      <c r="F157" t="s">
        <v>778</v>
      </c>
      <c r="G157" s="173"/>
      <c r="H157" s="173"/>
      <c r="I157" s="173"/>
      <c r="J157" s="173"/>
      <c r="K157" s="173"/>
      <c r="L157" s="173"/>
      <c r="M157" s="173"/>
      <c r="AG157" s="1"/>
    </row>
    <row r="158" spans="4:33" ht="20.100000000000001" customHeight="1" x14ac:dyDescent="0.25">
      <c r="D158" s="235" t="s">
        <v>792</v>
      </c>
      <c r="E158" s="8" t="s">
        <v>777</v>
      </c>
      <c r="F158" t="s">
        <v>778</v>
      </c>
      <c r="G158" s="173"/>
      <c r="H158" s="173"/>
      <c r="I158" s="173"/>
      <c r="J158" s="173"/>
      <c r="K158" s="173"/>
      <c r="L158" s="173"/>
      <c r="M158" s="173"/>
      <c r="AG158" s="1"/>
    </row>
    <row r="159" spans="4:33" ht="20.100000000000001" customHeight="1" x14ac:dyDescent="0.25">
      <c r="D159" s="235" t="s">
        <v>793</v>
      </c>
      <c r="E159" s="8" t="s">
        <v>777</v>
      </c>
      <c r="F159" t="s">
        <v>778</v>
      </c>
      <c r="G159" s="173"/>
      <c r="H159" s="173"/>
      <c r="I159" s="173"/>
      <c r="J159" s="173"/>
      <c r="K159" s="173"/>
      <c r="L159" s="173"/>
      <c r="M159" s="173"/>
      <c r="AG159" s="1"/>
    </row>
    <row r="160" spans="4:33" ht="20.100000000000001" customHeight="1" x14ac:dyDescent="0.25">
      <c r="D160" s="235" t="s">
        <v>720</v>
      </c>
      <c r="E160" s="8" t="s">
        <v>777</v>
      </c>
      <c r="F160" t="s">
        <v>778</v>
      </c>
      <c r="G160" s="173"/>
      <c r="H160" s="173"/>
      <c r="I160" s="173"/>
      <c r="J160" s="173"/>
      <c r="K160" s="173"/>
      <c r="L160" s="173"/>
      <c r="M160" s="173"/>
      <c r="AG160" s="1"/>
    </row>
    <row r="161" spans="4:33" ht="20.100000000000001" customHeight="1" x14ac:dyDescent="0.25">
      <c r="D161" s="234" t="s">
        <v>794</v>
      </c>
      <c r="E161" s="173" t="s">
        <v>795</v>
      </c>
      <c r="F161" s="173" t="s">
        <v>795</v>
      </c>
      <c r="G161" s="173"/>
      <c r="H161" s="173"/>
      <c r="I161" s="173"/>
      <c r="J161" s="173"/>
      <c r="K161" s="173"/>
      <c r="L161" s="173"/>
      <c r="M161" s="173"/>
      <c r="AG161" s="1"/>
    </row>
    <row r="162" spans="4:33" ht="20.100000000000001" customHeight="1" x14ac:dyDescent="0.25">
      <c r="D162" s="173" t="s">
        <v>714</v>
      </c>
      <c r="E162" s="173" t="s">
        <v>795</v>
      </c>
      <c r="F162" s="173" t="s">
        <v>795</v>
      </c>
      <c r="G162" s="173"/>
      <c r="H162" s="173"/>
      <c r="I162" s="173"/>
      <c r="J162" s="173"/>
      <c r="K162" s="173"/>
      <c r="L162" s="173"/>
      <c r="M162" s="173"/>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7A75-15F3-4C25-9765-7AA184696F73}">
  <sheetPr>
    <tabColor theme="2" tint="-0.499984740745262"/>
  </sheetPr>
  <dimension ref="A1:Q238"/>
  <sheetViews>
    <sheetView showGridLines="0" topLeftCell="A90" workbookViewId="0" zoomScale="100" zoomScaleNormal="100">
      <selection activeCell="A58" sqref="A58"/>
    </sheetView>
  </sheetViews>
  <sheetFormatPr defaultRowHeight="15.75" x14ac:dyDescent="0.25"/>
  <cols>
    <col min="1" max="1" width="35" style="244" customWidth="1"/>
    <col min="2" max="2" width="5.28515625" style="244" customWidth="1"/>
    <col min="3" max="3" width="5.28515625" style="1" customWidth="1"/>
    <col min="4" max="16" width="35" style="1" customWidth="1"/>
    <col min="17" max="17" width="9.140625" style="1"/>
    <col min="18" max="16384" width="9.140625" style="244"/>
  </cols>
  <sheetData>
    <row r="1" spans="1:17" ht="30" customHeight="1" x14ac:dyDescent="0.35">
      <c r="A1" s="16" t="e" vm="1">
        <v>#VALUE!</v>
      </c>
      <c r="C1" s="244"/>
      <c r="D1" s="244"/>
      <c r="E1" s="244"/>
      <c r="F1" s="244"/>
      <c r="G1" s="244"/>
      <c r="H1" s="244"/>
      <c r="I1" s="244"/>
      <c r="J1" s="244"/>
      <c r="K1" s="244"/>
      <c r="L1" s="244"/>
      <c r="M1" s="244"/>
      <c r="N1" s="244"/>
      <c r="O1" s="244"/>
      <c r="P1" s="244"/>
      <c r="Q1" s="244"/>
    </row>
    <row r="2" spans="1:17" ht="20.100000000000001" customHeight="1" x14ac:dyDescent="0.25">
      <c r="A2"/>
      <c r="C2" s="244"/>
      <c r="D2" s="244"/>
      <c r="E2" s="244"/>
      <c r="F2" s="244"/>
      <c r="G2" s="244"/>
      <c r="H2" s="244"/>
      <c r="I2" s="244"/>
      <c r="J2" s="244"/>
      <c r="K2" s="244"/>
      <c r="L2" s="244"/>
      <c r="M2" s="244"/>
      <c r="N2" s="244"/>
      <c r="O2" s="244"/>
      <c r="P2" s="244"/>
      <c r="Q2" s="244"/>
    </row>
    <row r="3" spans="1:17" ht="20.100000000000001" customHeight="1" x14ac:dyDescent="0.25">
      <c r="A3" s="5" t="str">
        <f>HYPERLINK("#'Home'!A1", "Home")</f>
        <v>Home</v>
      </c>
    </row>
    <row r="4" spans="1:17" ht="20.100000000000001" customHeight="1" x14ac:dyDescent="0.25">
      <c r="A4" s="5" t="str">
        <f>HYPERLINK("#'Overview'!A1", "Overview")</f>
        <v>Overview</v>
      </c>
    </row>
    <row r="5" spans="1:17" ht="20.100000000000001" customHeight="1" x14ac:dyDescent="0.25">
      <c r="A5" s="5" t="str">
        <f>HYPERLINK("#'Results'!A1", "Results")</f>
        <v>Results</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Pasture Beef'!A1", "Pasture Beef")</f>
        <v>Pasture Beef</v>
      </c>
    </row>
    <row r="12" spans="1:17" ht="20.100000000000001" customHeight="1" x14ac:dyDescent="0.25">
      <c r="A12" s="5" t="str">
        <f>HYPERLINK("#'Input - Pasture Beef (Enteric)'!A1", "Pasture Beef (Enteric)")</f>
        <v>Pasture Beef (Enteric)</v>
      </c>
    </row>
    <row r="13" spans="1:17" ht="20.100000000000001" customHeight="1" x14ac:dyDescent="0.25">
      <c r="A13" s="5" t="str">
        <f>HYPERLINK("#'Input - Livestock sales'!A1", "Livestock sales")</f>
        <v>Livestock sales</v>
      </c>
    </row>
    <row r="14" spans="1:17" ht="20.100000000000001" customHeight="1" x14ac:dyDescent="0.25">
      <c r="A14" s="5" t="str">
        <f>HYPERLINK("#'Input - Beef cattle purchases'!A1", "Beef cattle purchases")</f>
        <v>Beef cattle purchases</v>
      </c>
    </row>
    <row r="15" spans="1:17" ht="20.100000000000001" customHeight="1" x14ac:dyDescent="0.25">
      <c r="A15" s="5" t="str">
        <f>HYPERLINK("#'Input - Pasture'!A1", "Pasture")</f>
        <v>Pasture</v>
      </c>
    </row>
    <row r="16" spans="1:17" ht="20.100000000000001" customHeight="1" x14ac:dyDescent="0.25">
      <c r="A16" s="5" t="str">
        <f>HYPERLINK("#'Input - Fert Prod System'!A1", "Fert Prod System")</f>
        <v>Fert Prod System</v>
      </c>
    </row>
    <row r="17" spans="1:11" ht="20.100000000000001" customHeight="1" x14ac:dyDescent="0.25">
      <c r="A17" s="5" t="str">
        <f>HYPERLINK("#'Input - Fertiliser'!A1", "Fertiliser")</f>
        <v>Fertiliser</v>
      </c>
    </row>
    <row r="18" spans="1:11" ht="20.100000000000001" customHeight="1" x14ac:dyDescent="0.25">
      <c r="A18" s="5" t="str">
        <f>HYPERLINK("#'Input - Fuel'!A1", "Fuel")</f>
        <v>Fuel</v>
      </c>
    </row>
    <row r="19" spans="1:11" ht="20.100000000000001" customHeight="1" x14ac:dyDescent="0.25">
      <c r="A19" s="5" t="str">
        <f>HYPERLINK("#'Input - Electricity'!A1", "Electricity")</f>
        <v>Electricity</v>
      </c>
    </row>
    <row r="20" spans="1:11" ht="20.100000000000001" customHeight="1" x14ac:dyDescent="0.25">
      <c r="A20" s="5" t="str">
        <f>HYPERLINK("#'Input - Farm Inputs'!A1", "Farm Inputs")</f>
        <v>Farm Inputs</v>
      </c>
    </row>
    <row r="21" spans="1:11" ht="20.100000000000001" customHeight="1" x14ac:dyDescent="0.25">
      <c r="A21" s="5" t="str">
        <f>HYPERLINK("#'Input - Freight'!A1", "Freight")</f>
        <v>Freight</v>
      </c>
    </row>
    <row r="22" spans="1:11" ht="20.100000000000001" customHeight="1" x14ac:dyDescent="0.25">
      <c r="A22" s="5" t="str">
        <f>HYPERLINK("#'Input - Manure sent off-site'!A1", "Manure sent off-site")</f>
        <v>Manure sent off-site</v>
      </c>
    </row>
    <row r="23" spans="1:11" ht="20.100000000000001" customHeight="1" x14ac:dyDescent="0.25">
      <c r="A23" s="5" t="str">
        <f>HYPERLINK("#'Input - Solid waste'!A1", "Solid waste")</f>
        <v>Solid waste</v>
      </c>
    </row>
    <row r="24" spans="1:11" ht="20.100000000000001" customHeight="1" x14ac:dyDescent="0.25">
      <c r="A24"/>
    </row>
    <row r="25" spans="1:11" ht="20.100000000000001" customHeight="1" x14ac:dyDescent="0.25">
      <c r="A25"/>
    </row>
    <row r="26" spans="1:11" ht="20.100000000000001" customHeight="1" x14ac:dyDescent="0.25">
      <c r="A26" s="6" t="s">
        <v>2</v>
      </c>
    </row>
    <row r="27" spans="1:11" ht="20.100000000000001" customHeight="1" x14ac:dyDescent="0.25">
      <c r="A27" s="5" t="str">
        <f>HYPERLINK("#'3.2.1.1-2 Enteric Methane'!A1", "3.2.1.1-2 Enteric methane")</f>
        <v>3.2.1.1-2 Enteric methane</v>
      </c>
    </row>
    <row r="28" spans="1:11" ht="20.100000000000001" customHeight="1" x14ac:dyDescent="0.25">
      <c r="A28" s="5" t="str">
        <f>HYPERLINK("#'4.2.1.1-2 Methane'!A1", "4.2.1.1-2 Manure methane")</f>
        <v>4.2.1.1-2 Manure methane</v>
      </c>
    </row>
    <row r="29" spans="1:11" ht="20.100000000000001" customHeight="1" x14ac:dyDescent="0.25">
      <c r="A29" s="5" t="str">
        <f>HYPERLINK("#'4.2.1.3-4 Soil direct N20'!A1", "4.2.1.3-4 Soil direct N2O")</f>
        <v>4.2.1.3-4 Soil direct N2O</v>
      </c>
    </row>
    <row r="30" spans="1:11" ht="20.100000000000001" customHeight="1" x14ac:dyDescent="0.25">
      <c r="A30" s="5" t="str">
        <f>HYPERLINK("#'4.2.1.5-6 Soil Atmos Dep'!A1", "4.2.1.5-6 Soil atm. deposition")</f>
        <v>4.2.1.5-6 Soil atm. deposition</v>
      </c>
    </row>
    <row r="31" spans="1:11" ht="20.100000000000001" customHeight="1" x14ac:dyDescent="0.25">
      <c r="A31" s="5" t="str">
        <f>HYPERLINK("#'4.2.1.7-8 Soil leach runoff'!A1", "4.2.1.7-8 Soil leach &amp; runoff")</f>
        <v>4.2.1.7-8 Soil leach &amp; runoff</v>
      </c>
    </row>
    <row r="32" spans="1:11" ht="20.100000000000001" customHeight="1" x14ac:dyDescent="0.25">
      <c r="A32" s="5" t="str">
        <f>HYPERLINK("#'5.1.1.1-2 Inorganic fert N2O'!A1", "5.1.1.1-2 Inorganic fert N2O")</f>
        <v>5.1.1.1-2 Inorganic fert N2O</v>
      </c>
      <c r="D32" s="2" t="s">
        <v>1185</v>
      </c>
      <c r="K32" s="1" t="s">
        <v>405</v>
      </c>
    </row>
    <row r="33" spans="1:12" ht="20.100000000000001" customHeight="1" x14ac:dyDescent="0.25">
      <c r="A33" s="5" t="str">
        <f>HYPERLINK("#'5.1.1.3-4 Inorganic fert CO2'!A1", "5.1.1.3-4 Inorganic fert CO2")</f>
        <v>5.1.1.3-4 Inorganic fert CO2</v>
      </c>
      <c r="D33" s="30" t="s">
        <v>452</v>
      </c>
      <c r="E33" s="30" t="s">
        <v>152</v>
      </c>
      <c r="F33" s="30" t="s">
        <v>453</v>
      </c>
      <c r="G33" s="30" t="s">
        <v>454</v>
      </c>
      <c r="H33" s="30" t="s">
        <v>455</v>
      </c>
      <c r="I33" s="30" t="s">
        <v>456</v>
      </c>
      <c r="K33" s="30" t="s">
        <v>377</v>
      </c>
      <c r="L33" s="30" t="s">
        <v>406</v>
      </c>
    </row>
    <row r="34" spans="1:12" ht="20.100000000000001" customHeight="1" x14ac:dyDescent="0.25">
      <c r="A34" s="5" t="str">
        <f>HYPERLINK("#'5.2.1.1-2 Organic Fert N2O'!A1", "5.2.1.1-2 Organic fert N2O")</f>
        <v>5.2.1.1-2 Organic fert N2O</v>
      </c>
      <c r="D34" s="30" t="str" cm="1">
        <f t="array" ref="D34">Common_InputFunctions.Utility_DisplayArrayInTable(Scope3_SourceData.Scope3_Livestock_Data(), Table_SourceData_Scope3_Animals100[[#Headers],[Category]], 0, 2)</f>
        <v>Beef cattle</v>
      </c>
      <c r="E34" s="30" t="str" cm="1">
        <f t="array" ref="E34">Common_InputFunctions.Utility_DisplayArrayInTable(Scope3_SourceData.Scope3_Livestock_Data(), Table_SourceData_Scope3_Animals100[[#Headers],[Category]], 0, 2)</f>
        <v>Cattle, for manufacturing beef</v>
      </c>
      <c r="F34" s="30" t="str" cm="1">
        <f t="array" ref="F34">Common_InputFunctions.Utility_DisplayArrayInTable(Scope3_SourceData.Scope3_Livestock_Data(), Table_SourceData_Scope3_Animals100[[#Headers],[Category]], 0, 2)</f>
        <v>Australia</v>
      </c>
      <c r="G34" s="30" t="str" cm="1">
        <f t="array" ref="G34">Common_InputFunctions.Utility_DisplayArrayInTable(Scope3_SourceData.Scope3_Livestock_Data(), Table_SourceData_Scope3_Animals100[[#Headers],[Category]], 0, 2)</f>
        <v>kg liveweight</v>
      </c>
      <c r="H34" s="30" cm="1">
        <f t="array" ref="H34">Common_InputFunctions.Utility_DisplayArrayInTable(Scope3_SourceData.Scope3_Livestock_Data(), Table_SourceData_Scope3_Animals100[[#Headers],[Category]], 0, 2)</f>
        <v>11</v>
      </c>
      <c r="I34" s="30" t="str" cm="1">
        <f t="array" ref="I34">Common_InputFunctions.Utility_DisplayArrayInTable(Scope3_SourceData.Scope3_Livestock_Data(), Table_SourceData_Scope3_Animals100[[#Headers],[Category]], 0, 2)</f>
        <v>at market</v>
      </c>
      <c r="K34" s="30" t="s">
        <v>407</v>
      </c>
      <c r="L34" s="30" t="s">
        <v>408</v>
      </c>
    </row>
    <row r="35" spans="1:12" ht="20.100000000000001" customHeight="1" x14ac:dyDescent="0.25">
      <c r="A35" s="5" t="str">
        <f>HYPERLINK("#'5.3.1.1-2 Lime CO2'!A1", "5.3.1.1-2 Lime CO2")</f>
        <v>5.3.1.1-2 Lime CO2</v>
      </c>
      <c r="D35" s="30" t="str" cm="1">
        <f t="array" ref="D35">Common_InputFunctions.Utility_DisplayArrayInTable(Scope3_SourceData.Scope3_Livestock_Data(), Table_SourceData_Scope3_Animals100[[#Headers],[Category]], 0, 2)</f>
        <v>Beef cattle</v>
      </c>
      <c r="E35" s="30" t="str" cm="1">
        <f t="array" ref="E35">Common_InputFunctions.Utility_DisplayArrayInTable(Scope3_SourceData.Scope3_Livestock_Data(), Table_SourceData_Scope3_Animals100[[#Headers],[Category]], 0, 2)</f>
        <v>Cattle, for manufacturing beef</v>
      </c>
      <c r="F35" s="30" t="str" cm="1">
        <f t="array" ref="F35">Common_InputFunctions.Utility_DisplayArrayInTable(Scope3_SourceData.Scope3_Livestock_Data(), Table_SourceData_Scope3_Animals100[[#Headers],[Category]], 0, 2)</f>
        <v>NSW</v>
      </c>
      <c r="G35" s="30" t="str" cm="1">
        <f t="array" ref="G35">Common_InputFunctions.Utility_DisplayArrayInTable(Scope3_SourceData.Scope3_Livestock_Data(), Table_SourceData_Scope3_Animals100[[#Headers],[Category]], 0, 2)</f>
        <v>kg liveweight</v>
      </c>
      <c r="H35" s="30" cm="1">
        <f t="array" ref="H35">Common_InputFunctions.Utility_DisplayArrayInTable(Scope3_SourceData.Scope3_Livestock_Data(), Table_SourceData_Scope3_Animals100[[#Headers],[Category]], 0, 2)</f>
        <v>8.2100000000000009</v>
      </c>
      <c r="I35" s="30" t="str" cm="1">
        <f t="array" ref="I35">Common_InputFunctions.Utility_DisplayArrayInTable(Scope3_SourceData.Scope3_Livestock_Data(), Table_SourceData_Scope3_Animals100[[#Headers],[Category]], 0, 2)</f>
        <v>at market</v>
      </c>
      <c r="K35" s="30" t="s">
        <v>408</v>
      </c>
      <c r="L35" s="30" t="s">
        <v>408</v>
      </c>
    </row>
    <row r="36" spans="1:12" ht="20.100000000000001" customHeight="1" x14ac:dyDescent="0.25">
      <c r="A36" s="5" t="str">
        <f>HYPERLINK("#'5.4.1.1-4 Atmos deposition'!A1", "5.4.1.1-4 Atmos. deposition")</f>
        <v>5.4.1.1-4 Atmos. deposition</v>
      </c>
      <c r="D36" s="30" t="str" cm="1">
        <f t="array" ref="D36">Common_InputFunctions.Utility_DisplayArrayInTable(Scope3_SourceData.Scope3_Livestock_Data(), Table_SourceData_Scope3_Animals100[[#Headers],[Category]], 0, 2)</f>
        <v>Beef cattle</v>
      </c>
      <c r="E36" s="30" t="str" cm="1">
        <f t="array" ref="E36">Common_InputFunctions.Utility_DisplayArrayInTable(Scope3_SourceData.Scope3_Livestock_Data(), Table_SourceData_Scope3_Animals100[[#Headers],[Category]], 0, 2)</f>
        <v>Cattle, for manufacturing beef</v>
      </c>
      <c r="F36" s="30" t="str" cm="1">
        <f t="array" ref="F36">Common_InputFunctions.Utility_DisplayArrayInTable(Scope3_SourceData.Scope3_Livestock_Data(), Table_SourceData_Scope3_Animals100[[#Headers],[Category]], 0, 2)</f>
        <v>NT</v>
      </c>
      <c r="G36" s="30" t="str" cm="1">
        <f t="array" ref="G36">Common_InputFunctions.Utility_DisplayArrayInTable(Scope3_SourceData.Scope3_Livestock_Data(), Table_SourceData_Scope3_Animals100[[#Headers],[Category]], 0, 2)</f>
        <v>kg liveweight</v>
      </c>
      <c r="H36" s="30" cm="1">
        <f t="array" ref="H36">Common_InputFunctions.Utility_DisplayArrayInTable(Scope3_SourceData.Scope3_Livestock_Data(), Table_SourceData_Scope3_Animals100[[#Headers],[Category]], 0, 2)</f>
        <v>12.2</v>
      </c>
      <c r="I36" s="30" t="str" cm="1">
        <f t="array" ref="I36">Common_InputFunctions.Utility_DisplayArrayInTable(Scope3_SourceData.Scope3_Livestock_Data(), Table_SourceData_Scope3_Animals100[[#Headers],[Category]], 0, 2)</f>
        <v>at market</v>
      </c>
      <c r="K36" s="30" t="s">
        <v>409</v>
      </c>
      <c r="L36" s="30" t="s">
        <v>409</v>
      </c>
    </row>
    <row r="37" spans="1:12" ht="20.100000000000001" customHeight="1" x14ac:dyDescent="0.25">
      <c r="A37" s="5" t="str">
        <f>HYPERLINK("#'5.5.1.1-2 Leaching and runoff'!A1", "5.5.1.1-2 Leaching &amp; runoff")</f>
        <v>5.5.1.1-2 Leaching &amp; runoff</v>
      </c>
      <c r="D37" s="30" t="str" cm="1">
        <f t="array" ref="D37">Common_InputFunctions.Utility_DisplayArrayInTable(Scope3_SourceData.Scope3_Livestock_Data(), Table_SourceData_Scope3_Animals100[[#Headers],[Category]], 0, 2)</f>
        <v>Beef cattle</v>
      </c>
      <c r="E37" s="30" t="str" cm="1">
        <f t="array" ref="E37">Common_InputFunctions.Utility_DisplayArrayInTable(Scope3_SourceData.Scope3_Livestock_Data(), Table_SourceData_Scope3_Animals100[[#Headers],[Category]], 0, 2)</f>
        <v>Cattle, for manufacturing beef</v>
      </c>
      <c r="F37" s="30" t="str" cm="1">
        <f t="array" ref="F37">Common_InputFunctions.Utility_DisplayArrayInTable(Scope3_SourceData.Scope3_Livestock_Data(), Table_SourceData_Scope3_Animals100[[#Headers],[Category]], 0, 2)</f>
        <v>QLD</v>
      </c>
      <c r="G37" s="30" t="str" cm="1">
        <f t="array" ref="G37">Common_InputFunctions.Utility_DisplayArrayInTable(Scope3_SourceData.Scope3_Livestock_Data(), Table_SourceData_Scope3_Animals100[[#Headers],[Category]], 0, 2)</f>
        <v>kg liveweight</v>
      </c>
      <c r="H37" s="30" cm="1">
        <f t="array" ref="H37">Common_InputFunctions.Utility_DisplayArrayInTable(Scope3_SourceData.Scope3_Livestock_Data(), Table_SourceData_Scope3_Animals100[[#Headers],[Category]], 0, 2)</f>
        <v>10.9</v>
      </c>
      <c r="I37" s="30" t="str" cm="1">
        <f t="array" ref="I37">Common_InputFunctions.Utility_DisplayArrayInTable(Scope3_SourceData.Scope3_Livestock_Data(), Table_SourceData_Scope3_Animals100[[#Headers],[Category]], 0, 2)</f>
        <v>at market</v>
      </c>
      <c r="K37" s="30" t="s">
        <v>410</v>
      </c>
      <c r="L37" s="30" t="s">
        <v>410</v>
      </c>
    </row>
    <row r="38" spans="1:12" ht="20.100000000000001" customHeight="1" x14ac:dyDescent="0.25">
      <c r="A38" s="5" t="str">
        <f>HYPERLINK("#'6.2.1.1-2 Pasture residue N2O'!A1", "6.2.1.1-2 Pasture residue N2O")</f>
        <v>6.2.1.1-2 Pasture residue N2O</v>
      </c>
      <c r="D38" s="30" t="str" cm="1">
        <f t="array" ref="D38">Common_InputFunctions.Utility_DisplayArrayInTable(Scope3_SourceData.Scope3_Livestock_Data(), Table_SourceData_Scope3_Animals100[[#Headers],[Category]], 0, 2)</f>
        <v>Beef cattle</v>
      </c>
      <c r="E38" s="30" t="str" cm="1">
        <f t="array" ref="E38">Common_InputFunctions.Utility_DisplayArrayInTable(Scope3_SourceData.Scope3_Livestock_Data(), Table_SourceData_Scope3_Animals100[[#Headers],[Category]], 0, 2)</f>
        <v>Cattle, for manufacturing beef</v>
      </c>
      <c r="F38" s="30" t="str" cm="1">
        <f t="array" ref="F38">Common_InputFunctions.Utility_DisplayArrayInTable(Scope3_SourceData.Scope3_Livestock_Data(), Table_SourceData_Scope3_Animals100[[#Headers],[Category]], 0, 2)</f>
        <v>SA</v>
      </c>
      <c r="G38" s="30" t="str" cm="1">
        <f t="array" ref="G38">Common_InputFunctions.Utility_DisplayArrayInTable(Scope3_SourceData.Scope3_Livestock_Data(), Table_SourceData_Scope3_Animals100[[#Headers],[Category]], 0, 2)</f>
        <v>kg liveweight</v>
      </c>
      <c r="H38" s="30" cm="1">
        <f t="array" ref="H38">Common_InputFunctions.Utility_DisplayArrayInTable(Scope3_SourceData.Scope3_Livestock_Data(), Table_SourceData_Scope3_Animals100[[#Headers],[Category]], 0, 2)</f>
        <v>7.63</v>
      </c>
      <c r="I38" s="30" t="str" cm="1">
        <f t="array" ref="I38">Common_InputFunctions.Utility_DisplayArrayInTable(Scope3_SourceData.Scope3_Livestock_Data(), Table_SourceData_Scope3_Animals100[[#Headers],[Category]], 0, 2)</f>
        <v>at market</v>
      </c>
      <c r="K38" s="30" t="s">
        <v>411</v>
      </c>
      <c r="L38" s="30" t="s">
        <v>411</v>
      </c>
    </row>
    <row r="39" spans="1:12" ht="20.100000000000001" customHeight="1" x14ac:dyDescent="0.25">
      <c r="A39" s="5" t="str">
        <f>HYPERLINK("#'6.3.1.1-2 Leach runoff pasture'!A1", "6.3.1.1-2 Leach &amp; runoff (pasture)")</f>
        <v>6.3.1.1-2 Leach &amp; runoff (pasture)</v>
      </c>
      <c r="D39" s="30" t="str" cm="1">
        <f t="array" ref="D39">Common_InputFunctions.Utility_DisplayArrayInTable(Scope3_SourceData.Scope3_Livestock_Data(), Table_SourceData_Scope3_Animals100[[#Headers],[Category]], 0, 2)</f>
        <v>Beef cattle</v>
      </c>
      <c r="E39" s="30" t="str" cm="1">
        <f t="array" ref="E39">Common_InputFunctions.Utility_DisplayArrayInTable(Scope3_SourceData.Scope3_Livestock_Data(), Table_SourceData_Scope3_Animals100[[#Headers],[Category]], 0, 2)</f>
        <v>Cattle, for manufacturing beef</v>
      </c>
      <c r="F39" s="30" t="str" cm="1">
        <f t="array" ref="F39">Common_InputFunctions.Utility_DisplayArrayInTable(Scope3_SourceData.Scope3_Livestock_Data(), Table_SourceData_Scope3_Animals100[[#Headers],[Category]], 0, 2)</f>
        <v>TAS</v>
      </c>
      <c r="G39" s="30" t="str" cm="1">
        <f t="array" ref="G39">Common_InputFunctions.Utility_DisplayArrayInTable(Scope3_SourceData.Scope3_Livestock_Data(), Table_SourceData_Scope3_Animals100[[#Headers],[Category]], 0, 2)</f>
        <v>kg liveweight</v>
      </c>
      <c r="H39" s="30" cm="1">
        <f t="array" ref="H39">Common_InputFunctions.Utility_DisplayArrayInTable(Scope3_SourceData.Scope3_Livestock_Data(), Table_SourceData_Scope3_Animals100[[#Headers],[Category]], 0, 2)</f>
        <v>8.75</v>
      </c>
      <c r="I39" s="30" t="str" cm="1">
        <f t="array" ref="I39">Common_InputFunctions.Utility_DisplayArrayInTable(Scope3_SourceData.Scope3_Livestock_Data(), Table_SourceData_Scope3_Animals100[[#Headers],[Category]], 0, 2)</f>
        <v>at market</v>
      </c>
      <c r="K39" s="30" t="s">
        <v>412</v>
      </c>
      <c r="L39" s="30" t="s">
        <v>413</v>
      </c>
    </row>
    <row r="40" spans="1:12" ht="20.100000000000001" customHeight="1" x14ac:dyDescent="0.25">
      <c r="A40" s="5" t="str">
        <f>HYPERLINK("#'8.1.1.1-2 Transport fuel'!A1", "8.1.1.1-2 Transport fuel")</f>
        <v>8.1.1.1-2 Transport fuel</v>
      </c>
      <c r="D40" s="30" t="str" cm="1">
        <f t="array" ref="D40">Common_InputFunctions.Utility_DisplayArrayInTable(Scope3_SourceData.Scope3_Livestock_Data(), Table_SourceData_Scope3_Animals100[[#Headers],[Category]], 0, 2)</f>
        <v>Beef cattle</v>
      </c>
      <c r="E40" s="30" t="str" cm="1">
        <f t="array" ref="E40">Common_InputFunctions.Utility_DisplayArrayInTable(Scope3_SourceData.Scope3_Livestock_Data(), Table_SourceData_Scope3_Animals100[[#Headers],[Category]], 0, 2)</f>
        <v>Cattle, for manufacturing beef</v>
      </c>
      <c r="F40" s="30" t="str" cm="1">
        <f t="array" ref="F40">Common_InputFunctions.Utility_DisplayArrayInTable(Scope3_SourceData.Scope3_Livestock_Data(), Table_SourceData_Scope3_Animals100[[#Headers],[Category]], 0, 2)</f>
        <v>VIC</v>
      </c>
      <c r="G40" s="30" t="str" cm="1">
        <f t="array" ref="G40">Common_InputFunctions.Utility_DisplayArrayInTable(Scope3_SourceData.Scope3_Livestock_Data(), Table_SourceData_Scope3_Animals100[[#Headers],[Category]], 0, 2)</f>
        <v>kg liveweight</v>
      </c>
      <c r="H40" s="30" cm="1">
        <f t="array" ref="H40">Common_InputFunctions.Utility_DisplayArrayInTable(Scope3_SourceData.Scope3_Livestock_Data(), Table_SourceData_Scope3_Animals100[[#Headers],[Category]], 0, 2)</f>
        <v>8.17</v>
      </c>
      <c r="I40" s="30" t="str" cm="1">
        <f t="array" ref="I40">Common_InputFunctions.Utility_DisplayArrayInTable(Scope3_SourceData.Scope3_Livestock_Data(), Table_SourceData_Scope3_Animals100[[#Headers],[Category]], 0, 2)</f>
        <v>at market</v>
      </c>
      <c r="K40" s="30" t="s">
        <v>414</v>
      </c>
      <c r="L40" s="30" t="s">
        <v>413</v>
      </c>
    </row>
    <row r="41" spans="1:12" ht="20.100000000000001" customHeight="1" x14ac:dyDescent="0.25">
      <c r="A41" s="5" t="str">
        <f>HYPERLINK("#'8.2.1.1-2 Stationary fuel'!A1", "8.2.1.1-2 Stationary fuel")</f>
        <v>8.2.1.1-2 Stationary fuel</v>
      </c>
      <c r="D41" s="30" t="str" cm="1">
        <f t="array" ref="D41">Common_InputFunctions.Utility_DisplayArrayInTable(Scope3_SourceData.Scope3_Livestock_Data(), Table_SourceData_Scope3_Animals100[[#Headers],[Category]], 0, 2)</f>
        <v>Beef cattle</v>
      </c>
      <c r="E41" s="30" t="str" cm="1">
        <f t="array" ref="E41">Common_InputFunctions.Utility_DisplayArrayInTable(Scope3_SourceData.Scope3_Livestock_Data(), Table_SourceData_Scope3_Animals100[[#Headers],[Category]], 0, 2)</f>
        <v>Cattle, for manufacturing beef</v>
      </c>
      <c r="F41" s="30" t="str" cm="1">
        <f t="array" ref="F41">Common_InputFunctions.Utility_DisplayArrayInTable(Scope3_SourceData.Scope3_Livestock_Data(), Table_SourceData_Scope3_Animals100[[#Headers],[Category]], 0, 2)</f>
        <v>WA</v>
      </c>
      <c r="G41" s="30" t="str" cm="1">
        <f t="array" ref="G41">Common_InputFunctions.Utility_DisplayArrayInTable(Scope3_SourceData.Scope3_Livestock_Data(), Table_SourceData_Scope3_Animals100[[#Headers],[Category]], 0, 2)</f>
        <v>kg liveweight</v>
      </c>
      <c r="H41" s="30" cm="1">
        <f t="array" ref="H41">Common_InputFunctions.Utility_DisplayArrayInTable(Scope3_SourceData.Scope3_Livestock_Data(), Table_SourceData_Scope3_Animals100[[#Headers],[Category]], 0, 2)</f>
        <v>13.1</v>
      </c>
      <c r="I41" s="30" t="str" cm="1">
        <f t="array" ref="I41">Common_InputFunctions.Utility_DisplayArrayInTable(Scope3_SourceData.Scope3_Livestock_Data(), Table_SourceData_Scope3_Animals100[[#Headers],[Category]], 0, 2)</f>
        <v>at market</v>
      </c>
      <c r="K41" s="30" t="s">
        <v>415</v>
      </c>
      <c r="L41" s="30" t="s">
        <v>413</v>
      </c>
    </row>
    <row r="42" spans="1:12" ht="20.100000000000001" customHeight="1" x14ac:dyDescent="0.25">
      <c r="A42" s="5" t="str">
        <f>HYPERLINK("#'14.1.1-2 Purchased electricity'!A1", "14.1.1-2 Purchased electricity")</f>
        <v>14.1.1-2 Purchased electricity</v>
      </c>
      <c r="D42" s="30" t="str" cm="1">
        <f t="array" ref="D42">Common_InputFunctions.Utility_DisplayArrayInTable(Scope3_SourceData.Scope3_Livestock_Data(), Table_SourceData_Scope3_Animals100[[#Headers],[Category]], 0, 2)</f>
        <v>Beef cattle</v>
      </c>
      <c r="E42" s="30" t="str" cm="1">
        <f t="array" ref="E42">Common_InputFunctions.Utility_DisplayArrayInTable(Scope3_SourceData.Scope3_Livestock_Data(), Table_SourceData_Scope3_Animals100[[#Headers],[Category]], 0, 2)</f>
        <v>Cattle, for prime beef</v>
      </c>
      <c r="F42" s="30" t="str" cm="1">
        <f t="array" ref="F42">Common_InputFunctions.Utility_DisplayArrayInTable(Scope3_SourceData.Scope3_Livestock_Data(), Table_SourceData_Scope3_Animals100[[#Headers],[Category]], 0, 2)</f>
        <v>Australia</v>
      </c>
      <c r="G42" s="30" t="str" cm="1">
        <f t="array" ref="G42">Common_InputFunctions.Utility_DisplayArrayInTable(Scope3_SourceData.Scope3_Livestock_Data(), Table_SourceData_Scope3_Animals100[[#Headers],[Category]], 0, 2)</f>
        <v>kg liveweight</v>
      </c>
      <c r="H42" s="30" cm="1">
        <f t="array" ref="H42">Common_InputFunctions.Utility_DisplayArrayInTable(Scope3_SourceData.Scope3_Livestock_Data(), Table_SourceData_Scope3_Animals100[[#Headers],[Category]], 0, 2)</f>
        <v>14.5</v>
      </c>
      <c r="I42" s="30" t="str" cm="1">
        <f t="array" ref="I42">Common_InputFunctions.Utility_DisplayArrayInTable(Scope3_SourceData.Scope3_Livestock_Data(), Table_SourceData_Scope3_Animals100[[#Headers],[Category]], 0, 2)</f>
        <v>at market</v>
      </c>
      <c r="K42" s="30" t="s">
        <v>416</v>
      </c>
      <c r="L42" s="30" t="s">
        <v>417</v>
      </c>
    </row>
    <row r="43" spans="1:12" ht="20.100000000000001" customHeight="1" x14ac:dyDescent="0.25">
      <c r="A43" s="5" t="str">
        <f>HYPERLINK("#'15 Scope 3'!A1", "15 Scope 3")</f>
        <v>15 Scope 3</v>
      </c>
      <c r="D43" s="30" t="str" cm="1">
        <f t="array" ref="D43">Common_InputFunctions.Utility_DisplayArrayInTable(Scope3_SourceData.Scope3_Livestock_Data(), Table_SourceData_Scope3_Animals100[[#Headers],[Category]], 0, 2)</f>
        <v>Beef cattle</v>
      </c>
      <c r="E43" s="30" t="str" cm="1">
        <f t="array" ref="E43">Common_InputFunctions.Utility_DisplayArrayInTable(Scope3_SourceData.Scope3_Livestock_Data(), Table_SourceData_Scope3_Animals100[[#Headers],[Category]], 0, 2)</f>
        <v>Cattle, for prime beef</v>
      </c>
      <c r="F43" s="30" t="str" cm="1">
        <f t="array" ref="F43">Common_InputFunctions.Utility_DisplayArrayInTable(Scope3_SourceData.Scope3_Livestock_Data(), Table_SourceData_Scope3_Animals100[[#Headers],[Category]], 0, 2)</f>
        <v>NSW</v>
      </c>
      <c r="G43" s="30" t="str" cm="1">
        <f t="array" ref="G43">Common_InputFunctions.Utility_DisplayArrayInTable(Scope3_SourceData.Scope3_Livestock_Data(), Table_SourceData_Scope3_Animals100[[#Headers],[Category]], 0, 2)</f>
        <v>kg liveweight</v>
      </c>
      <c r="H43" s="30" cm="1">
        <f t="array" ref="H43">Common_InputFunctions.Utility_DisplayArrayInTable(Scope3_SourceData.Scope3_Livestock_Data(), Table_SourceData_Scope3_Animals100[[#Headers],[Category]], 0, 2)</f>
        <v>11.3</v>
      </c>
      <c r="I43" s="30" t="str" cm="1">
        <f t="array" ref="I43">Common_InputFunctions.Utility_DisplayArrayInTable(Scope3_SourceData.Scope3_Livestock_Data(), Table_SourceData_Scope3_Animals100[[#Headers],[Category]], 0, 2)</f>
        <v>at market</v>
      </c>
      <c r="K43" s="30" t="s">
        <v>418</v>
      </c>
      <c r="L43" s="30" t="s">
        <v>417</v>
      </c>
    </row>
    <row r="44" spans="1:12" ht="20.100000000000001" customHeight="1" x14ac:dyDescent="0.25">
      <c r="A44" s="5" t="str">
        <f>HYPERLINK("#'Calcs - Manure sent off-site'!A1", "Calcs - Manure sent off-site")</f>
        <v>Calcs - Manure sent off-site</v>
      </c>
      <c r="D44" s="30" t="str" cm="1">
        <f t="array" ref="D44">Common_InputFunctions.Utility_DisplayArrayInTable(Scope3_SourceData.Scope3_Livestock_Data(), Table_SourceData_Scope3_Animals100[[#Headers],[Category]], 0, 2)</f>
        <v>Beef cattle</v>
      </c>
      <c r="E44" s="30" t="str" cm="1">
        <f t="array" ref="E44">Common_InputFunctions.Utility_DisplayArrayInTable(Scope3_SourceData.Scope3_Livestock_Data(), Table_SourceData_Scope3_Animals100[[#Headers],[Category]], 0, 2)</f>
        <v>Cattle, for prime beef</v>
      </c>
      <c r="F44" s="30" t="str" cm="1">
        <f t="array" ref="F44">Common_InputFunctions.Utility_DisplayArrayInTable(Scope3_SourceData.Scope3_Livestock_Data(), Table_SourceData_Scope3_Animals100[[#Headers],[Category]], 0, 2)</f>
        <v>NT</v>
      </c>
      <c r="G44" s="30" t="str" cm="1">
        <f t="array" ref="G44">Common_InputFunctions.Utility_DisplayArrayInTable(Scope3_SourceData.Scope3_Livestock_Data(), Table_SourceData_Scope3_Animals100[[#Headers],[Category]], 0, 2)</f>
        <v>kg liveweight</v>
      </c>
      <c r="H44" s="30" cm="1">
        <f t="array" ref="H44">Common_InputFunctions.Utility_DisplayArrayInTable(Scope3_SourceData.Scope3_Livestock_Data(), Table_SourceData_Scope3_Animals100[[#Headers],[Category]], 0, 2)</f>
        <v>18.899999999999999</v>
      </c>
      <c r="I44" s="30" t="str" cm="1">
        <f t="array" ref="I44">Common_InputFunctions.Utility_DisplayArrayInTable(Scope3_SourceData.Scope3_Livestock_Data(), Table_SourceData_Scope3_Animals100[[#Headers],[Category]], 0, 2)</f>
        <v>at market</v>
      </c>
      <c r="K44" s="30" t="s">
        <v>419</v>
      </c>
      <c r="L44" s="30" t="s">
        <v>417</v>
      </c>
    </row>
    <row r="45" spans="1:12" ht="20.100000000000001" customHeight="1" x14ac:dyDescent="0.25">
      <c r="A45" s="5" t="str">
        <f>HYPERLINK("#'10.1.1-2 Solid waste treatment'!A1", "10.1.1-2 Solid waste treatment")</f>
        <v>10.1.1-2 Solid waste treatment</v>
      </c>
      <c r="D45" s="30" t="str" cm="1">
        <f t="array" ref="D45">Common_InputFunctions.Utility_DisplayArrayInTable(Scope3_SourceData.Scope3_Livestock_Data(), Table_SourceData_Scope3_Animals100[[#Headers],[Category]], 0, 2)</f>
        <v>Beef cattle</v>
      </c>
      <c r="E45" s="30" t="str" cm="1">
        <f t="array" ref="E45">Common_InputFunctions.Utility_DisplayArrayInTable(Scope3_SourceData.Scope3_Livestock_Data(), Table_SourceData_Scope3_Animals100[[#Headers],[Category]], 0, 2)</f>
        <v>Cattle, for prime beef</v>
      </c>
      <c r="F45" s="30" t="str" cm="1">
        <f t="array" ref="F45">Common_InputFunctions.Utility_DisplayArrayInTable(Scope3_SourceData.Scope3_Livestock_Data(), Table_SourceData_Scope3_Animals100[[#Headers],[Category]], 0, 2)</f>
        <v>QLD</v>
      </c>
      <c r="G45" s="30" t="str" cm="1">
        <f t="array" ref="G45">Common_InputFunctions.Utility_DisplayArrayInTable(Scope3_SourceData.Scope3_Livestock_Data(), Table_SourceData_Scope3_Animals100[[#Headers],[Category]], 0, 2)</f>
        <v>kg liveweight</v>
      </c>
      <c r="H45" s="30" cm="1">
        <f t="array" ref="H45">Common_InputFunctions.Utility_DisplayArrayInTable(Scope3_SourceData.Scope3_Livestock_Data(), Table_SourceData_Scope3_Animals100[[#Headers],[Category]], 0, 2)</f>
        <v>13.9</v>
      </c>
      <c r="I45" s="30" t="str" cm="1">
        <f t="array" ref="I45">Common_InputFunctions.Utility_DisplayArrayInTable(Scope3_SourceData.Scope3_Livestock_Data(), Table_SourceData_Scope3_Animals100[[#Headers],[Category]], 0, 2)</f>
        <v>at market</v>
      </c>
      <c r="K45" s="30" t="s">
        <v>420</v>
      </c>
      <c r="L45" s="30" t="s">
        <v>421</v>
      </c>
    </row>
    <row r="46" spans="1:12" ht="20.100000000000001" customHeight="1" x14ac:dyDescent="0.25">
      <c r="A46"/>
      <c r="D46" s="30" t="str" cm="1">
        <f t="array" ref="D46">Common_InputFunctions.Utility_DisplayArrayInTable(Scope3_SourceData.Scope3_Livestock_Data(), Table_SourceData_Scope3_Animals100[[#Headers],[Category]], 0, 2)</f>
        <v>Beef cattle</v>
      </c>
      <c r="E46" s="30" t="str" cm="1">
        <f t="array" ref="E46">Common_InputFunctions.Utility_DisplayArrayInTable(Scope3_SourceData.Scope3_Livestock_Data(), Table_SourceData_Scope3_Animals100[[#Headers],[Category]], 0, 2)</f>
        <v>Cattle, for prime beef</v>
      </c>
      <c r="F46" s="30" t="str" cm="1">
        <f t="array" ref="F46">Common_InputFunctions.Utility_DisplayArrayInTable(Scope3_SourceData.Scope3_Livestock_Data(), Table_SourceData_Scope3_Animals100[[#Headers],[Category]], 0, 2)</f>
        <v>SA</v>
      </c>
      <c r="G46" s="30" t="str" cm="1">
        <f t="array" ref="G46">Common_InputFunctions.Utility_DisplayArrayInTable(Scope3_SourceData.Scope3_Livestock_Data(), Table_SourceData_Scope3_Animals100[[#Headers],[Category]], 0, 2)</f>
        <v>kg liveweight</v>
      </c>
      <c r="H46" s="30" cm="1">
        <f t="array" ref="H46">Common_InputFunctions.Utility_DisplayArrayInTable(Scope3_SourceData.Scope3_Livestock_Data(), Table_SourceData_Scope3_Animals100[[#Headers],[Category]], 0, 2)</f>
        <v>12.3</v>
      </c>
      <c r="I46" s="30" t="str" cm="1">
        <f t="array" ref="I46">Common_InputFunctions.Utility_DisplayArrayInTable(Scope3_SourceData.Scope3_Livestock_Data(), Table_SourceData_Scope3_Animals100[[#Headers],[Category]], 0, 2)</f>
        <v>at market</v>
      </c>
      <c r="K46" s="30" t="s">
        <v>422</v>
      </c>
      <c r="L46" s="30" t="s">
        <v>421</v>
      </c>
    </row>
    <row r="47" spans="1:12" ht="20.100000000000001" customHeight="1" x14ac:dyDescent="0.25">
      <c r="A47"/>
      <c r="D47" s="30" t="str" cm="1">
        <f t="array" ref="D47">Common_InputFunctions.Utility_DisplayArrayInTable(Scope3_SourceData.Scope3_Livestock_Data(), Table_SourceData_Scope3_Animals100[[#Headers],[Category]], 0, 2)</f>
        <v>Beef cattle</v>
      </c>
      <c r="E47" s="30" t="str" cm="1">
        <f t="array" ref="E47">Common_InputFunctions.Utility_DisplayArrayInTable(Scope3_SourceData.Scope3_Livestock_Data(), Table_SourceData_Scope3_Animals100[[#Headers],[Category]], 0, 2)</f>
        <v>Cattle, for prime beef</v>
      </c>
      <c r="F47" s="30" t="str" cm="1">
        <f t="array" ref="F47">Common_InputFunctions.Utility_DisplayArrayInTable(Scope3_SourceData.Scope3_Livestock_Data(), Table_SourceData_Scope3_Animals100[[#Headers],[Category]], 0, 2)</f>
        <v>TAS</v>
      </c>
      <c r="G47" s="30" t="str" cm="1">
        <f t="array" ref="G47">Common_InputFunctions.Utility_DisplayArrayInTable(Scope3_SourceData.Scope3_Livestock_Data(), Table_SourceData_Scope3_Animals100[[#Headers],[Category]], 0, 2)</f>
        <v>kg liveweight</v>
      </c>
      <c r="H47" s="30" cm="1">
        <f t="array" ref="H47">Common_InputFunctions.Utility_DisplayArrayInTable(Scope3_SourceData.Scope3_Livestock_Data(), Table_SourceData_Scope3_Animals100[[#Headers],[Category]], 0, 2)</f>
        <v>11.5</v>
      </c>
      <c r="I47" s="30" t="str" cm="1">
        <f t="array" ref="I47">Common_InputFunctions.Utility_DisplayArrayInTable(Scope3_SourceData.Scope3_Livestock_Data(), Table_SourceData_Scope3_Animals100[[#Headers],[Category]], 0, 2)</f>
        <v>at market</v>
      </c>
      <c r="K47" s="30" t="s">
        <v>423</v>
      </c>
      <c r="L47" s="30" t="s">
        <v>421</v>
      </c>
    </row>
    <row r="48" spans="1:12" ht="20.100000000000001" customHeight="1" x14ac:dyDescent="0.25">
      <c r="A48" s="97" t="s">
        <v>1</v>
      </c>
      <c r="D48" s="30" t="str" cm="1">
        <f t="array" ref="D48">Common_InputFunctions.Utility_DisplayArrayInTable(Scope3_SourceData.Scope3_Livestock_Data(), Table_SourceData_Scope3_Animals100[[#Headers],[Category]], 0, 2)</f>
        <v>Beef cattle</v>
      </c>
      <c r="E48" s="30" t="str" cm="1">
        <f t="array" ref="E48">Common_InputFunctions.Utility_DisplayArrayInTable(Scope3_SourceData.Scope3_Livestock_Data(), Table_SourceData_Scope3_Animals100[[#Headers],[Category]], 0, 2)</f>
        <v>Cattle, for prime beef</v>
      </c>
      <c r="F48" s="30" t="str" cm="1">
        <f t="array" ref="F48">Common_InputFunctions.Utility_DisplayArrayInTable(Scope3_SourceData.Scope3_Livestock_Data(), Table_SourceData_Scope3_Animals100[[#Headers],[Category]], 0, 2)</f>
        <v>VIC</v>
      </c>
      <c r="G48" s="30" t="str" cm="1">
        <f t="array" ref="G48">Common_InputFunctions.Utility_DisplayArrayInTable(Scope3_SourceData.Scope3_Livestock_Data(), Table_SourceData_Scope3_Animals100[[#Headers],[Category]], 0, 2)</f>
        <v>kg liveweight</v>
      </c>
      <c r="H48" s="30" cm="1">
        <f t="array" ref="H48">Common_InputFunctions.Utility_DisplayArrayInTable(Scope3_SourceData.Scope3_Livestock_Data(), Table_SourceData_Scope3_Animals100[[#Headers],[Category]], 0, 2)</f>
        <v>11.5</v>
      </c>
      <c r="I48" s="30" t="str" cm="1">
        <f t="array" ref="I48">Common_InputFunctions.Utility_DisplayArrayInTable(Scope3_SourceData.Scope3_Livestock_Data(), Table_SourceData_Scope3_Animals100[[#Headers],[Category]], 0, 2)</f>
        <v>at market</v>
      </c>
      <c r="K48" s="30" t="s">
        <v>424</v>
      </c>
      <c r="L48" s="30" t="s">
        <v>421</v>
      </c>
    </row>
    <row r="49" spans="1:12" ht="20.100000000000001" customHeight="1" x14ac:dyDescent="0.25">
      <c r="A49" s="5" t="str">
        <f>HYPERLINK("#'Constants - Pasture Beef'!A1", "Constants - Pasture Beef")</f>
        <v>Constants - Pasture Beef</v>
      </c>
      <c r="D49" s="30" t="str" cm="1">
        <f t="array" ref="D49">Common_InputFunctions.Utility_DisplayArrayInTable(Scope3_SourceData.Scope3_Livestock_Data(), Table_SourceData_Scope3_Animals100[[#Headers],[Category]], 0, 2)</f>
        <v>Beef cattle</v>
      </c>
      <c r="E49" s="30" t="str" cm="1">
        <f t="array" ref="E49">Common_InputFunctions.Utility_DisplayArrayInTable(Scope3_SourceData.Scope3_Livestock_Data(), Table_SourceData_Scope3_Animals100[[#Headers],[Category]], 0, 2)</f>
        <v>Cattle, for prime beef</v>
      </c>
      <c r="F49" s="30" t="str" cm="1">
        <f t="array" ref="F49">Common_InputFunctions.Utility_DisplayArrayInTable(Scope3_SourceData.Scope3_Livestock_Data(), Table_SourceData_Scope3_Animals100[[#Headers],[Category]], 0, 2)</f>
        <v>WA</v>
      </c>
      <c r="G49" s="30" t="str" cm="1">
        <f t="array" ref="G49">Common_InputFunctions.Utility_DisplayArrayInTable(Scope3_SourceData.Scope3_Livestock_Data(), Table_SourceData_Scope3_Animals100[[#Headers],[Category]], 0, 2)</f>
        <v>kg liveweight</v>
      </c>
      <c r="H49" s="30" cm="1">
        <f t="array" ref="H49">Common_InputFunctions.Utility_DisplayArrayInTable(Scope3_SourceData.Scope3_Livestock_Data(), Table_SourceData_Scope3_Animals100[[#Headers],[Category]], 0, 2)</f>
        <v>20.8</v>
      </c>
      <c r="I49" s="30" t="str" cm="1">
        <f t="array" ref="I49">Common_InputFunctions.Utility_DisplayArrayInTable(Scope3_SourceData.Scope3_Livestock_Data(), Table_SourceData_Scope3_Animals100[[#Headers],[Category]], 0, 2)</f>
        <v>at market</v>
      </c>
      <c r="K49" s="1" t="s">
        <v>425</v>
      </c>
      <c r="L49" s="1" t="s">
        <v>425</v>
      </c>
    </row>
    <row r="50" spans="1:12" ht="20.100000000000001" customHeight="1" x14ac:dyDescent="0.25">
      <c r="A50" s="5" t="str">
        <f>HYPERLINK("#'Constants - Ag Residue'!A1", "Constants - Ag residue")</f>
        <v>Constants - Ag residue</v>
      </c>
      <c r="D50" s="30" t="str" cm="1">
        <f t="array" ref="D50">Common_InputFunctions.Utility_DisplayArrayInTable(Scope3_SourceData.Scope3_Livestock_Data(), Table_SourceData_Scope3_Animals100[[#Headers],[Category]], 0, 2)</f>
        <v>Beef cattle</v>
      </c>
      <c r="E50" s="30" t="str" cm="1">
        <f t="array" ref="E50">Common_InputFunctions.Utility_DisplayArrayInTable(Scope3_SourceData.Scope3_Livestock_Data(), Table_SourceData_Scope3_Animals100[[#Headers],[Category]], 0, 2)</f>
        <v>Cattle, weaners</v>
      </c>
      <c r="F50" s="30" t="str" cm="1">
        <f t="array" ref="F50">Common_InputFunctions.Utility_DisplayArrayInTable(Scope3_SourceData.Scope3_Livestock_Data(), Table_SourceData_Scope3_Animals100[[#Headers],[Category]], 0, 2)</f>
        <v>Australia</v>
      </c>
      <c r="G50" s="30" t="str" cm="1">
        <f t="array" ref="G50">Common_InputFunctions.Utility_DisplayArrayInTable(Scope3_SourceData.Scope3_Livestock_Data(), Table_SourceData_Scope3_Animals100[[#Headers],[Category]], 0, 2)</f>
        <v>kg liveweight</v>
      </c>
      <c r="H50" s="30" cm="1">
        <f t="array" ref="H50">Common_InputFunctions.Utility_DisplayArrayInTable(Scope3_SourceData.Scope3_Livestock_Data(), Table_SourceData_Scope3_Animals100[[#Headers],[Category]], 0, 2)</f>
        <v>15.5</v>
      </c>
      <c r="I50" s="30" t="str" cm="1">
        <f t="array" ref="I50">Common_InputFunctions.Utility_DisplayArrayInTable(Scope3_SourceData.Scope3_Livestock_Data(), Table_SourceData_Scope3_Animals100[[#Headers],[Category]], 0, 2)</f>
        <v>at market</v>
      </c>
    </row>
    <row r="51" spans="1:12" ht="20.100000000000001" customHeight="1" x14ac:dyDescent="0.25">
      <c r="A51" s="5" t="str">
        <f>HYPERLINK("#'Constants - Common Livestock'!A1", "Constants - Common Livestock")</f>
        <v>Constants - Common Livestock</v>
      </c>
      <c r="D51" s="30" t="str" cm="1">
        <f t="array" ref="D51">Common_InputFunctions.Utility_DisplayArrayInTable(Scope3_SourceData.Scope3_Livestock_Data(), Table_SourceData_Scope3_Animals100[[#Headers],[Category]], 0, 2)</f>
        <v>Beef cattle</v>
      </c>
      <c r="E51" s="30" t="str" cm="1">
        <f t="array" ref="E51">Common_InputFunctions.Utility_DisplayArrayInTable(Scope3_SourceData.Scope3_Livestock_Data(), Table_SourceData_Scope3_Animals100[[#Headers],[Category]], 0, 2)</f>
        <v>Cattle, weaners</v>
      </c>
      <c r="F51" s="30" t="str" cm="1">
        <f t="array" ref="F51">Common_InputFunctions.Utility_DisplayArrayInTable(Scope3_SourceData.Scope3_Livestock_Data(), Table_SourceData_Scope3_Animals100[[#Headers],[Category]], 0, 2)</f>
        <v>NSW</v>
      </c>
      <c r="G51" s="30" t="str" cm="1">
        <f t="array" ref="G51">Common_InputFunctions.Utility_DisplayArrayInTable(Scope3_SourceData.Scope3_Livestock_Data(), Table_SourceData_Scope3_Animals100[[#Headers],[Category]], 0, 2)</f>
        <v>kg liveweight</v>
      </c>
      <c r="H51" s="30" cm="1">
        <f t="array" ref="H51">Common_InputFunctions.Utility_DisplayArrayInTable(Scope3_SourceData.Scope3_Livestock_Data(), Table_SourceData_Scope3_Animals100[[#Headers],[Category]], 0, 2)</f>
        <v>12.7</v>
      </c>
      <c r="I51" s="30" t="str" cm="1">
        <f t="array" ref="I51">Common_InputFunctions.Utility_DisplayArrayInTable(Scope3_SourceData.Scope3_Livestock_Data(), Table_SourceData_Scope3_Animals100[[#Headers],[Category]], 0, 2)</f>
        <v>at market</v>
      </c>
    </row>
    <row r="52" spans="1:12" ht="20.100000000000001" customHeight="1" x14ac:dyDescent="0.25">
      <c r="A52" s="5" t="str">
        <f>HYPERLINK("#'Constants - Electricity'!A1", "Constants - Electricity")</f>
        <v>Constants - Electricity</v>
      </c>
      <c r="D52" s="30" t="str" cm="1">
        <f t="array" ref="D52">Common_InputFunctions.Utility_DisplayArrayInTable(Scope3_SourceData.Scope3_Livestock_Data(), Table_SourceData_Scope3_Animals100[[#Headers],[Category]], 0, 2)</f>
        <v>Beef cattle</v>
      </c>
      <c r="E52" s="30" t="str" cm="1">
        <f t="array" ref="E52">Common_InputFunctions.Utility_DisplayArrayInTable(Scope3_SourceData.Scope3_Livestock_Data(), Table_SourceData_Scope3_Animals100[[#Headers],[Category]], 0, 2)</f>
        <v>Cattle, weaners</v>
      </c>
      <c r="F52" s="30" t="str" cm="1">
        <f t="array" ref="F52">Common_InputFunctions.Utility_DisplayArrayInTable(Scope3_SourceData.Scope3_Livestock_Data(), Table_SourceData_Scope3_Animals100[[#Headers],[Category]], 0, 2)</f>
        <v>NT</v>
      </c>
      <c r="G52" s="30" t="str" cm="1">
        <f t="array" ref="G52">Common_InputFunctions.Utility_DisplayArrayInTable(Scope3_SourceData.Scope3_Livestock_Data(), Table_SourceData_Scope3_Animals100[[#Headers],[Category]], 0, 2)</f>
        <v>kg liveweight</v>
      </c>
      <c r="H52" s="30" cm="1">
        <f t="array" ref="H52">Common_InputFunctions.Utility_DisplayArrayInTable(Scope3_SourceData.Scope3_Livestock_Data(), Table_SourceData_Scope3_Animals100[[#Headers],[Category]], 0, 2)</f>
        <v>19.100000000000001</v>
      </c>
      <c r="I52" s="30" t="str" cm="1">
        <f t="array" ref="I52">Common_InputFunctions.Utility_DisplayArrayInTable(Scope3_SourceData.Scope3_Livestock_Data(), Table_SourceData_Scope3_Animals100[[#Headers],[Category]], 0, 2)</f>
        <v>at market</v>
      </c>
    </row>
    <row r="53" spans="1:12" ht="20.100000000000001" customHeight="1" x14ac:dyDescent="0.25">
      <c r="A53" s="5" t="str">
        <f>HYPERLINK("#'Constants - Fertiliser'!A1", "Constants - Fertiliser")</f>
        <v>Constants - Fertiliser</v>
      </c>
      <c r="D53" s="30" t="str" cm="1">
        <f t="array" ref="D53">Common_InputFunctions.Utility_DisplayArrayInTable(Scope3_SourceData.Scope3_Livestock_Data(), Table_SourceData_Scope3_Animals100[[#Headers],[Category]], 0, 2)</f>
        <v>Beef cattle</v>
      </c>
      <c r="E53" s="30" t="str" cm="1">
        <f t="array" ref="E53">Common_InputFunctions.Utility_DisplayArrayInTable(Scope3_SourceData.Scope3_Livestock_Data(), Table_SourceData_Scope3_Animals100[[#Headers],[Category]], 0, 2)</f>
        <v>Cattle, weaners</v>
      </c>
      <c r="F53" s="30" t="str" cm="1">
        <f t="array" ref="F53">Common_InputFunctions.Utility_DisplayArrayInTable(Scope3_SourceData.Scope3_Livestock_Data(), Table_SourceData_Scope3_Animals100[[#Headers],[Category]], 0, 2)</f>
        <v>QLD</v>
      </c>
      <c r="G53" s="30" t="str" cm="1">
        <f t="array" ref="G53">Common_InputFunctions.Utility_DisplayArrayInTable(Scope3_SourceData.Scope3_Livestock_Data(), Table_SourceData_Scope3_Animals100[[#Headers],[Category]], 0, 2)</f>
        <v>kg liveweight</v>
      </c>
      <c r="H53" s="30" cm="1">
        <f t="array" ref="H53">Common_InputFunctions.Utility_DisplayArrayInTable(Scope3_SourceData.Scope3_Livestock_Data(), Table_SourceData_Scope3_Animals100[[#Headers],[Category]], 0, 2)</f>
        <v>20.5</v>
      </c>
      <c r="I53" s="30" t="str" cm="1">
        <f t="array" ref="I53">Common_InputFunctions.Utility_DisplayArrayInTable(Scope3_SourceData.Scope3_Livestock_Data(), Table_SourceData_Scope3_Animals100[[#Headers],[Category]], 0, 2)</f>
        <v>at market</v>
      </c>
    </row>
    <row r="54" spans="1:12" ht="20.100000000000001" customHeight="1" x14ac:dyDescent="0.25">
      <c r="A54" s="5" t="str">
        <f>HYPERLINK("#'Constants - Fuel'!A1", "Constants - Fuel")</f>
        <v>Constants - Fuel</v>
      </c>
      <c r="D54" s="30" t="str" cm="1">
        <f t="array" ref="D54">Common_InputFunctions.Utility_DisplayArrayInTable(Scope3_SourceData.Scope3_Livestock_Data(), Table_SourceData_Scope3_Animals100[[#Headers],[Category]], 0, 2)</f>
        <v>Beef cattle</v>
      </c>
      <c r="E54" s="30" t="str" cm="1">
        <f t="array" ref="E54">Common_InputFunctions.Utility_DisplayArrayInTable(Scope3_SourceData.Scope3_Livestock_Data(), Table_SourceData_Scope3_Animals100[[#Headers],[Category]], 0, 2)</f>
        <v>Cattle, weaners</v>
      </c>
      <c r="F54" s="30" t="str" cm="1">
        <f t="array" ref="F54">Common_InputFunctions.Utility_DisplayArrayInTable(Scope3_SourceData.Scope3_Livestock_Data(), Table_SourceData_Scope3_Animals100[[#Headers],[Category]], 0, 2)</f>
        <v>SA</v>
      </c>
      <c r="G54" s="30" t="str" cm="1">
        <f t="array" ref="G54">Common_InputFunctions.Utility_DisplayArrayInTable(Scope3_SourceData.Scope3_Livestock_Data(), Table_SourceData_Scope3_Animals100[[#Headers],[Category]], 0, 2)</f>
        <v>kg liveweight</v>
      </c>
      <c r="H54" s="30" cm="1">
        <f t="array" ref="H54">Common_InputFunctions.Utility_DisplayArrayInTable(Scope3_SourceData.Scope3_Livestock_Data(), Table_SourceData_Scope3_Animals100[[#Headers],[Category]], 0, 2)</f>
        <v>10.8</v>
      </c>
      <c r="I54" s="30" t="str" cm="1">
        <f t="array" ref="I54">Common_InputFunctions.Utility_DisplayArrayInTable(Scope3_SourceData.Scope3_Livestock_Data(), Table_SourceData_Scope3_Animals100[[#Headers],[Category]], 0, 2)</f>
        <v>at market</v>
      </c>
    </row>
    <row r="55" spans="1:12" ht="20.100000000000001" customHeight="1" x14ac:dyDescent="0.25">
      <c r="A55" s="127" t="str">
        <f>HYPERLINK("#'Constants - Scope 3'!A1", "Constants - Scope 3")</f>
        <v>Constants - Scope 3</v>
      </c>
      <c r="D55" s="30" t="str" cm="1">
        <f t="array" ref="D55">Common_InputFunctions.Utility_DisplayArrayInTable(Scope3_SourceData.Scope3_Livestock_Data(), Table_SourceData_Scope3_Animals100[[#Headers],[Category]], 0, 2)</f>
        <v>Beef cattle</v>
      </c>
      <c r="E55" s="30" t="str" cm="1">
        <f t="array" ref="E55">Common_InputFunctions.Utility_DisplayArrayInTable(Scope3_SourceData.Scope3_Livestock_Data(), Table_SourceData_Scope3_Animals100[[#Headers],[Category]], 0, 2)</f>
        <v>Cattle, weaners</v>
      </c>
      <c r="F55" s="30" t="str" cm="1">
        <f t="array" ref="F55">Common_InputFunctions.Utility_DisplayArrayInTable(Scope3_SourceData.Scope3_Livestock_Data(), Table_SourceData_Scope3_Animals100[[#Headers],[Category]], 0, 2)</f>
        <v>TAS</v>
      </c>
      <c r="G55" s="30" t="str" cm="1">
        <f t="array" ref="G55">Common_InputFunctions.Utility_DisplayArrayInTable(Scope3_SourceData.Scope3_Livestock_Data(), Table_SourceData_Scope3_Animals100[[#Headers],[Category]], 0, 2)</f>
        <v>kg liveweight</v>
      </c>
      <c r="H55" s="30" cm="1">
        <f t="array" ref="H55">Common_InputFunctions.Utility_DisplayArrayInTable(Scope3_SourceData.Scope3_Livestock_Data(), Table_SourceData_Scope3_Animals100[[#Headers],[Category]], 0, 2)</f>
        <v>13.4</v>
      </c>
      <c r="I55" s="30" t="str" cm="1">
        <f t="array" ref="I55">Common_InputFunctions.Utility_DisplayArrayInTable(Scope3_SourceData.Scope3_Livestock_Data(), Table_SourceData_Scope3_Animals100[[#Headers],[Category]], 0, 2)</f>
        <v>at market</v>
      </c>
    </row>
    <row r="56" spans="1:12" ht="20.100000000000001" customHeight="1" x14ac:dyDescent="0.25">
      <c r="A56" s="5" t="str">
        <f>HYPERLINK("#'Constants - Common'!A1", "Constants - Common")</f>
        <v>Constants - Common</v>
      </c>
      <c r="D56" s="30" t="str" cm="1">
        <f t="array" ref="D56">Common_InputFunctions.Utility_DisplayArrayInTable(Scope3_SourceData.Scope3_Livestock_Data(), Table_SourceData_Scope3_Animals100[[#Headers],[Category]], 0, 2)</f>
        <v>Beef cattle</v>
      </c>
      <c r="E56" s="30" t="str" cm="1">
        <f t="array" ref="E56">Common_InputFunctions.Utility_DisplayArrayInTable(Scope3_SourceData.Scope3_Livestock_Data(), Table_SourceData_Scope3_Animals100[[#Headers],[Category]], 0, 2)</f>
        <v>Cattle, weaners</v>
      </c>
      <c r="F56" s="30" t="str" cm="1">
        <f t="array" ref="F56">Common_InputFunctions.Utility_DisplayArrayInTable(Scope3_SourceData.Scope3_Livestock_Data(), Table_SourceData_Scope3_Animals100[[#Headers],[Category]], 0, 2)</f>
        <v>VIC</v>
      </c>
      <c r="G56" s="30" t="str" cm="1">
        <f t="array" ref="G56">Common_InputFunctions.Utility_DisplayArrayInTable(Scope3_SourceData.Scope3_Livestock_Data(), Table_SourceData_Scope3_Animals100[[#Headers],[Category]], 0, 2)</f>
        <v>kg liveweight</v>
      </c>
      <c r="H56" s="30" cm="1">
        <f t="array" ref="H56">Common_InputFunctions.Utility_DisplayArrayInTable(Scope3_SourceData.Scope3_Livestock_Data(), Table_SourceData_Scope3_Animals100[[#Headers],[Category]], 0, 2)</f>
        <v>12</v>
      </c>
      <c r="I56" s="30" t="str" cm="1">
        <f t="array" ref="I56">Common_InputFunctions.Utility_DisplayArrayInTable(Scope3_SourceData.Scope3_Livestock_Data(), Table_SourceData_Scope3_Animals100[[#Headers],[Category]], 0, 2)</f>
        <v>at market</v>
      </c>
    </row>
    <row r="57" spans="1:12" ht="20.100000000000001" customHeight="1" x14ac:dyDescent="0.25">
      <c r="A57" s="5" t="str">
        <f>HYPERLINK("#'Acknowledgements'!A1", "Acknowledgements")</f>
        <v>Acknowledgements</v>
      </c>
      <c r="D57" s="30" t="str" cm="1">
        <f t="array" ref="D57">Common_InputFunctions.Utility_DisplayArrayInTable(Scope3_SourceData.Scope3_Livestock_Data(), Table_SourceData_Scope3_Animals100[[#Headers],[Category]], 0, 2)</f>
        <v>Beef cattle</v>
      </c>
      <c r="E57" s="30" t="str" cm="1">
        <f t="array" ref="E57">Common_InputFunctions.Utility_DisplayArrayInTable(Scope3_SourceData.Scope3_Livestock_Data(), Table_SourceData_Scope3_Animals100[[#Headers],[Category]], 0, 2)</f>
        <v>Cattle, weaners</v>
      </c>
      <c r="F57" s="30" t="str" cm="1">
        <f t="array" ref="F57">Common_InputFunctions.Utility_DisplayArrayInTable(Scope3_SourceData.Scope3_Livestock_Data(), Table_SourceData_Scope3_Animals100[[#Headers],[Category]], 0, 2)</f>
        <v>WA</v>
      </c>
      <c r="G57" s="30" t="str" cm="1">
        <f t="array" ref="G57">Common_InputFunctions.Utility_DisplayArrayInTable(Scope3_SourceData.Scope3_Livestock_Data(), Table_SourceData_Scope3_Animals100[[#Headers],[Category]], 0, 2)</f>
        <v>kg liveweight</v>
      </c>
      <c r="H57" s="30" cm="1">
        <f t="array" ref="H57">Common_InputFunctions.Utility_DisplayArrayInTable(Scope3_SourceData.Scope3_Livestock_Data(), Table_SourceData_Scope3_Animals100[[#Headers],[Category]], 0, 2)</f>
        <v>12.4</v>
      </c>
      <c r="I57" s="30" t="str" cm="1">
        <f t="array" ref="I57">Common_InputFunctions.Utility_DisplayArrayInTable(Scope3_SourceData.Scope3_Livestock_Data(), Table_SourceData_Scope3_Animals100[[#Headers],[Category]], 0, 2)</f>
        <v>at market</v>
      </c>
    </row>
    <row r="58" spans="1:12" ht="20.100000000000001" customHeight="1" x14ac:dyDescent="0.25">
      <c r="A58" s="5" t="str">
        <f>HYPERLINK("#'Constants - Solid Waste'!A1", "Constants - Solid Waste")</f>
        <v>Constants - Solid Waste</v>
      </c>
      <c r="D58" s="30" t="str" cm="1">
        <f t="array" ref="D58">Common_InputFunctions.Utility_DisplayArrayInTable(Scope3_SourceData.Scope3_Livestock_Data(), Table_SourceData_Scope3_Animals100[[#Headers],[Category]], 0, 2)</f>
        <v>Chickens</v>
      </c>
      <c r="E58" s="30" t="str" cm="1">
        <f t="array" ref="E58">Common_InputFunctions.Utility_DisplayArrayInTable(Scope3_SourceData.Scope3_Livestock_Data(), Table_SourceData_Scope3_Animals100[[#Headers],[Category]], 0, 2)</f>
        <v>Chickens</v>
      </c>
      <c r="F58" s="30" t="str" cm="1">
        <f t="array" ref="F58">Common_InputFunctions.Utility_DisplayArrayInTable(Scope3_SourceData.Scope3_Livestock_Data(), Table_SourceData_Scope3_Animals100[[#Headers],[Category]], 0, 2)</f>
        <v>Australia</v>
      </c>
      <c r="G58" s="30" t="str" cm="1">
        <f t="array" ref="G58">Common_InputFunctions.Utility_DisplayArrayInTable(Scope3_SourceData.Scope3_Livestock_Data(), Table_SourceData_Scope3_Animals100[[#Headers],[Category]], 0, 2)</f>
        <v>kg liveweight</v>
      </c>
      <c r="H58" s="30" cm="1">
        <f t="array" ref="H58">Common_InputFunctions.Utility_DisplayArrayInTable(Scope3_SourceData.Scope3_Livestock_Data(), Table_SourceData_Scope3_Animals100[[#Headers],[Category]], 0, 2)</f>
        <v>1.36</v>
      </c>
      <c r="I58" s="30" t="str" cm="1">
        <f t="array" ref="I58">Common_InputFunctions.Utility_DisplayArrayInTable(Scope3_SourceData.Scope3_Livestock_Data(), Table_SourceData_Scope3_Animals100[[#Headers],[Category]], 0, 2)</f>
        <v>at market</v>
      </c>
    </row>
    <row r="59" spans="1:12" ht="20.100000000000001" customHeight="1" x14ac:dyDescent="0.25">
      <c r="A59"/>
      <c r="D59" s="30" t="str" cm="1">
        <f t="array" ref="D59">Common_InputFunctions.Utility_DisplayArrayInTable(Scope3_SourceData.Scope3_Livestock_Data(), Table_SourceData_Scope3_Animals100[[#Headers],[Category]], 0, 2)</f>
        <v>Dairy cattle</v>
      </c>
      <c r="E59" s="30" t="str" cm="1">
        <f t="array" ref="E59">Common_InputFunctions.Utility_DisplayArrayInTable(Scope3_SourceData.Scope3_Livestock_Data(), Table_SourceData_Scope3_Animals100[[#Headers],[Category]], 0, 2)</f>
        <v>Dairy cows</v>
      </c>
      <c r="F59" s="30" t="str" cm="1">
        <f t="array" ref="F59">Common_InputFunctions.Utility_DisplayArrayInTable(Scope3_SourceData.Scope3_Livestock_Data(), Table_SourceData_Scope3_Animals100[[#Headers],[Category]], 0, 2)</f>
        <v>VIC</v>
      </c>
      <c r="G59" s="30" t="str" cm="1">
        <f t="array" ref="G59">Common_InputFunctions.Utility_DisplayArrayInTable(Scope3_SourceData.Scope3_Livestock_Data(), Table_SourceData_Scope3_Animals100[[#Headers],[Category]], 0, 2)</f>
        <v>kg liveweight</v>
      </c>
      <c r="H59" s="30" cm="1">
        <f t="array" ref="H59">Common_InputFunctions.Utility_DisplayArrayInTable(Scope3_SourceData.Scope3_Livestock_Data(), Table_SourceData_Scope3_Animals100[[#Headers],[Category]], 0, 2)</f>
        <v>4.41</v>
      </c>
      <c r="I59" s="30" t="str" cm="1">
        <f t="array" ref="I59">Common_InputFunctions.Utility_DisplayArrayInTable(Scope3_SourceData.Scope3_Livestock_Data(), Table_SourceData_Scope3_Animals100[[#Headers],[Category]], 0, 2)</f>
        <v>at market</v>
      </c>
    </row>
    <row r="60" spans="1:12" ht="20.100000000000001" customHeight="1" x14ac:dyDescent="0.25">
      <c r="A60"/>
      <c r="D60" s="30" t="str" cm="1">
        <f t="array" ref="D60">Common_InputFunctions.Utility_DisplayArrayInTable(Scope3_SourceData.Scope3_Livestock_Data(), Table_SourceData_Scope3_Animals100[[#Headers],[Category]], 0, 2)</f>
        <v>Pigs</v>
      </c>
      <c r="E60" s="30" t="str" cm="1">
        <f t="array" ref="E60">Common_InputFunctions.Utility_DisplayArrayInTable(Scope3_SourceData.Scope3_Livestock_Data(), Table_SourceData_Scope3_Animals100[[#Headers],[Category]], 0, 2)</f>
        <v>Pigs</v>
      </c>
      <c r="F60" s="30" t="str" cm="1">
        <f t="array" ref="F60">Common_InputFunctions.Utility_DisplayArrayInTable(Scope3_SourceData.Scope3_Livestock_Data(), Table_SourceData_Scope3_Animals100[[#Headers],[Category]], 0, 2)</f>
        <v>Australia</v>
      </c>
      <c r="G60" s="30" t="str" cm="1">
        <f t="array" ref="G60">Common_InputFunctions.Utility_DisplayArrayInTable(Scope3_SourceData.Scope3_Livestock_Data(), Table_SourceData_Scope3_Animals100[[#Headers],[Category]], 0, 2)</f>
        <v>kg liveweight</v>
      </c>
      <c r="H60" s="30" cm="1">
        <f t="array" ref="H60">Common_InputFunctions.Utility_DisplayArrayInTable(Scope3_SourceData.Scope3_Livestock_Data(), Table_SourceData_Scope3_Animals100[[#Headers],[Category]], 0, 2)</f>
        <v>3.38</v>
      </c>
      <c r="I60" s="30" t="str" cm="1">
        <f t="array" ref="I60">Common_InputFunctions.Utility_DisplayArrayInTable(Scope3_SourceData.Scope3_Livestock_Data(), Table_SourceData_Scope3_Animals100[[#Headers],[Category]], 0, 2)</f>
        <v>at market</v>
      </c>
    </row>
    <row r="61" spans="1:12" ht="20.100000000000001" customHeight="1" x14ac:dyDescent="0.25">
      <c r="A61"/>
      <c r="D61" s="30" t="str" cm="1">
        <f t="array" ref="D61">Common_InputFunctions.Utility_DisplayArrayInTable(Scope3_SourceData.Scope3_Livestock_Data(), Table_SourceData_Scope3_Animals100[[#Headers],[Category]], 0, 2)</f>
        <v>Sheep</v>
      </c>
      <c r="E61" s="30" t="str" cm="1">
        <f t="array" ref="E61">Common_InputFunctions.Utility_DisplayArrayInTable(Scope3_SourceData.Scope3_Livestock_Data(), Table_SourceData_Scope3_Animals100[[#Headers],[Category]], 0, 2)</f>
        <v>Sheep, for mutton</v>
      </c>
      <c r="F61" s="30" t="str" cm="1">
        <f t="array" ref="F61">Common_InputFunctions.Utility_DisplayArrayInTable(Scope3_SourceData.Scope3_Livestock_Data(), Table_SourceData_Scope3_Animals100[[#Headers],[Category]], 0, 2)</f>
        <v>Australia</v>
      </c>
      <c r="G61" s="30" t="str" cm="1">
        <f t="array" ref="G61">Common_InputFunctions.Utility_DisplayArrayInTable(Scope3_SourceData.Scope3_Livestock_Data(), Table_SourceData_Scope3_Animals100[[#Headers],[Category]], 0, 2)</f>
        <v>kg liveweight</v>
      </c>
      <c r="H61" s="30" cm="1">
        <f t="array" ref="H61">Common_InputFunctions.Utility_DisplayArrayInTable(Scope3_SourceData.Scope3_Livestock_Data(), Table_SourceData_Scope3_Animals100[[#Headers],[Category]], 0, 2)</f>
        <v>6.81</v>
      </c>
      <c r="I61" s="30" t="str" cm="1">
        <f t="array" ref="I61">Common_InputFunctions.Utility_DisplayArrayInTable(Scope3_SourceData.Scope3_Livestock_Data(), Table_SourceData_Scope3_Animals100[[#Headers],[Category]], 0, 2)</f>
        <v>at market</v>
      </c>
    </row>
    <row r="62" spans="1:12" ht="20.100000000000001" customHeight="1" x14ac:dyDescent="0.25">
      <c r="A62"/>
      <c r="D62" s="30" t="str" cm="1">
        <f t="array" ref="D62">Common_InputFunctions.Utility_DisplayArrayInTable(Scope3_SourceData.Scope3_Livestock_Data(), Table_SourceData_Scope3_Animals100[[#Headers],[Category]], 0, 2)</f>
        <v>Sheep</v>
      </c>
      <c r="E62" s="30" t="str" cm="1">
        <f t="array" ref="E62">Common_InputFunctions.Utility_DisplayArrayInTable(Scope3_SourceData.Scope3_Livestock_Data(), Table_SourceData_Scope3_Animals100[[#Headers],[Category]], 0, 2)</f>
        <v>Sheep, for mutton</v>
      </c>
      <c r="F62" s="30" t="str" cm="1">
        <f t="array" ref="F62">Common_InputFunctions.Utility_DisplayArrayInTable(Scope3_SourceData.Scope3_Livestock_Data(), Table_SourceData_Scope3_Animals100[[#Headers],[Category]], 0, 2)</f>
        <v>NSW</v>
      </c>
      <c r="G62" s="30" t="str" cm="1">
        <f t="array" ref="G62">Common_InputFunctions.Utility_DisplayArrayInTable(Scope3_SourceData.Scope3_Livestock_Data(), Table_SourceData_Scope3_Animals100[[#Headers],[Category]], 0, 2)</f>
        <v>kg liveweight</v>
      </c>
      <c r="H62" s="30" cm="1">
        <f t="array" ref="H62">Common_InputFunctions.Utility_DisplayArrayInTable(Scope3_SourceData.Scope3_Livestock_Data(), Table_SourceData_Scope3_Animals100[[#Headers],[Category]], 0, 2)</f>
        <v>2.2599999999999998</v>
      </c>
      <c r="I62" s="30" t="str" cm="1">
        <f t="array" ref="I62">Common_InputFunctions.Utility_DisplayArrayInTable(Scope3_SourceData.Scope3_Livestock_Data(), Table_SourceData_Scope3_Animals100[[#Headers],[Category]], 0, 2)</f>
        <v>at market</v>
      </c>
    </row>
    <row r="63" spans="1:12" ht="20.100000000000001" customHeight="1" x14ac:dyDescent="0.25">
      <c r="A63"/>
      <c r="D63" s="30" t="str" cm="1">
        <f t="array" ref="D63">Common_InputFunctions.Utility_DisplayArrayInTable(Scope3_SourceData.Scope3_Livestock_Data(), Table_SourceData_Scope3_Animals100[[#Headers],[Category]], 0, 2)</f>
        <v>Sheep</v>
      </c>
      <c r="E63" s="30" t="str" cm="1">
        <f t="array" ref="E63">Common_InputFunctions.Utility_DisplayArrayInTable(Scope3_SourceData.Scope3_Livestock_Data(), Table_SourceData_Scope3_Animals100[[#Headers],[Category]], 0, 2)</f>
        <v>Sheep, for mutton</v>
      </c>
      <c r="F63" s="30" t="str" cm="1">
        <f t="array" ref="F63">Common_InputFunctions.Utility_DisplayArrayInTable(Scope3_SourceData.Scope3_Livestock_Data(), Table_SourceData_Scope3_Animals100[[#Headers],[Category]], 0, 2)</f>
        <v>QLD</v>
      </c>
      <c r="G63" s="30" t="str" cm="1">
        <f t="array" ref="G63">Common_InputFunctions.Utility_DisplayArrayInTable(Scope3_SourceData.Scope3_Livestock_Data(), Table_SourceData_Scope3_Animals100[[#Headers],[Category]], 0, 2)</f>
        <v>kg liveweight</v>
      </c>
      <c r="H63" s="30" cm="1">
        <f t="array" ref="H63">Common_InputFunctions.Utility_DisplayArrayInTable(Scope3_SourceData.Scope3_Livestock_Data(), Table_SourceData_Scope3_Animals100[[#Headers],[Category]], 0, 2)</f>
        <v>6.33</v>
      </c>
      <c r="I63" s="30" t="str" cm="1">
        <f t="array" ref="I63">Common_InputFunctions.Utility_DisplayArrayInTable(Scope3_SourceData.Scope3_Livestock_Data(), Table_SourceData_Scope3_Animals100[[#Headers],[Category]], 0, 2)</f>
        <v>at market</v>
      </c>
    </row>
    <row r="64" spans="1:12" ht="20.100000000000001" customHeight="1" x14ac:dyDescent="0.25">
      <c r="A64"/>
      <c r="D64" s="30" t="str" cm="1">
        <f t="array" ref="D64">Common_InputFunctions.Utility_DisplayArrayInTable(Scope3_SourceData.Scope3_Livestock_Data(), Table_SourceData_Scope3_Animals100[[#Headers],[Category]], 0, 2)</f>
        <v>Sheep</v>
      </c>
      <c r="E64" s="30" t="str" cm="1">
        <f t="array" ref="E64">Common_InputFunctions.Utility_DisplayArrayInTable(Scope3_SourceData.Scope3_Livestock_Data(), Table_SourceData_Scope3_Animals100[[#Headers],[Category]], 0, 2)</f>
        <v>Sheep, for mutton</v>
      </c>
      <c r="F64" s="30" t="str" cm="1">
        <f t="array" ref="F64">Common_InputFunctions.Utility_DisplayArrayInTable(Scope3_SourceData.Scope3_Livestock_Data(), Table_SourceData_Scope3_Animals100[[#Headers],[Category]], 0, 2)</f>
        <v>SA</v>
      </c>
      <c r="G64" s="30" t="str" cm="1">
        <f t="array" ref="G64">Common_InputFunctions.Utility_DisplayArrayInTable(Scope3_SourceData.Scope3_Livestock_Data(), Table_SourceData_Scope3_Animals100[[#Headers],[Category]], 0, 2)</f>
        <v>kg liveweight</v>
      </c>
      <c r="H64" s="30" cm="1">
        <f t="array" ref="H64">Common_InputFunctions.Utility_DisplayArrayInTable(Scope3_SourceData.Scope3_Livestock_Data(), Table_SourceData_Scope3_Animals100[[#Headers],[Category]], 0, 2)</f>
        <v>6.18</v>
      </c>
      <c r="I64" s="30" t="str" cm="1">
        <f t="array" ref="I64">Common_InputFunctions.Utility_DisplayArrayInTable(Scope3_SourceData.Scope3_Livestock_Data(), Table_SourceData_Scope3_Animals100[[#Headers],[Category]], 0, 2)</f>
        <v>at market</v>
      </c>
    </row>
    <row r="65" spans="1:9" ht="20.100000000000001" customHeight="1" x14ac:dyDescent="0.25">
      <c r="A65"/>
      <c r="D65" s="30" t="str" cm="1">
        <f t="array" ref="D65">Common_InputFunctions.Utility_DisplayArrayInTable(Scope3_SourceData.Scope3_Livestock_Data(), Table_SourceData_Scope3_Animals100[[#Headers],[Category]], 0, 2)</f>
        <v>Sheep</v>
      </c>
      <c r="E65" s="30" t="str" cm="1">
        <f t="array" ref="E65">Common_InputFunctions.Utility_DisplayArrayInTable(Scope3_SourceData.Scope3_Livestock_Data(), Table_SourceData_Scope3_Animals100[[#Headers],[Category]], 0, 2)</f>
        <v>Sheep, for mutton</v>
      </c>
      <c r="F65" s="30" t="str" cm="1">
        <f t="array" ref="F65">Common_InputFunctions.Utility_DisplayArrayInTable(Scope3_SourceData.Scope3_Livestock_Data(), Table_SourceData_Scope3_Animals100[[#Headers],[Category]], 0, 2)</f>
        <v>TAS</v>
      </c>
      <c r="G65" s="30" t="str" cm="1">
        <f t="array" ref="G65">Common_InputFunctions.Utility_DisplayArrayInTable(Scope3_SourceData.Scope3_Livestock_Data(), Table_SourceData_Scope3_Animals100[[#Headers],[Category]], 0, 2)</f>
        <v>kg liveweight</v>
      </c>
      <c r="H65" s="30" cm="1">
        <f t="array" ref="H65">Common_InputFunctions.Utility_DisplayArrayInTable(Scope3_SourceData.Scope3_Livestock_Data(), Table_SourceData_Scope3_Animals100[[#Headers],[Category]], 0, 2)</f>
        <v>7.5</v>
      </c>
      <c r="I65" s="30" t="str" cm="1">
        <f t="array" ref="I65">Common_InputFunctions.Utility_DisplayArrayInTable(Scope3_SourceData.Scope3_Livestock_Data(), Table_SourceData_Scope3_Animals100[[#Headers],[Category]], 0, 2)</f>
        <v>at market</v>
      </c>
    </row>
    <row r="66" spans="1:9" ht="20.100000000000001" customHeight="1" x14ac:dyDescent="0.25">
      <c r="A66"/>
      <c r="D66" s="30" t="str" cm="1">
        <f t="array" ref="D66">Common_InputFunctions.Utility_DisplayArrayInTable(Scope3_SourceData.Scope3_Livestock_Data(), Table_SourceData_Scope3_Animals100[[#Headers],[Category]], 0, 2)</f>
        <v>Sheep</v>
      </c>
      <c r="E66" s="30" t="str" cm="1">
        <f t="array" ref="E66">Common_InputFunctions.Utility_DisplayArrayInTable(Scope3_SourceData.Scope3_Livestock_Data(), Table_SourceData_Scope3_Animals100[[#Headers],[Category]], 0, 2)</f>
        <v>Sheep, for mutton</v>
      </c>
      <c r="F66" s="30" t="str" cm="1">
        <f t="array" ref="F66">Common_InputFunctions.Utility_DisplayArrayInTable(Scope3_SourceData.Scope3_Livestock_Data(), Table_SourceData_Scope3_Animals100[[#Headers],[Category]], 0, 2)</f>
        <v>VIC</v>
      </c>
      <c r="G66" s="30" t="str" cm="1">
        <f t="array" ref="G66">Common_InputFunctions.Utility_DisplayArrayInTable(Scope3_SourceData.Scope3_Livestock_Data(), Table_SourceData_Scope3_Animals100[[#Headers],[Category]], 0, 2)</f>
        <v>kg liveweight</v>
      </c>
      <c r="H66" s="30" cm="1">
        <f t="array" ref="H66">Common_InputFunctions.Utility_DisplayArrayInTable(Scope3_SourceData.Scope3_Livestock_Data(), Table_SourceData_Scope3_Animals100[[#Headers],[Category]], 0, 2)</f>
        <v>8.08</v>
      </c>
      <c r="I66" s="30" t="str" cm="1">
        <f t="array" ref="I66">Common_InputFunctions.Utility_DisplayArrayInTable(Scope3_SourceData.Scope3_Livestock_Data(), Table_SourceData_Scope3_Animals100[[#Headers],[Category]], 0, 2)</f>
        <v>at market</v>
      </c>
    </row>
    <row r="67" spans="1:9" ht="20.100000000000001" customHeight="1" x14ac:dyDescent="0.25">
      <c r="A67"/>
      <c r="D67" s="30" t="str" cm="1">
        <f t="array" ref="D67">Common_InputFunctions.Utility_DisplayArrayInTable(Scope3_SourceData.Scope3_Livestock_Data(), Table_SourceData_Scope3_Animals100[[#Headers],[Category]], 0, 2)</f>
        <v>Sheep</v>
      </c>
      <c r="E67" s="30" t="str" cm="1">
        <f t="array" ref="E67">Common_InputFunctions.Utility_DisplayArrayInTable(Scope3_SourceData.Scope3_Livestock_Data(), Table_SourceData_Scope3_Animals100[[#Headers],[Category]], 0, 2)</f>
        <v>Sheep, for mutton</v>
      </c>
      <c r="F67" s="30" t="str" cm="1">
        <f t="array" ref="F67">Common_InputFunctions.Utility_DisplayArrayInTable(Scope3_SourceData.Scope3_Livestock_Data(), Table_SourceData_Scope3_Animals100[[#Headers],[Category]], 0, 2)</f>
        <v>WA</v>
      </c>
      <c r="G67" s="30" t="str" cm="1">
        <f t="array" ref="G67">Common_InputFunctions.Utility_DisplayArrayInTable(Scope3_SourceData.Scope3_Livestock_Data(), Table_SourceData_Scope3_Animals100[[#Headers],[Category]], 0, 2)</f>
        <v>kg liveweight</v>
      </c>
      <c r="H67" s="30" cm="1">
        <f t="array" ref="H67">Common_InputFunctions.Utility_DisplayArrayInTable(Scope3_SourceData.Scope3_Livestock_Data(), Table_SourceData_Scope3_Animals100[[#Headers],[Category]], 0, 2)</f>
        <v>5.45</v>
      </c>
      <c r="I67" s="30" t="str" cm="1">
        <f t="array" ref="I67">Common_InputFunctions.Utility_DisplayArrayInTable(Scope3_SourceData.Scope3_Livestock_Data(), Table_SourceData_Scope3_Animals100[[#Headers],[Category]], 0, 2)</f>
        <v>at market</v>
      </c>
    </row>
    <row r="68" spans="1:9" ht="20.100000000000001" customHeight="1" x14ac:dyDescent="0.25">
      <c r="A68"/>
      <c r="D68" s="30" t="str" cm="1">
        <f t="array" ref="D68">Common_InputFunctions.Utility_DisplayArrayInTable(Scope3_SourceData.Scope3_Livestock_Data(), Table_SourceData_Scope3_Animals100[[#Headers],[Category]], 0, 2)</f>
        <v>Sheep</v>
      </c>
      <c r="E68" s="30" t="str" cm="1">
        <f t="array" ref="E68">Common_InputFunctions.Utility_DisplayArrayInTable(Scope3_SourceData.Scope3_Livestock_Data(), Table_SourceData_Scope3_Animals100[[#Headers],[Category]], 0, 2)</f>
        <v>Sheep, for prime lamb</v>
      </c>
      <c r="F68" s="30" t="str" cm="1">
        <f t="array" ref="F68">Common_InputFunctions.Utility_DisplayArrayInTable(Scope3_SourceData.Scope3_Livestock_Data(), Table_SourceData_Scope3_Animals100[[#Headers],[Category]], 0, 2)</f>
        <v>Australia</v>
      </c>
      <c r="G68" s="30" t="str" cm="1">
        <f t="array" ref="G68">Common_InputFunctions.Utility_DisplayArrayInTable(Scope3_SourceData.Scope3_Livestock_Data(), Table_SourceData_Scope3_Animals100[[#Headers],[Category]], 0, 2)</f>
        <v>kg liveweight</v>
      </c>
      <c r="H68" s="30" cm="1">
        <f t="array" ref="H68">Common_InputFunctions.Utility_DisplayArrayInTable(Scope3_SourceData.Scope3_Livestock_Data(), Table_SourceData_Scope3_Animals100[[#Headers],[Category]], 0, 2)</f>
        <v>7.15</v>
      </c>
      <c r="I68" s="30" t="str" cm="1">
        <f t="array" ref="I68">Common_InputFunctions.Utility_DisplayArrayInTable(Scope3_SourceData.Scope3_Livestock_Data(), Table_SourceData_Scope3_Animals100[[#Headers],[Category]], 0, 2)</f>
        <v>at market</v>
      </c>
    </row>
    <row r="69" spans="1:9" ht="20.100000000000001" customHeight="1" x14ac:dyDescent="0.25">
      <c r="A69"/>
      <c r="D69" s="30" t="str" cm="1">
        <f t="array" ref="D69">Common_InputFunctions.Utility_DisplayArrayInTable(Scope3_SourceData.Scope3_Livestock_Data(), Table_SourceData_Scope3_Animals100[[#Headers],[Category]], 0, 2)</f>
        <v>Sheep</v>
      </c>
      <c r="E69" s="30" t="str" cm="1">
        <f t="array" ref="E69">Common_InputFunctions.Utility_DisplayArrayInTable(Scope3_SourceData.Scope3_Livestock_Data(), Table_SourceData_Scope3_Animals100[[#Headers],[Category]], 0, 2)</f>
        <v>Sheep, for prime lamb</v>
      </c>
      <c r="F69" s="30" t="str" cm="1">
        <f t="array" ref="F69">Common_InputFunctions.Utility_DisplayArrayInTable(Scope3_SourceData.Scope3_Livestock_Data(), Table_SourceData_Scope3_Animals100[[#Headers],[Category]], 0, 2)</f>
        <v>NSW</v>
      </c>
      <c r="G69" s="30" t="str" cm="1">
        <f t="array" ref="G69">Common_InputFunctions.Utility_DisplayArrayInTable(Scope3_SourceData.Scope3_Livestock_Data(), Table_SourceData_Scope3_Animals100[[#Headers],[Category]], 0, 2)</f>
        <v>kg liveweight</v>
      </c>
      <c r="H69" s="30" cm="1">
        <f t="array" ref="H69">Common_InputFunctions.Utility_DisplayArrayInTable(Scope3_SourceData.Scope3_Livestock_Data(), Table_SourceData_Scope3_Animals100[[#Headers],[Category]], 0, 2)</f>
        <v>8.2899999999999991</v>
      </c>
      <c r="I69" s="30" t="str" cm="1">
        <f t="array" ref="I69">Common_InputFunctions.Utility_DisplayArrayInTable(Scope3_SourceData.Scope3_Livestock_Data(), Table_SourceData_Scope3_Animals100[[#Headers],[Category]], 0, 2)</f>
        <v>at market</v>
      </c>
    </row>
    <row r="70" spans="1:9" ht="20.100000000000001" customHeight="1" x14ac:dyDescent="0.25">
      <c r="A70"/>
      <c r="D70" s="30" t="str" cm="1">
        <f t="array" ref="D70">Common_InputFunctions.Utility_DisplayArrayInTable(Scope3_SourceData.Scope3_Livestock_Data(), Table_SourceData_Scope3_Animals100[[#Headers],[Category]], 0, 2)</f>
        <v>Sheep</v>
      </c>
      <c r="E70" s="30" t="str" cm="1">
        <f t="array" ref="E70">Common_InputFunctions.Utility_DisplayArrayInTable(Scope3_SourceData.Scope3_Livestock_Data(), Table_SourceData_Scope3_Animals100[[#Headers],[Category]], 0, 2)</f>
        <v>Sheep, for prime lamb</v>
      </c>
      <c r="F70" s="30" t="str" cm="1">
        <f t="array" ref="F70">Common_InputFunctions.Utility_DisplayArrayInTable(Scope3_SourceData.Scope3_Livestock_Data(), Table_SourceData_Scope3_Animals100[[#Headers],[Category]], 0, 2)</f>
        <v>QLD</v>
      </c>
      <c r="G70" s="30" t="str" cm="1">
        <f t="array" ref="G70">Common_InputFunctions.Utility_DisplayArrayInTable(Scope3_SourceData.Scope3_Livestock_Data(), Table_SourceData_Scope3_Animals100[[#Headers],[Category]], 0, 2)</f>
        <v>kg liveweight</v>
      </c>
      <c r="H70" s="30" cm="1">
        <f t="array" ref="H70">Common_InputFunctions.Utility_DisplayArrayInTable(Scope3_SourceData.Scope3_Livestock_Data(), Table_SourceData_Scope3_Animals100[[#Headers],[Category]], 0, 2)</f>
        <v>6.39</v>
      </c>
      <c r="I70" s="30" t="str" cm="1">
        <f t="array" ref="I70">Common_InputFunctions.Utility_DisplayArrayInTable(Scope3_SourceData.Scope3_Livestock_Data(), Table_SourceData_Scope3_Animals100[[#Headers],[Category]], 0, 2)</f>
        <v>at market</v>
      </c>
    </row>
    <row r="71" spans="1:9" ht="20.100000000000001" customHeight="1" x14ac:dyDescent="0.25">
      <c r="A71"/>
      <c r="D71" s="30" t="str" cm="1">
        <f t="array" ref="D71">Common_InputFunctions.Utility_DisplayArrayInTable(Scope3_SourceData.Scope3_Livestock_Data(), Table_SourceData_Scope3_Animals100[[#Headers],[Category]], 0, 2)</f>
        <v>Sheep</v>
      </c>
      <c r="E71" s="30" t="str" cm="1">
        <f t="array" ref="E71">Common_InputFunctions.Utility_DisplayArrayInTable(Scope3_SourceData.Scope3_Livestock_Data(), Table_SourceData_Scope3_Animals100[[#Headers],[Category]], 0, 2)</f>
        <v>Sheep, for prime lamb</v>
      </c>
      <c r="F71" s="30" t="str" cm="1">
        <f t="array" ref="F71">Common_InputFunctions.Utility_DisplayArrayInTable(Scope3_SourceData.Scope3_Livestock_Data(), Table_SourceData_Scope3_Animals100[[#Headers],[Category]], 0, 2)</f>
        <v>SA</v>
      </c>
      <c r="G71" s="30" t="str" cm="1">
        <f t="array" ref="G71">Common_InputFunctions.Utility_DisplayArrayInTable(Scope3_SourceData.Scope3_Livestock_Data(), Table_SourceData_Scope3_Animals100[[#Headers],[Category]], 0, 2)</f>
        <v>kg liveweight</v>
      </c>
      <c r="H71" s="30" cm="1">
        <f t="array" ref="H71">Common_InputFunctions.Utility_DisplayArrayInTable(Scope3_SourceData.Scope3_Livestock_Data(), Table_SourceData_Scope3_Animals100[[#Headers],[Category]], 0, 2)</f>
        <v>6.87</v>
      </c>
      <c r="I71" s="30" t="str" cm="1">
        <f t="array" ref="I71">Common_InputFunctions.Utility_DisplayArrayInTable(Scope3_SourceData.Scope3_Livestock_Data(), Table_SourceData_Scope3_Animals100[[#Headers],[Category]], 0, 2)</f>
        <v>at market</v>
      </c>
    </row>
    <row r="72" spans="1:9" ht="20.100000000000001" customHeight="1" x14ac:dyDescent="0.25">
      <c r="A72"/>
      <c r="D72" s="30" t="str" cm="1">
        <f t="array" ref="D72">Common_InputFunctions.Utility_DisplayArrayInTable(Scope3_SourceData.Scope3_Livestock_Data(), Table_SourceData_Scope3_Animals100[[#Headers],[Category]], 0, 2)</f>
        <v>Sheep</v>
      </c>
      <c r="E72" s="30" t="str" cm="1">
        <f t="array" ref="E72">Common_InputFunctions.Utility_DisplayArrayInTable(Scope3_SourceData.Scope3_Livestock_Data(), Table_SourceData_Scope3_Animals100[[#Headers],[Category]], 0, 2)</f>
        <v>Sheep, for prime lamb</v>
      </c>
      <c r="F72" s="30" t="str" cm="1">
        <f t="array" ref="F72">Common_InputFunctions.Utility_DisplayArrayInTable(Scope3_SourceData.Scope3_Livestock_Data(), Table_SourceData_Scope3_Animals100[[#Headers],[Category]], 0, 2)</f>
        <v>TAS</v>
      </c>
      <c r="G72" s="30" t="str" cm="1">
        <f t="array" ref="G72">Common_InputFunctions.Utility_DisplayArrayInTable(Scope3_SourceData.Scope3_Livestock_Data(), Table_SourceData_Scope3_Animals100[[#Headers],[Category]], 0, 2)</f>
        <v>kg liveweight</v>
      </c>
      <c r="H72" s="30" cm="1">
        <f t="array" ref="H72">Common_InputFunctions.Utility_DisplayArrayInTable(Scope3_SourceData.Scope3_Livestock_Data(), Table_SourceData_Scope3_Animals100[[#Headers],[Category]], 0, 2)</f>
        <v>8.66</v>
      </c>
      <c r="I72" s="30" t="str" cm="1">
        <f t="array" ref="I72">Common_InputFunctions.Utility_DisplayArrayInTable(Scope3_SourceData.Scope3_Livestock_Data(), Table_SourceData_Scope3_Animals100[[#Headers],[Category]], 0, 2)</f>
        <v>at market</v>
      </c>
    </row>
    <row r="73" spans="1:9" ht="20.100000000000001" customHeight="1" x14ac:dyDescent="0.25">
      <c r="A73"/>
      <c r="D73" s="30" t="str" cm="1">
        <f t="array" ref="D73">Common_InputFunctions.Utility_DisplayArrayInTable(Scope3_SourceData.Scope3_Livestock_Data(), Table_SourceData_Scope3_Animals100[[#Headers],[Category]], 0, 2)</f>
        <v>Sheep</v>
      </c>
      <c r="E73" s="30" t="str" cm="1">
        <f t="array" ref="E73">Common_InputFunctions.Utility_DisplayArrayInTable(Scope3_SourceData.Scope3_Livestock_Data(), Table_SourceData_Scope3_Animals100[[#Headers],[Category]], 0, 2)</f>
        <v>Sheep, for prime lamb</v>
      </c>
      <c r="F73" s="30" t="str" cm="1">
        <f t="array" ref="F73">Common_InputFunctions.Utility_DisplayArrayInTable(Scope3_SourceData.Scope3_Livestock_Data(), Table_SourceData_Scope3_Animals100[[#Headers],[Category]], 0, 2)</f>
        <v>VIC</v>
      </c>
      <c r="G73" s="30" t="str" cm="1">
        <f t="array" ref="G73">Common_InputFunctions.Utility_DisplayArrayInTable(Scope3_SourceData.Scope3_Livestock_Data(), Table_SourceData_Scope3_Animals100[[#Headers],[Category]], 0, 2)</f>
        <v>kg liveweight</v>
      </c>
      <c r="H73" s="30" cm="1">
        <f t="array" ref="H73">Common_InputFunctions.Utility_DisplayArrayInTable(Scope3_SourceData.Scope3_Livestock_Data(), Table_SourceData_Scope3_Animals100[[#Headers],[Category]], 0, 2)</f>
        <v>10</v>
      </c>
      <c r="I73" s="30" t="str" cm="1">
        <f t="array" ref="I73">Common_InputFunctions.Utility_DisplayArrayInTable(Scope3_SourceData.Scope3_Livestock_Data(), Table_SourceData_Scope3_Animals100[[#Headers],[Category]], 0, 2)</f>
        <v>at market</v>
      </c>
    </row>
    <row r="74" spans="1:9" ht="20.100000000000001" customHeight="1" x14ac:dyDescent="0.25">
      <c r="A74"/>
      <c r="D74" s="30" t="str" cm="1">
        <f t="array" ref="D74">Common_InputFunctions.Utility_DisplayArrayInTable(Scope3_SourceData.Scope3_Livestock_Data(), Table_SourceData_Scope3_Animals100[[#Headers],[Category]], 0, 2)</f>
        <v>Sheep</v>
      </c>
      <c r="E74" s="30" t="str" cm="1">
        <f t="array" ref="E74">Common_InputFunctions.Utility_DisplayArrayInTable(Scope3_SourceData.Scope3_Livestock_Data(), Table_SourceData_Scope3_Animals100[[#Headers],[Category]], 0, 2)</f>
        <v>Sheep, for prime lamb</v>
      </c>
      <c r="F74" s="30" t="str" cm="1">
        <f t="array" ref="F74">Common_InputFunctions.Utility_DisplayArrayInTable(Scope3_SourceData.Scope3_Livestock_Data(), Table_SourceData_Scope3_Animals100[[#Headers],[Category]], 0, 2)</f>
        <v>WA</v>
      </c>
      <c r="G74" s="30" t="str" cm="1">
        <f t="array" ref="G74">Common_InputFunctions.Utility_DisplayArrayInTable(Scope3_SourceData.Scope3_Livestock_Data(), Table_SourceData_Scope3_Animals100[[#Headers],[Category]], 0, 2)</f>
        <v>kg liveweight</v>
      </c>
      <c r="H74" s="30" cm="1">
        <f t="array" ref="H74">Common_InputFunctions.Utility_DisplayArrayInTable(Scope3_SourceData.Scope3_Livestock_Data(), Table_SourceData_Scope3_Animals100[[#Headers],[Category]], 0, 2)</f>
        <v>5.67</v>
      </c>
      <c r="I74" s="30" t="str" cm="1">
        <f t="array" ref="I74">Common_InputFunctions.Utility_DisplayArrayInTable(Scope3_SourceData.Scope3_Livestock_Data(), Table_SourceData_Scope3_Animals100[[#Headers],[Category]], 0, 2)</f>
        <v>at market</v>
      </c>
    </row>
    <row r="75" spans="1:9" ht="20.100000000000001" customHeight="1" x14ac:dyDescent="0.25">
      <c r="A75"/>
    </row>
    <row r="76" spans="1:9" ht="20.100000000000001" customHeight="1" x14ac:dyDescent="0.25">
      <c r="A76"/>
      <c r="D76" s="2" t="s">
        <v>939</v>
      </c>
    </row>
    <row r="77" spans="1:9" ht="20.100000000000001" customHeight="1" x14ac:dyDescent="0.25">
      <c r="A77"/>
      <c r="D77" s="30" t="s">
        <v>452</v>
      </c>
      <c r="E77" s="30" t="s">
        <v>152</v>
      </c>
      <c r="F77" s="30" t="s">
        <v>453</v>
      </c>
      <c r="G77" s="30" t="s">
        <v>454</v>
      </c>
      <c r="H77" s="30" t="s">
        <v>455</v>
      </c>
      <c r="I77" s="30" t="s">
        <v>456</v>
      </c>
    </row>
    <row r="78" spans="1:9" ht="20.100000000000001" customHeight="1" x14ac:dyDescent="0.25">
      <c r="A78"/>
      <c r="D78" s="30" t="str" cm="1">
        <f t="array" ref="D78">Common_InputFunctions.Utility_DisplayArrayInTable(Scope3_SourceData.Scope3_Chemicals_Data(), Table_SourceData_Scope3_ChemicalsCleaning[[#Headers],[Category]], 0, 2)</f>
        <v>Cleaning chemicals</v>
      </c>
      <c r="E78" s="30" t="str" cm="1">
        <f t="array" ref="E78">Common_InputFunctions.Utility_DisplayArrayInTable(Scope3_SourceData.Scope3_Chemicals_Data(), Table_SourceData_Scope3_ChemicalsCleaning[[#Headers],[Category]], 0, 2)</f>
        <v>Alkaline cleaner</v>
      </c>
      <c r="F78" s="30" t="str" cm="1">
        <f t="array" ref="F78">Common_InputFunctions.Utility_DisplayArrayInTable(Scope3_SourceData.Scope3_Chemicals_Data(), Table_SourceData_Scope3_ChemicalsCleaning[[#Headers],[Category]], 0, 2)</f>
        <v>Global</v>
      </c>
      <c r="G78" s="30" t="str" cm="1">
        <f t="array" ref="G78">Common_InputFunctions.Utility_DisplayArrayInTable(Scope3_SourceData.Scope3_Chemicals_Data(), Table_SourceData_Scope3_ChemicalsCleaning[[#Headers],[Category]], 0, 2)</f>
        <v>kg</v>
      </c>
      <c r="H78" s="30" cm="1">
        <f t="array" ref="H78">Common_InputFunctions.Utility_DisplayArrayInTable(Scope3_SourceData.Scope3_Chemicals_Data(), Table_SourceData_Scope3_ChemicalsCleaning[[#Headers],[Category]], 0, 2)</f>
        <v>0.72199999999999998</v>
      </c>
      <c r="I78" s="30" t="str" cm="1">
        <f t="array" ref="I78">Common_InputFunctions.Utility_DisplayArrayInTable(Scope3_SourceData.Scope3_Chemicals_Data(), Table_SourceData_Scope3_ChemicalsCleaning[[#Headers],[Category]], 0, 2)</f>
        <v>at manufacturer</v>
      </c>
    </row>
    <row r="79" spans="1:9" ht="20.100000000000001" customHeight="1" x14ac:dyDescent="0.25">
      <c r="A79"/>
      <c r="D79" s="30" t="str" cm="1">
        <f t="array" ref="D79">Common_InputFunctions.Utility_DisplayArrayInTable(Scope3_SourceData.Scope3_Chemicals_Data(), Table_SourceData_Scope3_ChemicalsCleaning[[#Headers],[Category]], 0, 2)</f>
        <v>Cleaning chemicals</v>
      </c>
      <c r="E79" s="30" t="str" cm="1">
        <f t="array" ref="E79">Common_InputFunctions.Utility_DisplayArrayInTable(Scope3_SourceData.Scope3_Chemicals_Data(), Table_SourceData_Scope3_ChemicalsCleaning[[#Headers],[Category]], 0, 2)</f>
        <v>Bleach</v>
      </c>
      <c r="F79" s="30" t="str" cm="1">
        <f t="array" ref="F79">Common_InputFunctions.Utility_DisplayArrayInTable(Scope3_SourceData.Scope3_Chemicals_Data(), Table_SourceData_Scope3_ChemicalsCleaning[[#Headers],[Category]], 0, 2)</f>
        <v>Global</v>
      </c>
      <c r="G79" s="30" t="str" cm="1">
        <f t="array" ref="G79">Common_InputFunctions.Utility_DisplayArrayInTable(Scope3_SourceData.Scope3_Chemicals_Data(), Table_SourceData_Scope3_ChemicalsCleaning[[#Headers],[Category]], 0, 2)</f>
        <v>kg</v>
      </c>
      <c r="H79" s="30" cm="1">
        <f t="array" ref="H79">Common_InputFunctions.Utility_DisplayArrayInTable(Scope3_SourceData.Scope3_Chemicals_Data(), Table_SourceData_Scope3_ChemicalsCleaning[[#Headers],[Category]], 0, 2)</f>
        <v>0.80400000000000005</v>
      </c>
      <c r="I79" s="30" t="str" cm="1">
        <f t="array" ref="I79">Common_InputFunctions.Utility_DisplayArrayInTable(Scope3_SourceData.Scope3_Chemicals_Data(), Table_SourceData_Scope3_ChemicalsCleaning[[#Headers],[Category]], 0, 2)</f>
        <v>at manufacturer</v>
      </c>
    </row>
    <row r="80" spans="1:9" ht="20.100000000000001" customHeight="1" x14ac:dyDescent="0.25">
      <c r="A80"/>
      <c r="D80" s="30" t="str" cm="1">
        <f t="array" ref="D80">Common_InputFunctions.Utility_DisplayArrayInTable(Scope3_SourceData.Scope3_Chemicals_Data(), Table_SourceData_Scope3_ChemicalsCleaning[[#Headers],[Category]], 0, 2)</f>
        <v>Cleaning chemicals</v>
      </c>
      <c r="E80" s="30" t="str" cm="1">
        <f t="array" ref="E80">Common_InputFunctions.Utility_DisplayArrayInTable(Scope3_SourceData.Scope3_Chemicals_Data(), Table_SourceData_Scope3_ChemicalsCleaning[[#Headers],[Category]], 0, 2)</f>
        <v>Phosphoric acid</v>
      </c>
      <c r="F80" s="30" t="str" cm="1">
        <f t="array" ref="F80">Common_InputFunctions.Utility_DisplayArrayInTable(Scope3_SourceData.Scope3_Chemicals_Data(), Table_SourceData_Scope3_ChemicalsCleaning[[#Headers],[Category]], 0, 2)</f>
        <v>Global</v>
      </c>
      <c r="G80" s="30" t="str" cm="1">
        <f t="array" ref="G80">Common_InputFunctions.Utility_DisplayArrayInTable(Scope3_SourceData.Scope3_Chemicals_Data(), Table_SourceData_Scope3_ChemicalsCleaning[[#Headers],[Category]], 0, 2)</f>
        <v>kg</v>
      </c>
      <c r="H80" s="30" cm="1">
        <f t="array" ref="H80">Common_InputFunctions.Utility_DisplayArrayInTable(Scope3_SourceData.Scope3_Chemicals_Data(), Table_SourceData_Scope3_ChemicalsCleaning[[#Headers],[Category]], 0, 2)</f>
        <v>0.90700000000000003</v>
      </c>
      <c r="I80" s="30" t="str" cm="1">
        <f t="array" ref="I80">Common_InputFunctions.Utility_DisplayArrayInTable(Scope3_SourceData.Scope3_Chemicals_Data(), Table_SourceData_Scope3_ChemicalsCleaning[[#Headers],[Category]], 0, 2)</f>
        <v>at manufacturer</v>
      </c>
    </row>
    <row r="81" spans="1:16" ht="20.100000000000001" customHeight="1" x14ac:dyDescent="0.25">
      <c r="A81"/>
    </row>
    <row r="82" spans="1:16" ht="20.100000000000001" customHeight="1" x14ac:dyDescent="0.25">
      <c r="A82"/>
      <c r="D82" s="30" t="s">
        <v>452</v>
      </c>
      <c r="E82" s="30" t="s">
        <v>152</v>
      </c>
      <c r="F82" s="30" t="s">
        <v>453</v>
      </c>
      <c r="G82" s="30" t="s">
        <v>454</v>
      </c>
      <c r="H82" s="30" t="s">
        <v>455</v>
      </c>
      <c r="I82" s="30" t="s">
        <v>456</v>
      </c>
    </row>
    <row r="83" spans="1:16" ht="20.100000000000001" customHeight="1" x14ac:dyDescent="0.25">
      <c r="A83"/>
      <c r="D83" s="30" t="str" cm="1">
        <f t="array" ref="D83">Common_InputFunctions.Utility_DisplayArrayInTable(Scope3_SourceData.Scope3_Chemicals_Data(), Table_SourceData_Scope3_ChemicalsPharmacy[[#Headers],[Category]], -3, 2)</f>
        <v>Pharmacy chemicals</v>
      </c>
      <c r="E83" s="30" t="str" cm="1">
        <f t="array" ref="E83">Common_InputFunctions.Utility_DisplayArrayInTable(Scope3_SourceData.Scope3_Chemicals_Data(), Table_SourceData_Scope3_ChemicalsPharmacy[[#Headers],[Category]], -3, 2)</f>
        <v>Parasite control for cattle (external), dipping</v>
      </c>
      <c r="F83" s="30" t="str" cm="1">
        <f t="array" ref="F83">Common_InputFunctions.Utility_DisplayArrayInTable(Scope3_SourceData.Scope3_Chemicals_Data(), Table_SourceData_Scope3_ChemicalsPharmacy[[#Headers],[Category]], -3, 2)</f>
        <v>Global</v>
      </c>
      <c r="G83" s="30" t="str" cm="1">
        <f t="array" ref="G83">Common_InputFunctions.Utility_DisplayArrayInTable(Scope3_SourceData.Scope3_Chemicals_Data(), Table_SourceData_Scope3_ChemicalsPharmacy[[#Headers],[Category]], -3, 2)</f>
        <v>p (head)</v>
      </c>
      <c r="H83" s="30" cm="1">
        <f t="array" ref="H83">Common_InputFunctions.Utility_DisplayArrayInTable(Scope3_SourceData.Scope3_Chemicals_Data(), Table_SourceData_Scope3_ChemicalsPharmacy[[#Headers],[Category]], -3, 2)</f>
        <v>5.4699999999999999E-2</v>
      </c>
      <c r="I83" s="30" t="str" cm="1">
        <f t="array" ref="I83">Common_InputFunctions.Utility_DisplayArrayInTable(Scope3_SourceData.Scope3_Chemicals_Data(), Table_SourceData_Scope3_ChemicalsPharmacy[[#Headers],[Category]], -3, 2)</f>
        <v>at manufacturer</v>
      </c>
    </row>
    <row r="84" spans="1:16" ht="20.100000000000001" customHeight="1" x14ac:dyDescent="0.25">
      <c r="A84"/>
      <c r="D84" s="30" t="str" cm="1">
        <f t="array" ref="D84">Common_InputFunctions.Utility_DisplayArrayInTable(Scope3_SourceData.Scope3_Chemicals_Data(), Table_SourceData_Scope3_ChemicalsPharmacy[[#Headers],[Category]], -3, 2)</f>
        <v>Pharmacy chemicals</v>
      </c>
      <c r="E84" s="30" t="str" cm="1">
        <f t="array" ref="E84">Common_InputFunctions.Utility_DisplayArrayInTable(Scope3_SourceData.Scope3_Chemicals_Data(), Table_SourceData_Scope3_ChemicalsPharmacy[[#Headers],[Category]], -3, 2)</f>
        <v>Parasite control for cattle (internal)</v>
      </c>
      <c r="F84" s="30" t="str" cm="1">
        <f t="array" ref="F84">Common_InputFunctions.Utility_DisplayArrayInTable(Scope3_SourceData.Scope3_Chemicals_Data(), Table_SourceData_Scope3_ChemicalsPharmacy[[#Headers],[Category]], -3, 2)</f>
        <v>Global</v>
      </c>
      <c r="G84" s="30" t="str" cm="1">
        <f t="array" ref="G84">Common_InputFunctions.Utility_DisplayArrayInTable(Scope3_SourceData.Scope3_Chemicals_Data(), Table_SourceData_Scope3_ChemicalsPharmacy[[#Headers],[Category]], -3, 2)</f>
        <v>p (head)</v>
      </c>
      <c r="H84" s="30" cm="1">
        <f t="array" ref="H84">Common_InputFunctions.Utility_DisplayArrayInTable(Scope3_SourceData.Scope3_Chemicals_Data(), Table_SourceData_Scope3_ChemicalsPharmacy[[#Headers],[Category]], -3, 2)</f>
        <v>1.4200000000000001E-2</v>
      </c>
      <c r="I84" s="30" t="str" cm="1">
        <f t="array" ref="I84">Common_InputFunctions.Utility_DisplayArrayInTable(Scope3_SourceData.Scope3_Chemicals_Data(), Table_SourceData_Scope3_ChemicalsPharmacy[[#Headers],[Category]], -3, 2)</f>
        <v>at manufacturer</v>
      </c>
    </row>
    <row r="85" spans="1:16" ht="20.100000000000001" customHeight="1" x14ac:dyDescent="0.25">
      <c r="A85"/>
      <c r="D85" s="30" t="str" cm="1">
        <f t="array" ref="D85">Common_InputFunctions.Utility_DisplayArrayInTable(Scope3_SourceData.Scope3_Chemicals_Data(), Table_SourceData_Scope3_ChemicalsPharmacy[[#Headers],[Category]], -3, 2)</f>
        <v>Pharmacy chemicals</v>
      </c>
      <c r="E85" s="30" t="str" cm="1">
        <f t="array" ref="E85">Common_InputFunctions.Utility_DisplayArrayInTable(Scope3_SourceData.Scope3_Chemicals_Data(), Table_SourceData_Scope3_ChemicalsPharmacy[[#Headers],[Category]], -3, 2)</f>
        <v>Parasite control for sheep (external)</v>
      </c>
      <c r="F85" s="30" t="str" cm="1">
        <f t="array" ref="F85">Common_InputFunctions.Utility_DisplayArrayInTable(Scope3_SourceData.Scope3_Chemicals_Data(), Table_SourceData_Scope3_ChemicalsPharmacy[[#Headers],[Category]], -3, 2)</f>
        <v>Global</v>
      </c>
      <c r="G85" s="30" t="str" cm="1">
        <f t="array" ref="G85">Common_InputFunctions.Utility_DisplayArrayInTable(Scope3_SourceData.Scope3_Chemicals_Data(), Table_SourceData_Scope3_ChemicalsPharmacy[[#Headers],[Category]], -3, 2)</f>
        <v>p (head)</v>
      </c>
      <c r="H85" s="30" cm="1">
        <f t="array" ref="H85">Common_InputFunctions.Utility_DisplayArrayInTable(Scope3_SourceData.Scope3_Chemicals_Data(), Table_SourceData_Scope3_ChemicalsPharmacy[[#Headers],[Category]], -3, 2)</f>
        <v>1.43E-2</v>
      </c>
      <c r="I85" s="30" t="str" cm="1">
        <f t="array" ref="I85">Common_InputFunctions.Utility_DisplayArrayInTable(Scope3_SourceData.Scope3_Chemicals_Data(), Table_SourceData_Scope3_ChemicalsPharmacy[[#Headers],[Category]], -3, 2)</f>
        <v>at manufacturer</v>
      </c>
    </row>
    <row r="86" spans="1:16" ht="20.100000000000001" customHeight="1" x14ac:dyDescent="0.25">
      <c r="A86"/>
      <c r="D86" s="30" t="str" cm="1">
        <f t="array" ref="D86">Common_InputFunctions.Utility_DisplayArrayInTable(Scope3_SourceData.Scope3_Chemicals_Data(), Table_SourceData_Scope3_ChemicalsPharmacy[[#Headers],[Category]], -3, 2)</f>
        <v>Pharmacy chemicals</v>
      </c>
      <c r="E86" s="30" t="str" cm="1">
        <f t="array" ref="E86">Common_InputFunctions.Utility_DisplayArrayInTable(Scope3_SourceData.Scope3_Chemicals_Data(), Table_SourceData_Scope3_ChemicalsPharmacy[[#Headers],[Category]], -3, 2)</f>
        <v>Parasite control for sheep (internal)</v>
      </c>
      <c r="F86" s="30" t="str" cm="1">
        <f t="array" ref="F86">Common_InputFunctions.Utility_DisplayArrayInTable(Scope3_SourceData.Scope3_Chemicals_Data(), Table_SourceData_Scope3_ChemicalsPharmacy[[#Headers],[Category]], -3, 2)</f>
        <v>Global</v>
      </c>
      <c r="G86" s="30" t="str" cm="1">
        <f t="array" ref="G86">Common_InputFunctions.Utility_DisplayArrayInTable(Scope3_SourceData.Scope3_Chemicals_Data(), Table_SourceData_Scope3_ChemicalsPharmacy[[#Headers],[Category]], -3, 2)</f>
        <v>p (head)</v>
      </c>
      <c r="H86" s="30" cm="1">
        <f t="array" ref="H86">Common_InputFunctions.Utility_DisplayArrayInTable(Scope3_SourceData.Scope3_Chemicals_Data(), Table_SourceData_Scope3_ChemicalsPharmacy[[#Headers],[Category]], -3, 2)</f>
        <v>4.2599999999999999E-3</v>
      </c>
      <c r="I86" s="30" t="str" cm="1">
        <f t="array" ref="I86">Common_InputFunctions.Utility_DisplayArrayInTable(Scope3_SourceData.Scope3_Chemicals_Data(), Table_SourceData_Scope3_ChemicalsPharmacy[[#Headers],[Category]], -3, 2)</f>
        <v>at manufacturer</v>
      </c>
    </row>
    <row r="87" spans="1:16" ht="20.100000000000001" customHeight="1" x14ac:dyDescent="0.25">
      <c r="A87"/>
    </row>
    <row r="88" spans="1:16" ht="20.100000000000001" customHeight="1" x14ac:dyDescent="0.25">
      <c r="A88"/>
      <c r="D88" s="2" t="s">
        <v>986</v>
      </c>
    </row>
    <row r="89" spans="1:16" ht="20.100000000000001" customHeight="1" x14ac:dyDescent="0.25">
      <c r="A89"/>
      <c r="D89" s="30" t="s">
        <v>452</v>
      </c>
      <c r="E89" s="30" t="s">
        <v>152</v>
      </c>
      <c r="F89" s="30" t="s">
        <v>453</v>
      </c>
      <c r="G89" s="30" t="s">
        <v>454</v>
      </c>
      <c r="H89" s="30" t="s">
        <v>455</v>
      </c>
      <c r="I89" s="30" t="s">
        <v>456</v>
      </c>
      <c r="K89" s="30" t="s">
        <v>152</v>
      </c>
      <c r="L89" s="30" t="s">
        <v>377</v>
      </c>
      <c r="M89" s="1" t="str">
        <f>"Table_ProductRegions_" &amp; SUBSTITUTE(SUBSTITUTE(SUBSTITUTE(SUBSTITUTE(K90, " ", ""), ",", ""), "(", ""), ")", "")</f>
        <v>Table_ProductRegions_Sardineswhole</v>
      </c>
    </row>
    <row r="90" spans="1:16" ht="20.100000000000001" customHeight="1" x14ac:dyDescent="0.25">
      <c r="A90"/>
      <c r="D90" s="30" t="str" cm="1">
        <f t="array" ref="D90">Common_InputFunctions.Utility_DisplayArrayInTable(Scope3_SourceData.Scope3_Feed_Data(), Table_SourceData_Scope3_Feed[[#Headers],[Category]], 0, 2)</f>
        <v>Aquaculture feed</v>
      </c>
      <c r="E90" s="30" t="str" cm="1">
        <f t="array" ref="E90">Common_InputFunctions.Utility_DisplayArrayInTable(Scope3_SourceData.Scope3_Feed_Data(), Table_SourceData_Scope3_Feed[[#Headers],[Category]], 0, 2)</f>
        <v>Sardines (whole)</v>
      </c>
      <c r="F90" s="30" t="str" cm="1">
        <f t="array" ref="F90">Common_InputFunctions.Utility_DisplayArrayInTable(Scope3_SourceData.Scope3_Feed_Data(), Table_SourceData_Scope3_Feed[[#Headers],[Category]], 0, 2)</f>
        <v>SA</v>
      </c>
      <c r="G90" s="30" t="str" cm="1">
        <f t="array" ref="G90">Common_InputFunctions.Utility_DisplayArrayInTable(Scope3_SourceData.Scope3_Feed_Data(), Table_SourceData_Scope3_Feed[[#Headers],[Category]], 0, 2)</f>
        <v>kg</v>
      </c>
      <c r="H90" s="30" cm="1">
        <f t="array" ref="H90">Common_InputFunctions.Utility_DisplayArrayInTable(Scope3_SourceData.Scope3_Feed_Data(), Table_SourceData_Scope3_Feed[[#Headers],[Category]], 0, 2)</f>
        <v>0.376</v>
      </c>
      <c r="I90" s="30" t="str" cm="1">
        <f t="array" ref="I90">Common_InputFunctions.Utility_DisplayArrayInTable(Scope3_SourceData.Scope3_Feed_Data(), Table_SourceData_Scope3_Feed[[#Headers],[Category]], 0, 2)</f>
        <v>at market</v>
      </c>
      <c r="K90" s="30" t="str">
        <f>Table_SourceData_Scope3_Feed[[#This Row],[Product]]</f>
        <v>Sardines (whole)</v>
      </c>
      <c r="L90" s="30" t="str">
        <f>Table_SourceData_Scope3_Feed[[#This Row],[Region of origin]]</f>
        <v>SA</v>
      </c>
      <c r="N90" s="30" t="s">
        <v>152</v>
      </c>
      <c r="O90" s="30" t="s">
        <v>377</v>
      </c>
      <c r="P90" s="1" t="str">
        <f>"Table_ProductRegions_" &amp; SUBSTITUTE(SUBSTITUTE(SUBSTITUTE(SUBSTITUTE(N91, " ", ""), ",", ""), "(", ""), ")", "")</f>
        <v>Table_ProductRegions_Barleygrain</v>
      </c>
    </row>
    <row r="91" spans="1:16" ht="20.100000000000001" customHeight="1" x14ac:dyDescent="0.25">
      <c r="A91"/>
      <c r="D91" s="30" t="str" cm="1">
        <f t="array" ref="D91">Common_InputFunctions.Utility_DisplayArrayInTable(Scope3_SourceData.Scope3_Feed_Data(), Table_SourceData_Scope3_Feed[[#Headers],[Category]], 0, 2)</f>
        <v>Grain</v>
      </c>
      <c r="E91" s="30" t="str" cm="1">
        <f t="array" ref="E91">Common_InputFunctions.Utility_DisplayArrayInTable(Scope3_SourceData.Scope3_Feed_Data(), Table_SourceData_Scope3_Feed[[#Headers],[Category]], 0, 2)</f>
        <v>Barley grain</v>
      </c>
      <c r="F91" s="30" t="str" cm="1">
        <f t="array" ref="F91">Common_InputFunctions.Utility_DisplayArrayInTable(Scope3_SourceData.Scope3_Feed_Data(), Table_SourceData_Scope3_Feed[[#Headers],[Category]], 0, 2)</f>
        <v>Australia</v>
      </c>
      <c r="G91" s="30" t="str" cm="1">
        <f t="array" ref="G91">Common_InputFunctions.Utility_DisplayArrayInTable(Scope3_SourceData.Scope3_Feed_Data(), Table_SourceData_Scope3_Feed[[#Headers],[Category]], 0, 2)</f>
        <v>kg</v>
      </c>
      <c r="H91" s="30" cm="1">
        <f t="array" ref="H91">Common_InputFunctions.Utility_DisplayArrayInTable(Scope3_SourceData.Scope3_Feed_Data(), Table_SourceData_Scope3_Feed[[#Headers],[Category]], 0, 2)</f>
        <v>0.23899999999999999</v>
      </c>
      <c r="I91" s="30" t="str" cm="1">
        <f t="array" ref="I91">Common_InputFunctions.Utility_DisplayArrayInTable(Scope3_SourceData.Scope3_Feed_Data(), Table_SourceData_Scope3_Feed[[#Headers],[Category]], 0, 2)</f>
        <v>at market</v>
      </c>
      <c r="N91" s="30" t="str">
        <f>Table_SourceData_Scope3_Feed[[#This Row],[Product]]</f>
        <v>Barley grain</v>
      </c>
      <c r="O91" s="30" t="str">
        <f>Table_SourceData_Scope3_Feed[[#This Row],[Region of origin]]</f>
        <v>Australia</v>
      </c>
    </row>
    <row r="92" spans="1:16" ht="20.100000000000001" customHeight="1" x14ac:dyDescent="0.25">
      <c r="A92"/>
      <c r="D92" s="30" t="str" cm="1">
        <f t="array" ref="D92">Common_InputFunctions.Utility_DisplayArrayInTable(Scope3_SourceData.Scope3_Feed_Data(), Table_SourceData_Scope3_Feed[[#Headers],[Category]], 0, 2)</f>
        <v>Grain</v>
      </c>
      <c r="E92" s="30" t="str" cm="1">
        <f t="array" ref="E92">Common_InputFunctions.Utility_DisplayArrayInTable(Scope3_SourceData.Scope3_Feed_Data(), Table_SourceData_Scope3_Feed[[#Headers],[Category]], 0, 2)</f>
        <v>Barley grain</v>
      </c>
      <c r="F92" s="30" t="str" cm="1">
        <f t="array" ref="F92">Common_InputFunctions.Utility_DisplayArrayInTable(Scope3_SourceData.Scope3_Feed_Data(), Table_SourceData_Scope3_Feed[[#Headers],[Category]], 0, 2)</f>
        <v>NSW</v>
      </c>
      <c r="G92" s="30" t="str" cm="1">
        <f t="array" ref="G92">Common_InputFunctions.Utility_DisplayArrayInTable(Scope3_SourceData.Scope3_Feed_Data(), Table_SourceData_Scope3_Feed[[#Headers],[Category]], 0, 2)</f>
        <v>kg</v>
      </c>
      <c r="H92" s="30" cm="1">
        <f t="array" ref="H92">Common_InputFunctions.Utility_DisplayArrayInTable(Scope3_SourceData.Scope3_Feed_Data(), Table_SourceData_Scope3_Feed[[#Headers],[Category]], 0, 2)</f>
        <v>0.25600000000000001</v>
      </c>
      <c r="I92" s="30" t="str" cm="1">
        <f t="array" ref="I92">Common_InputFunctions.Utility_DisplayArrayInTable(Scope3_SourceData.Scope3_Feed_Data(), Table_SourceData_Scope3_Feed[[#Headers],[Category]], 0, 2)</f>
        <v>at market</v>
      </c>
      <c r="N92" s="30" t="str">
        <f>Table_SourceData_Scope3_Feed[[#This Row],[Product]]</f>
        <v>Barley grain</v>
      </c>
      <c r="O92" s="30" t="str">
        <f>Table_SourceData_Scope3_Feed[[#This Row],[Region of origin]]</f>
        <v>NSW</v>
      </c>
    </row>
    <row r="93" spans="1:16" ht="20.100000000000001" customHeight="1" x14ac:dyDescent="0.25">
      <c r="A93"/>
      <c r="D93" s="30" t="str" cm="1">
        <f t="array" ref="D93">Common_InputFunctions.Utility_DisplayArrayInTable(Scope3_SourceData.Scope3_Feed_Data(), Table_SourceData_Scope3_Feed[[#Headers],[Category]], 0, 2)</f>
        <v>Grain</v>
      </c>
      <c r="E93" s="30" t="str" cm="1">
        <f t="array" ref="E93">Common_InputFunctions.Utility_DisplayArrayInTable(Scope3_SourceData.Scope3_Feed_Data(), Table_SourceData_Scope3_Feed[[#Headers],[Category]], 0, 2)</f>
        <v>Barley grain</v>
      </c>
      <c r="F93" s="30" t="str" cm="1">
        <f t="array" ref="F93">Common_InputFunctions.Utility_DisplayArrayInTable(Scope3_SourceData.Scope3_Feed_Data(), Table_SourceData_Scope3_Feed[[#Headers],[Category]], 0, 2)</f>
        <v>NT</v>
      </c>
      <c r="G93" s="30" t="str" cm="1">
        <f t="array" ref="G93">Common_InputFunctions.Utility_DisplayArrayInTable(Scope3_SourceData.Scope3_Feed_Data(), Table_SourceData_Scope3_Feed[[#Headers],[Category]], 0, 2)</f>
        <v>kg</v>
      </c>
      <c r="H93" s="30" cm="1">
        <f t="array" ref="H93">Common_InputFunctions.Utility_DisplayArrayInTable(Scope3_SourceData.Scope3_Feed_Data(), Table_SourceData_Scope3_Feed[[#Headers],[Category]], 0, 2)</f>
        <v>0.33200000000000002</v>
      </c>
      <c r="I93" s="30" t="str" cm="1">
        <f t="array" ref="I93">Common_InputFunctions.Utility_DisplayArrayInTable(Scope3_SourceData.Scope3_Feed_Data(), Table_SourceData_Scope3_Feed[[#Headers],[Category]], 0, 2)</f>
        <v>at market</v>
      </c>
      <c r="N93" s="30" t="str">
        <f>Table_SourceData_Scope3_Feed[[#This Row],[Product]]</f>
        <v>Barley grain</v>
      </c>
      <c r="O93" s="30" t="str">
        <f>Table_SourceData_Scope3_Feed[[#This Row],[Region of origin]]</f>
        <v>NT</v>
      </c>
    </row>
    <row r="94" spans="1:16" ht="20.100000000000001" customHeight="1" x14ac:dyDescent="0.25">
      <c r="A94"/>
      <c r="D94" s="30" t="str" cm="1">
        <f t="array" ref="D94">Common_InputFunctions.Utility_DisplayArrayInTable(Scope3_SourceData.Scope3_Feed_Data(), Table_SourceData_Scope3_Feed[[#Headers],[Category]], 0, 2)</f>
        <v>Grain</v>
      </c>
      <c r="E94" s="30" t="str" cm="1">
        <f t="array" ref="E94">Common_InputFunctions.Utility_DisplayArrayInTable(Scope3_SourceData.Scope3_Feed_Data(), Table_SourceData_Scope3_Feed[[#Headers],[Category]], 0, 2)</f>
        <v>Barley grain</v>
      </c>
      <c r="F94" s="30" t="str" cm="1">
        <f t="array" ref="F94">Common_InputFunctions.Utility_DisplayArrayInTable(Scope3_SourceData.Scope3_Feed_Data(), Table_SourceData_Scope3_Feed[[#Headers],[Category]], 0, 2)</f>
        <v>QLD</v>
      </c>
      <c r="G94" s="30" t="str" cm="1">
        <f t="array" ref="G94">Common_InputFunctions.Utility_DisplayArrayInTable(Scope3_SourceData.Scope3_Feed_Data(), Table_SourceData_Scope3_Feed[[#Headers],[Category]], 0, 2)</f>
        <v>kg</v>
      </c>
      <c r="H94" s="30" cm="1">
        <f t="array" ref="H94">Common_InputFunctions.Utility_DisplayArrayInTable(Scope3_SourceData.Scope3_Feed_Data(), Table_SourceData_Scope3_Feed[[#Headers],[Category]], 0, 2)</f>
        <v>0.26900000000000002</v>
      </c>
      <c r="I94" s="30" t="str" cm="1">
        <f t="array" ref="I94">Common_InputFunctions.Utility_DisplayArrayInTable(Scope3_SourceData.Scope3_Feed_Data(), Table_SourceData_Scope3_Feed[[#Headers],[Category]], 0, 2)</f>
        <v>at market</v>
      </c>
      <c r="N94" s="30" t="str">
        <f>Table_SourceData_Scope3_Feed[[#This Row],[Product]]</f>
        <v>Barley grain</v>
      </c>
      <c r="O94" s="30" t="str">
        <f>Table_SourceData_Scope3_Feed[[#This Row],[Region of origin]]</f>
        <v>QLD</v>
      </c>
    </row>
    <row r="95" spans="1:16" ht="20.100000000000001" customHeight="1" x14ac:dyDescent="0.25">
      <c r="A95"/>
      <c r="D95" s="30" t="str" cm="1">
        <f t="array" ref="D95">Common_InputFunctions.Utility_DisplayArrayInTable(Scope3_SourceData.Scope3_Feed_Data(), Table_SourceData_Scope3_Feed[[#Headers],[Category]], 0, 2)</f>
        <v>Grain</v>
      </c>
      <c r="E95" s="30" t="str" cm="1">
        <f t="array" ref="E95">Common_InputFunctions.Utility_DisplayArrayInTable(Scope3_SourceData.Scope3_Feed_Data(), Table_SourceData_Scope3_Feed[[#Headers],[Category]], 0, 2)</f>
        <v>Barley grain</v>
      </c>
      <c r="F95" s="30" t="str" cm="1">
        <f t="array" ref="F95">Common_InputFunctions.Utility_DisplayArrayInTable(Scope3_SourceData.Scope3_Feed_Data(), Table_SourceData_Scope3_Feed[[#Headers],[Category]], 0, 2)</f>
        <v>SA</v>
      </c>
      <c r="G95" s="30" t="str" cm="1">
        <f t="array" ref="G95">Common_InputFunctions.Utility_DisplayArrayInTable(Scope3_SourceData.Scope3_Feed_Data(), Table_SourceData_Scope3_Feed[[#Headers],[Category]], 0, 2)</f>
        <v>kg</v>
      </c>
      <c r="H95" s="30" cm="1">
        <f t="array" ref="H95">Common_InputFunctions.Utility_DisplayArrayInTable(Scope3_SourceData.Scope3_Feed_Data(), Table_SourceData_Scope3_Feed[[#Headers],[Category]], 0, 2)</f>
        <v>0.223</v>
      </c>
      <c r="I95" s="30" t="str" cm="1">
        <f t="array" ref="I95">Common_InputFunctions.Utility_DisplayArrayInTable(Scope3_SourceData.Scope3_Feed_Data(), Table_SourceData_Scope3_Feed[[#Headers],[Category]], 0, 2)</f>
        <v>at market</v>
      </c>
      <c r="N95" s="30" t="str">
        <f>Table_SourceData_Scope3_Feed[[#This Row],[Product]]</f>
        <v>Barley grain</v>
      </c>
      <c r="O95" s="30" t="str">
        <f>Table_SourceData_Scope3_Feed[[#This Row],[Region of origin]]</f>
        <v>SA</v>
      </c>
    </row>
    <row r="96" spans="1:16" ht="20.100000000000001" customHeight="1" x14ac:dyDescent="0.25">
      <c r="A96"/>
      <c r="D96" s="30" t="str" cm="1">
        <f t="array" ref="D96">Common_InputFunctions.Utility_DisplayArrayInTable(Scope3_SourceData.Scope3_Feed_Data(), Table_SourceData_Scope3_Feed[[#Headers],[Category]], 0, 2)</f>
        <v>Grain</v>
      </c>
      <c r="E96" s="30" t="str" cm="1">
        <f t="array" ref="E96">Common_InputFunctions.Utility_DisplayArrayInTable(Scope3_SourceData.Scope3_Feed_Data(), Table_SourceData_Scope3_Feed[[#Headers],[Category]], 0, 2)</f>
        <v>Barley grain</v>
      </c>
      <c r="F96" s="30" t="str" cm="1">
        <f t="array" ref="F96">Common_InputFunctions.Utility_DisplayArrayInTable(Scope3_SourceData.Scope3_Feed_Data(), Table_SourceData_Scope3_Feed[[#Headers],[Category]], 0, 2)</f>
        <v>TAS</v>
      </c>
      <c r="G96" s="30" t="str" cm="1">
        <f t="array" ref="G96">Common_InputFunctions.Utility_DisplayArrayInTable(Scope3_SourceData.Scope3_Feed_Data(), Table_SourceData_Scope3_Feed[[#Headers],[Category]], 0, 2)</f>
        <v>kg</v>
      </c>
      <c r="H96" s="30" cm="1">
        <f t="array" ref="H96">Common_InputFunctions.Utility_DisplayArrayInTable(Scope3_SourceData.Scope3_Feed_Data(), Table_SourceData_Scope3_Feed[[#Headers],[Category]], 0, 2)</f>
        <v>0.307</v>
      </c>
      <c r="I96" s="30" t="str" cm="1">
        <f t="array" ref="I96">Common_InputFunctions.Utility_DisplayArrayInTable(Scope3_SourceData.Scope3_Feed_Data(), Table_SourceData_Scope3_Feed[[#Headers],[Category]], 0, 2)</f>
        <v>at market</v>
      </c>
      <c r="N96" s="30" t="str">
        <f>Table_SourceData_Scope3_Feed[[#This Row],[Product]]</f>
        <v>Barley grain</v>
      </c>
      <c r="O96" s="30" t="str">
        <f>Table_SourceData_Scope3_Feed[[#This Row],[Region of origin]]</f>
        <v>TAS</v>
      </c>
    </row>
    <row r="97" spans="1:16" ht="20.100000000000001" customHeight="1" x14ac:dyDescent="0.25">
      <c r="A97"/>
      <c r="D97" s="30" t="str" cm="1">
        <f t="array" ref="D97">Common_InputFunctions.Utility_DisplayArrayInTable(Scope3_SourceData.Scope3_Feed_Data(), Table_SourceData_Scope3_Feed[[#Headers],[Category]], 0, 2)</f>
        <v>Grain</v>
      </c>
      <c r="E97" s="30" t="str" cm="1">
        <f t="array" ref="E97">Common_InputFunctions.Utility_DisplayArrayInTable(Scope3_SourceData.Scope3_Feed_Data(), Table_SourceData_Scope3_Feed[[#Headers],[Category]], 0, 2)</f>
        <v>Barley grain</v>
      </c>
      <c r="F97" s="30" t="str" cm="1">
        <f t="array" ref="F97">Common_InputFunctions.Utility_DisplayArrayInTable(Scope3_SourceData.Scope3_Feed_Data(), Table_SourceData_Scope3_Feed[[#Headers],[Category]], 0, 2)</f>
        <v>VIC</v>
      </c>
      <c r="G97" s="30" t="str" cm="1">
        <f t="array" ref="G97">Common_InputFunctions.Utility_DisplayArrayInTable(Scope3_SourceData.Scope3_Feed_Data(), Table_SourceData_Scope3_Feed[[#Headers],[Category]], 0, 2)</f>
        <v>kg</v>
      </c>
      <c r="H97" s="30" cm="1">
        <f t="array" ref="H97">Common_InputFunctions.Utility_DisplayArrayInTable(Scope3_SourceData.Scope3_Feed_Data(), Table_SourceData_Scope3_Feed[[#Headers],[Category]], 0, 2)</f>
        <v>0.24099999999999999</v>
      </c>
      <c r="I97" s="30" t="str" cm="1">
        <f t="array" ref="I97">Common_InputFunctions.Utility_DisplayArrayInTable(Scope3_SourceData.Scope3_Feed_Data(), Table_SourceData_Scope3_Feed[[#Headers],[Category]], 0, 2)</f>
        <v>at market</v>
      </c>
      <c r="N97" s="30" t="str">
        <f>Table_SourceData_Scope3_Feed[[#This Row],[Product]]</f>
        <v>Barley grain</v>
      </c>
      <c r="O97" s="30" t="str">
        <f>Table_SourceData_Scope3_Feed[[#This Row],[Region of origin]]</f>
        <v>VIC</v>
      </c>
    </row>
    <row r="98" spans="1:16" ht="20.100000000000001" customHeight="1" x14ac:dyDescent="0.25">
      <c r="A98"/>
      <c r="D98" s="30" t="str" cm="1">
        <f t="array" ref="D98">Common_InputFunctions.Utility_DisplayArrayInTable(Scope3_SourceData.Scope3_Feed_Data(), Table_SourceData_Scope3_Feed[[#Headers],[Category]], 0, 2)</f>
        <v>Grain</v>
      </c>
      <c r="E98" s="30" t="str" cm="1">
        <f t="array" ref="E98">Common_InputFunctions.Utility_DisplayArrayInTable(Scope3_SourceData.Scope3_Feed_Data(), Table_SourceData_Scope3_Feed[[#Headers],[Category]], 0, 2)</f>
        <v>Barley grain</v>
      </c>
      <c r="F98" s="30" t="str" cm="1">
        <f t="array" ref="F98">Common_InputFunctions.Utility_DisplayArrayInTable(Scope3_SourceData.Scope3_Feed_Data(), Table_SourceData_Scope3_Feed[[#Headers],[Category]], 0, 2)</f>
        <v>WA</v>
      </c>
      <c r="G98" s="30" t="str" cm="1">
        <f t="array" ref="G98">Common_InputFunctions.Utility_DisplayArrayInTable(Scope3_SourceData.Scope3_Feed_Data(), Table_SourceData_Scope3_Feed[[#Headers],[Category]], 0, 2)</f>
        <v>kg</v>
      </c>
      <c r="H98" s="30" cm="1">
        <f t="array" ref="H98">Common_InputFunctions.Utility_DisplayArrayInTable(Scope3_SourceData.Scope3_Feed_Data(), Table_SourceData_Scope3_Feed[[#Headers],[Category]], 0, 2)</f>
        <v>0.23599999999999999</v>
      </c>
      <c r="I98" s="30" t="str" cm="1">
        <f t="array" ref="I98">Common_InputFunctions.Utility_DisplayArrayInTable(Scope3_SourceData.Scope3_Feed_Data(), Table_SourceData_Scope3_Feed[[#Headers],[Category]], 0, 2)</f>
        <v>at market</v>
      </c>
      <c r="K98" s="30" t="s">
        <v>152</v>
      </c>
      <c r="L98" s="30" t="s">
        <v>377</v>
      </c>
      <c r="M98" s="1" t="str">
        <f>"Table_ProductRegions_" &amp; SUBSTITUTE(SUBSTITUTE(SUBSTITUTE(SUBSTITUTE(K99, " ", ""), ",", ""), "(", ""), ")", "")</f>
        <v>Table_ProductRegions_Maizegrain</v>
      </c>
      <c r="N98" s="30" t="str">
        <f>Table_SourceData_Scope3_Feed[[#This Row],[Product]]</f>
        <v>Barley grain</v>
      </c>
      <c r="O98" s="30" t="str">
        <f>Table_SourceData_Scope3_Feed[[#This Row],[Region of origin]]</f>
        <v>WA</v>
      </c>
    </row>
    <row r="99" spans="1:16" ht="20.100000000000001" customHeight="1" x14ac:dyDescent="0.25">
      <c r="A99"/>
      <c r="D99" s="30" t="str" cm="1">
        <f t="array" ref="D99">Common_InputFunctions.Utility_DisplayArrayInTable(Scope3_SourceData.Scope3_Feed_Data(), Table_SourceData_Scope3_Feed[[#Headers],[Category]], 0, 2)</f>
        <v>Grain</v>
      </c>
      <c r="E99" s="30" t="str" cm="1">
        <f t="array" ref="E99">Common_InputFunctions.Utility_DisplayArrayInTable(Scope3_SourceData.Scope3_Feed_Data(), Table_SourceData_Scope3_Feed[[#Headers],[Category]], 0, 2)</f>
        <v>Maize grain</v>
      </c>
      <c r="F99" s="30" t="str" cm="1">
        <f t="array" ref="F99">Common_InputFunctions.Utility_DisplayArrayInTable(Scope3_SourceData.Scope3_Feed_Data(), Table_SourceData_Scope3_Feed[[#Headers],[Category]], 0, 2)</f>
        <v>Australia</v>
      </c>
      <c r="G99" s="30" t="str" cm="1">
        <f t="array" ref="G99">Common_InputFunctions.Utility_DisplayArrayInTable(Scope3_SourceData.Scope3_Feed_Data(), Table_SourceData_Scope3_Feed[[#Headers],[Category]], 0, 2)</f>
        <v>kg</v>
      </c>
      <c r="H99" s="30" cm="1">
        <f t="array" ref="H99">Common_InputFunctions.Utility_DisplayArrayInTable(Scope3_SourceData.Scope3_Feed_Data(), Table_SourceData_Scope3_Feed[[#Headers],[Category]], 0, 2)</f>
        <v>0.18099999999999999</v>
      </c>
      <c r="I99" s="30" t="str" cm="1">
        <f t="array" ref="I99">Common_InputFunctions.Utility_DisplayArrayInTable(Scope3_SourceData.Scope3_Feed_Data(), Table_SourceData_Scope3_Feed[[#Headers],[Category]], 0, 2)</f>
        <v>at market</v>
      </c>
      <c r="K99" s="30" t="str">
        <f>Table_SourceData_Scope3_Feed[[#This Row],[Product]]</f>
        <v>Maize grain</v>
      </c>
      <c r="L99" s="30" t="str">
        <f>Table_SourceData_Scope3_Feed[[#This Row],[Region of origin]]</f>
        <v>Australia</v>
      </c>
    </row>
    <row r="100" spans="1:16" ht="20.100000000000001" customHeight="1" x14ac:dyDescent="0.25">
      <c r="A100"/>
      <c r="D100" s="30" t="str" cm="1">
        <f t="array" ref="D100">Common_InputFunctions.Utility_DisplayArrayInTable(Scope3_SourceData.Scope3_Feed_Data(), Table_SourceData_Scope3_Feed[[#Headers],[Category]], 0, 2)</f>
        <v>Grain</v>
      </c>
      <c r="E100" s="30" t="str" cm="1">
        <f t="array" ref="E100">Common_InputFunctions.Utility_DisplayArrayInTable(Scope3_SourceData.Scope3_Feed_Data(), Table_SourceData_Scope3_Feed[[#Headers],[Category]], 0, 2)</f>
        <v>Maize grain</v>
      </c>
      <c r="F100" s="30" t="str" cm="1">
        <f t="array" ref="F100">Common_InputFunctions.Utility_DisplayArrayInTable(Scope3_SourceData.Scope3_Feed_Data(), Table_SourceData_Scope3_Feed[[#Headers],[Category]], 0, 2)</f>
        <v>NSW</v>
      </c>
      <c r="G100" s="30" t="str" cm="1">
        <f t="array" ref="G100">Common_InputFunctions.Utility_DisplayArrayInTable(Scope3_SourceData.Scope3_Feed_Data(), Table_SourceData_Scope3_Feed[[#Headers],[Category]], 0, 2)</f>
        <v>kg</v>
      </c>
      <c r="H100" s="30" cm="1">
        <f t="array" ref="H100">Common_InputFunctions.Utility_DisplayArrayInTable(Scope3_SourceData.Scope3_Feed_Data(), Table_SourceData_Scope3_Feed[[#Headers],[Category]], 0, 2)</f>
        <v>0.16900000000000001</v>
      </c>
      <c r="I100" s="30" t="str" cm="1">
        <f t="array" ref="I100">Common_InputFunctions.Utility_DisplayArrayInTable(Scope3_SourceData.Scope3_Feed_Data(), Table_SourceData_Scope3_Feed[[#Headers],[Category]], 0, 2)</f>
        <v>at market</v>
      </c>
      <c r="K100" s="30" t="str">
        <f>Table_SourceData_Scope3_Feed[[#This Row],[Product]]</f>
        <v>Maize grain</v>
      </c>
      <c r="L100" s="30" t="str">
        <f>Table_SourceData_Scope3_Feed[[#This Row],[Region of origin]]</f>
        <v>NSW</v>
      </c>
    </row>
    <row r="101" spans="1:16" ht="20.100000000000001" customHeight="1" x14ac:dyDescent="0.25">
      <c r="A101"/>
      <c r="D101" s="30" t="str" cm="1">
        <f t="array" ref="D101">Common_InputFunctions.Utility_DisplayArrayInTable(Scope3_SourceData.Scope3_Feed_Data(), Table_SourceData_Scope3_Feed[[#Headers],[Category]], 0, 2)</f>
        <v>Grain</v>
      </c>
      <c r="E101" s="30" t="str" cm="1">
        <f t="array" ref="E101">Common_InputFunctions.Utility_DisplayArrayInTable(Scope3_SourceData.Scope3_Feed_Data(), Table_SourceData_Scope3_Feed[[#Headers],[Category]], 0, 2)</f>
        <v>Maize grain</v>
      </c>
      <c r="F101" s="30" t="str" cm="1">
        <f t="array" ref="F101">Common_InputFunctions.Utility_DisplayArrayInTable(Scope3_SourceData.Scope3_Feed_Data(), Table_SourceData_Scope3_Feed[[#Headers],[Category]], 0, 2)</f>
        <v>NT</v>
      </c>
      <c r="G101" s="30" t="str" cm="1">
        <f t="array" ref="G101">Common_InputFunctions.Utility_DisplayArrayInTable(Scope3_SourceData.Scope3_Feed_Data(), Table_SourceData_Scope3_Feed[[#Headers],[Category]], 0, 2)</f>
        <v>kg</v>
      </c>
      <c r="H101" s="30" cm="1">
        <f t="array" ref="H101">Common_InputFunctions.Utility_DisplayArrayInTable(Scope3_SourceData.Scope3_Feed_Data(), Table_SourceData_Scope3_Feed[[#Headers],[Category]], 0, 2)</f>
        <v>0.25600000000000001</v>
      </c>
      <c r="I101" s="30" t="str" cm="1">
        <f t="array" ref="I101">Common_InputFunctions.Utility_DisplayArrayInTable(Scope3_SourceData.Scope3_Feed_Data(), Table_SourceData_Scope3_Feed[[#Headers],[Category]], 0, 2)</f>
        <v>at market</v>
      </c>
      <c r="K101" s="30" t="str">
        <f>Table_SourceData_Scope3_Feed[[#This Row],[Product]]</f>
        <v>Maize grain</v>
      </c>
      <c r="L101" s="30" t="str">
        <f>Table_SourceData_Scope3_Feed[[#This Row],[Region of origin]]</f>
        <v>NT</v>
      </c>
    </row>
    <row r="102" spans="1:16" ht="20.100000000000001" customHeight="1" x14ac:dyDescent="0.25">
      <c r="A102"/>
      <c r="D102" s="30" t="str" cm="1">
        <f t="array" ref="D102">Common_InputFunctions.Utility_DisplayArrayInTable(Scope3_SourceData.Scope3_Feed_Data(), Table_SourceData_Scope3_Feed[[#Headers],[Category]], 0, 2)</f>
        <v>Grain</v>
      </c>
      <c r="E102" s="30" t="str" cm="1">
        <f t="array" ref="E102">Common_InputFunctions.Utility_DisplayArrayInTable(Scope3_SourceData.Scope3_Feed_Data(), Table_SourceData_Scope3_Feed[[#Headers],[Category]], 0, 2)</f>
        <v>Maize grain</v>
      </c>
      <c r="F102" s="30" t="str" cm="1">
        <f t="array" ref="F102">Common_InputFunctions.Utility_DisplayArrayInTable(Scope3_SourceData.Scope3_Feed_Data(), Table_SourceData_Scope3_Feed[[#Headers],[Category]], 0, 2)</f>
        <v>QLD</v>
      </c>
      <c r="G102" s="30" t="str" cm="1">
        <f t="array" ref="G102">Common_InputFunctions.Utility_DisplayArrayInTable(Scope3_SourceData.Scope3_Feed_Data(), Table_SourceData_Scope3_Feed[[#Headers],[Category]], 0, 2)</f>
        <v>kg</v>
      </c>
      <c r="H102" s="30" cm="1">
        <f t="array" ref="H102">Common_InputFunctions.Utility_DisplayArrayInTable(Scope3_SourceData.Scope3_Feed_Data(), Table_SourceData_Scope3_Feed[[#Headers],[Category]], 0, 2)</f>
        <v>0.186</v>
      </c>
      <c r="I102" s="30" t="str" cm="1">
        <f t="array" ref="I102">Common_InputFunctions.Utility_DisplayArrayInTable(Scope3_SourceData.Scope3_Feed_Data(), Table_SourceData_Scope3_Feed[[#Headers],[Category]], 0, 2)</f>
        <v>at market</v>
      </c>
      <c r="K102" s="30" t="str">
        <f>Table_SourceData_Scope3_Feed[[#This Row],[Product]]</f>
        <v>Maize grain</v>
      </c>
      <c r="L102" s="30" t="str">
        <f>Table_SourceData_Scope3_Feed[[#This Row],[Region of origin]]</f>
        <v>QLD</v>
      </c>
    </row>
    <row r="103" spans="1:16" ht="20.100000000000001" customHeight="1" x14ac:dyDescent="0.25">
      <c r="A103"/>
      <c r="D103" s="30" t="str" cm="1">
        <f t="array" ref="D103">Common_InputFunctions.Utility_DisplayArrayInTable(Scope3_SourceData.Scope3_Feed_Data(), Table_SourceData_Scope3_Feed[[#Headers],[Category]], 0, 2)</f>
        <v>Grain</v>
      </c>
      <c r="E103" s="30" t="str" cm="1">
        <f t="array" ref="E103">Common_InputFunctions.Utility_DisplayArrayInTable(Scope3_SourceData.Scope3_Feed_Data(), Table_SourceData_Scope3_Feed[[#Headers],[Category]], 0, 2)</f>
        <v>Maize grain</v>
      </c>
      <c r="F103" s="30" t="str" cm="1">
        <f t="array" ref="F103">Common_InputFunctions.Utility_DisplayArrayInTable(Scope3_SourceData.Scope3_Feed_Data(), Table_SourceData_Scope3_Feed[[#Headers],[Category]], 0, 2)</f>
        <v>SA</v>
      </c>
      <c r="G103" s="30" t="str" cm="1">
        <f t="array" ref="G103">Common_InputFunctions.Utility_DisplayArrayInTable(Scope3_SourceData.Scope3_Feed_Data(), Table_SourceData_Scope3_Feed[[#Headers],[Category]], 0, 2)</f>
        <v>kg</v>
      </c>
      <c r="H103" s="30" cm="1">
        <f t="array" ref="H103">Common_InputFunctions.Utility_DisplayArrayInTable(Scope3_SourceData.Scope3_Feed_Data(), Table_SourceData_Scope3_Feed[[#Headers],[Category]], 0, 2)</f>
        <v>0.17599999999999999</v>
      </c>
      <c r="I103" s="30" t="str" cm="1">
        <f t="array" ref="I103">Common_InputFunctions.Utility_DisplayArrayInTable(Scope3_SourceData.Scope3_Feed_Data(), Table_SourceData_Scope3_Feed[[#Headers],[Category]], 0, 2)</f>
        <v>at market</v>
      </c>
      <c r="K103" s="30" t="str">
        <f>Table_SourceData_Scope3_Feed[[#This Row],[Product]]</f>
        <v>Maize grain</v>
      </c>
      <c r="L103" s="30" t="str">
        <f>Table_SourceData_Scope3_Feed[[#This Row],[Region of origin]]</f>
        <v>SA</v>
      </c>
    </row>
    <row r="104" spans="1:16" ht="20.100000000000001" customHeight="1" x14ac:dyDescent="0.25">
      <c r="A104"/>
      <c r="D104" s="30" t="str" cm="1">
        <f t="array" ref="D104">Common_InputFunctions.Utility_DisplayArrayInTable(Scope3_SourceData.Scope3_Feed_Data(), Table_SourceData_Scope3_Feed[[#Headers],[Category]], 0, 2)</f>
        <v>Grain</v>
      </c>
      <c r="E104" s="30" t="str" cm="1">
        <f t="array" ref="E104">Common_InputFunctions.Utility_DisplayArrayInTable(Scope3_SourceData.Scope3_Feed_Data(), Table_SourceData_Scope3_Feed[[#Headers],[Category]], 0, 2)</f>
        <v>Maize grain</v>
      </c>
      <c r="F104" s="30" t="str" cm="1">
        <f t="array" ref="F104">Common_InputFunctions.Utility_DisplayArrayInTable(Scope3_SourceData.Scope3_Feed_Data(), Table_SourceData_Scope3_Feed[[#Headers],[Category]], 0, 2)</f>
        <v>VIC</v>
      </c>
      <c r="G104" s="30" t="str" cm="1">
        <f t="array" ref="G104">Common_InputFunctions.Utility_DisplayArrayInTable(Scope3_SourceData.Scope3_Feed_Data(), Table_SourceData_Scope3_Feed[[#Headers],[Category]], 0, 2)</f>
        <v>kg</v>
      </c>
      <c r="H104" s="30" cm="1">
        <f t="array" ref="H104">Common_InputFunctions.Utility_DisplayArrayInTable(Scope3_SourceData.Scope3_Feed_Data(), Table_SourceData_Scope3_Feed[[#Headers],[Category]], 0, 2)</f>
        <v>0.159</v>
      </c>
      <c r="I104" s="30" t="str" cm="1">
        <f t="array" ref="I104">Common_InputFunctions.Utility_DisplayArrayInTable(Scope3_SourceData.Scope3_Feed_Data(), Table_SourceData_Scope3_Feed[[#Headers],[Category]], 0, 2)</f>
        <v>at market</v>
      </c>
      <c r="K104" s="30" t="str">
        <f>Table_SourceData_Scope3_Feed[[#This Row],[Product]]</f>
        <v>Maize grain</v>
      </c>
      <c r="L104" s="30" t="str">
        <f>Table_SourceData_Scope3_Feed[[#This Row],[Region of origin]]</f>
        <v>VIC</v>
      </c>
    </row>
    <row r="105" spans="1:16" ht="20.100000000000001" customHeight="1" x14ac:dyDescent="0.25">
      <c r="A105"/>
      <c r="D105" s="30" t="str" cm="1">
        <f t="array" ref="D105">Common_InputFunctions.Utility_DisplayArrayInTable(Scope3_SourceData.Scope3_Feed_Data(), Table_SourceData_Scope3_Feed[[#Headers],[Category]], 0, 2)</f>
        <v>Grain</v>
      </c>
      <c r="E105" s="30" t="str" cm="1">
        <f t="array" ref="E105">Common_InputFunctions.Utility_DisplayArrayInTable(Scope3_SourceData.Scope3_Feed_Data(), Table_SourceData_Scope3_Feed[[#Headers],[Category]], 0, 2)</f>
        <v>Maize grain</v>
      </c>
      <c r="F105" s="30" t="str" cm="1">
        <f t="array" ref="F105">Common_InputFunctions.Utility_DisplayArrayInTable(Scope3_SourceData.Scope3_Feed_Data(), Table_SourceData_Scope3_Feed[[#Headers],[Category]], 0, 2)</f>
        <v>WA</v>
      </c>
      <c r="G105" s="30" t="str" cm="1">
        <f t="array" ref="G105">Common_InputFunctions.Utility_DisplayArrayInTable(Scope3_SourceData.Scope3_Feed_Data(), Table_SourceData_Scope3_Feed[[#Headers],[Category]], 0, 2)</f>
        <v>kg</v>
      </c>
      <c r="H105" s="30" cm="1">
        <f t="array" ref="H105">Common_InputFunctions.Utility_DisplayArrayInTable(Scope3_SourceData.Scope3_Feed_Data(), Table_SourceData_Scope3_Feed[[#Headers],[Category]], 0, 2)</f>
        <v>0.28499999999999998</v>
      </c>
      <c r="I105" s="30" t="str" cm="1">
        <f t="array" ref="I105">Common_InputFunctions.Utility_DisplayArrayInTable(Scope3_SourceData.Scope3_Feed_Data(), Table_SourceData_Scope3_Feed[[#Headers],[Category]], 0, 2)</f>
        <v>at market</v>
      </c>
      <c r="K105" s="30" t="str">
        <f>Table_SourceData_Scope3_Feed[[#This Row],[Product]]</f>
        <v>Maize grain</v>
      </c>
      <c r="L105" s="30" t="str">
        <f>Table_SourceData_Scope3_Feed[[#This Row],[Region of origin]]</f>
        <v>WA</v>
      </c>
      <c r="N105" s="30" t="s">
        <v>152</v>
      </c>
      <c r="O105" s="30" t="s">
        <v>377</v>
      </c>
      <c r="P105" s="1" t="str">
        <f>"Table_ProductRegions_" &amp; SUBSTITUTE(SUBSTITUTE(SUBSTITUTE(SUBSTITUTE(N106, " ", ""), ",", ""), "(", ""), ")", "")</f>
        <v>Table_ProductRegions_Sorghumgrain</v>
      </c>
    </row>
    <row r="106" spans="1:16" ht="20.100000000000001" customHeight="1" x14ac:dyDescent="0.25">
      <c r="A106"/>
      <c r="D106" s="30" t="str" cm="1">
        <f t="array" ref="D106">Common_InputFunctions.Utility_DisplayArrayInTable(Scope3_SourceData.Scope3_Feed_Data(), Table_SourceData_Scope3_Feed[[#Headers],[Category]], 0, 2)</f>
        <v>Grain</v>
      </c>
      <c r="E106" s="30" t="str" cm="1">
        <f t="array" ref="E106">Common_InputFunctions.Utility_DisplayArrayInTable(Scope3_SourceData.Scope3_Feed_Data(), Table_SourceData_Scope3_Feed[[#Headers],[Category]], 0, 2)</f>
        <v>Sorghum grain</v>
      </c>
      <c r="F106" s="30" t="str" cm="1">
        <f t="array" ref="F106">Common_InputFunctions.Utility_DisplayArrayInTable(Scope3_SourceData.Scope3_Feed_Data(), Table_SourceData_Scope3_Feed[[#Headers],[Category]], 0, 2)</f>
        <v>Australia</v>
      </c>
      <c r="G106" s="30" t="str" cm="1">
        <f t="array" ref="G106">Common_InputFunctions.Utility_DisplayArrayInTable(Scope3_SourceData.Scope3_Feed_Data(), Table_SourceData_Scope3_Feed[[#Headers],[Category]], 0, 2)</f>
        <v>kg</v>
      </c>
      <c r="H106" s="30" cm="1">
        <f t="array" ref="H106">Common_InputFunctions.Utility_DisplayArrayInTable(Scope3_SourceData.Scope3_Feed_Data(), Table_SourceData_Scope3_Feed[[#Headers],[Category]], 0, 2)</f>
        <v>0.23200000000000001</v>
      </c>
      <c r="I106" s="30" t="str" cm="1">
        <f t="array" ref="I106">Common_InputFunctions.Utility_DisplayArrayInTable(Scope3_SourceData.Scope3_Feed_Data(), Table_SourceData_Scope3_Feed[[#Headers],[Category]], 0, 2)</f>
        <v>at market</v>
      </c>
      <c r="N106" s="30" t="str">
        <f>Table_SourceData_Scope3_Feed[[#This Row],[Product]]</f>
        <v>Sorghum grain</v>
      </c>
      <c r="O106" s="30" t="str">
        <f>Table_SourceData_Scope3_Feed[[#This Row],[Region of origin]]</f>
        <v>Australia</v>
      </c>
    </row>
    <row r="107" spans="1:16" ht="20.100000000000001" customHeight="1" x14ac:dyDescent="0.25">
      <c r="A107"/>
      <c r="D107" s="30" t="str" cm="1">
        <f t="array" ref="D107">Common_InputFunctions.Utility_DisplayArrayInTable(Scope3_SourceData.Scope3_Feed_Data(), Table_SourceData_Scope3_Feed[[#Headers],[Category]], 0, 2)</f>
        <v>Grain</v>
      </c>
      <c r="E107" s="30" t="str" cm="1">
        <f t="array" ref="E107">Common_InputFunctions.Utility_DisplayArrayInTable(Scope3_SourceData.Scope3_Feed_Data(), Table_SourceData_Scope3_Feed[[#Headers],[Category]], 0, 2)</f>
        <v>Sorghum grain</v>
      </c>
      <c r="F107" s="30" t="str" cm="1">
        <f t="array" ref="F107">Common_InputFunctions.Utility_DisplayArrayInTable(Scope3_SourceData.Scope3_Feed_Data(), Table_SourceData_Scope3_Feed[[#Headers],[Category]], 0, 2)</f>
        <v>NSW</v>
      </c>
      <c r="G107" s="30" t="str" cm="1">
        <f t="array" ref="G107">Common_InputFunctions.Utility_DisplayArrayInTable(Scope3_SourceData.Scope3_Feed_Data(), Table_SourceData_Scope3_Feed[[#Headers],[Category]], 0, 2)</f>
        <v>kg</v>
      </c>
      <c r="H107" s="30" cm="1">
        <f t="array" ref="H107">Common_InputFunctions.Utility_DisplayArrayInTable(Scope3_SourceData.Scope3_Feed_Data(), Table_SourceData_Scope3_Feed[[#Headers],[Category]], 0, 2)</f>
        <v>0.23200000000000001</v>
      </c>
      <c r="I107" s="30" t="str" cm="1">
        <f t="array" ref="I107">Common_InputFunctions.Utility_DisplayArrayInTable(Scope3_SourceData.Scope3_Feed_Data(), Table_SourceData_Scope3_Feed[[#Headers],[Category]], 0, 2)</f>
        <v>at market</v>
      </c>
      <c r="N107" s="30" t="str">
        <f>Table_SourceData_Scope3_Feed[[#This Row],[Product]]</f>
        <v>Sorghum grain</v>
      </c>
      <c r="O107" s="30" t="str">
        <f>Table_SourceData_Scope3_Feed[[#This Row],[Region of origin]]</f>
        <v>NSW</v>
      </c>
    </row>
    <row r="108" spans="1:16" ht="20.100000000000001" customHeight="1" x14ac:dyDescent="0.25">
      <c r="A108"/>
      <c r="D108" s="30" t="str" cm="1">
        <f t="array" ref="D108">Common_InputFunctions.Utility_DisplayArrayInTable(Scope3_SourceData.Scope3_Feed_Data(), Table_SourceData_Scope3_Feed[[#Headers],[Category]], 0, 2)</f>
        <v>Grain</v>
      </c>
      <c r="E108" s="30" t="str" cm="1">
        <f t="array" ref="E108">Common_InputFunctions.Utility_DisplayArrayInTable(Scope3_SourceData.Scope3_Feed_Data(), Table_SourceData_Scope3_Feed[[#Headers],[Category]], 0, 2)</f>
        <v>Sorghum grain</v>
      </c>
      <c r="F108" s="30" t="str" cm="1">
        <f t="array" ref="F108">Common_InputFunctions.Utility_DisplayArrayInTable(Scope3_SourceData.Scope3_Feed_Data(), Table_SourceData_Scope3_Feed[[#Headers],[Category]], 0, 2)</f>
        <v>QLD</v>
      </c>
      <c r="G108" s="30" t="str" cm="1">
        <f t="array" ref="G108">Common_InputFunctions.Utility_DisplayArrayInTable(Scope3_SourceData.Scope3_Feed_Data(), Table_SourceData_Scope3_Feed[[#Headers],[Category]], 0, 2)</f>
        <v>kg</v>
      </c>
      <c r="H108" s="30" cm="1">
        <f t="array" ref="H108">Common_InputFunctions.Utility_DisplayArrayInTable(Scope3_SourceData.Scope3_Feed_Data(), Table_SourceData_Scope3_Feed[[#Headers],[Category]], 0, 2)</f>
        <v>0.23100000000000001</v>
      </c>
      <c r="I108" s="30" t="str" cm="1">
        <f t="array" ref="I108">Common_InputFunctions.Utility_DisplayArrayInTable(Scope3_SourceData.Scope3_Feed_Data(), Table_SourceData_Scope3_Feed[[#Headers],[Category]], 0, 2)</f>
        <v>at market</v>
      </c>
      <c r="N108" s="30" t="str">
        <f>Table_SourceData_Scope3_Feed[[#This Row],[Product]]</f>
        <v>Sorghum grain</v>
      </c>
      <c r="O108" s="30" t="str">
        <f>Table_SourceData_Scope3_Feed[[#This Row],[Region of origin]]</f>
        <v>QLD</v>
      </c>
    </row>
    <row r="109" spans="1:16" ht="20.100000000000001" customHeight="1" x14ac:dyDescent="0.25">
      <c r="A109"/>
      <c r="D109" s="30" t="str" cm="1">
        <f t="array" ref="D109">Common_InputFunctions.Utility_DisplayArrayInTable(Scope3_SourceData.Scope3_Feed_Data(), Table_SourceData_Scope3_Feed[[#Headers],[Category]], 0, 2)</f>
        <v>Grain</v>
      </c>
      <c r="E109" s="30" t="str" cm="1">
        <f t="array" ref="E109">Common_InputFunctions.Utility_DisplayArrayInTable(Scope3_SourceData.Scope3_Feed_Data(), Table_SourceData_Scope3_Feed[[#Headers],[Category]], 0, 2)</f>
        <v>Sorghum grain</v>
      </c>
      <c r="F109" s="30" t="str" cm="1">
        <f t="array" ref="F109">Common_InputFunctions.Utility_DisplayArrayInTable(Scope3_SourceData.Scope3_Feed_Data(), Table_SourceData_Scope3_Feed[[#Headers],[Category]], 0, 2)</f>
        <v>SA</v>
      </c>
      <c r="G109" s="30" t="str" cm="1">
        <f t="array" ref="G109">Common_InputFunctions.Utility_DisplayArrayInTable(Scope3_SourceData.Scope3_Feed_Data(), Table_SourceData_Scope3_Feed[[#Headers],[Category]], 0, 2)</f>
        <v>kg</v>
      </c>
      <c r="H109" s="30" cm="1">
        <f t="array" ref="H109">Common_InputFunctions.Utility_DisplayArrayInTable(Scope3_SourceData.Scope3_Feed_Data(), Table_SourceData_Scope3_Feed[[#Headers],[Category]], 0, 2)</f>
        <v>0.218</v>
      </c>
      <c r="I109" s="30" t="str" cm="1">
        <f t="array" ref="I109">Common_InputFunctions.Utility_DisplayArrayInTable(Scope3_SourceData.Scope3_Feed_Data(), Table_SourceData_Scope3_Feed[[#Headers],[Category]], 0, 2)</f>
        <v>at market</v>
      </c>
      <c r="N109" s="30" t="str">
        <f>Table_SourceData_Scope3_Feed[[#This Row],[Product]]</f>
        <v>Sorghum grain</v>
      </c>
      <c r="O109" s="30" t="str">
        <f>Table_SourceData_Scope3_Feed[[#This Row],[Region of origin]]</f>
        <v>SA</v>
      </c>
    </row>
    <row r="110" spans="1:16" ht="20.100000000000001" customHeight="1" x14ac:dyDescent="0.25">
      <c r="A110"/>
      <c r="D110" s="30" t="str" cm="1">
        <f t="array" ref="D110">Common_InputFunctions.Utility_DisplayArrayInTable(Scope3_SourceData.Scope3_Feed_Data(), Table_SourceData_Scope3_Feed[[#Headers],[Category]], 0, 2)</f>
        <v>Grain</v>
      </c>
      <c r="E110" s="30" t="str" cm="1">
        <f t="array" ref="E110">Common_InputFunctions.Utility_DisplayArrayInTable(Scope3_SourceData.Scope3_Feed_Data(), Table_SourceData_Scope3_Feed[[#Headers],[Category]], 0, 2)</f>
        <v>Sorghum grain</v>
      </c>
      <c r="F110" s="30" t="str" cm="1">
        <f t="array" ref="F110">Common_InputFunctions.Utility_DisplayArrayInTable(Scope3_SourceData.Scope3_Feed_Data(), Table_SourceData_Scope3_Feed[[#Headers],[Category]], 0, 2)</f>
        <v>VIC</v>
      </c>
      <c r="G110" s="30" t="str" cm="1">
        <f t="array" ref="G110">Common_InputFunctions.Utility_DisplayArrayInTable(Scope3_SourceData.Scope3_Feed_Data(), Table_SourceData_Scope3_Feed[[#Headers],[Category]], 0, 2)</f>
        <v>kg</v>
      </c>
      <c r="H110" s="30" cm="1">
        <f t="array" ref="H110">Common_InputFunctions.Utility_DisplayArrayInTable(Scope3_SourceData.Scope3_Feed_Data(), Table_SourceData_Scope3_Feed[[#Headers],[Category]], 0, 2)</f>
        <v>0.246</v>
      </c>
      <c r="I110" s="30" t="str" cm="1">
        <f t="array" ref="I110">Common_InputFunctions.Utility_DisplayArrayInTable(Scope3_SourceData.Scope3_Feed_Data(), Table_SourceData_Scope3_Feed[[#Headers],[Category]], 0, 2)</f>
        <v>at market</v>
      </c>
      <c r="K110" s="30" t="s">
        <v>152</v>
      </c>
      <c r="L110" s="30" t="s">
        <v>377</v>
      </c>
      <c r="M110" s="1" t="str">
        <f>"Table_ProductRegions_" &amp; SUBSTITUTE(SUBSTITUTE(SUBSTITUTE(SUBSTITUTE(K111, " ", ""), ",", ""), "(", ""), ")", "")</f>
        <v>Table_ProductRegions_Wheatgrain</v>
      </c>
      <c r="N110" s="30" t="str">
        <f>Table_SourceData_Scope3_Feed[[#This Row],[Product]]</f>
        <v>Sorghum grain</v>
      </c>
      <c r="O110" s="30" t="str">
        <f>Table_SourceData_Scope3_Feed[[#This Row],[Region of origin]]</f>
        <v>VIC</v>
      </c>
    </row>
    <row r="111" spans="1:16" ht="20.100000000000001" customHeight="1" x14ac:dyDescent="0.25">
      <c r="A111"/>
      <c r="D111" s="30" t="str" cm="1">
        <f t="array" ref="D111">Common_InputFunctions.Utility_DisplayArrayInTable(Scope3_SourceData.Scope3_Feed_Data(), Table_SourceData_Scope3_Feed[[#Headers],[Category]], 0, 2)</f>
        <v>Grain</v>
      </c>
      <c r="E111" s="30" t="str" cm="1">
        <f t="array" ref="E111">Common_InputFunctions.Utility_DisplayArrayInTable(Scope3_SourceData.Scope3_Feed_Data(), Table_SourceData_Scope3_Feed[[#Headers],[Category]], 0, 2)</f>
        <v>Wheat grain</v>
      </c>
      <c r="F111" s="30" t="str" cm="1">
        <f t="array" ref="F111">Common_InputFunctions.Utility_DisplayArrayInTable(Scope3_SourceData.Scope3_Feed_Data(), Table_SourceData_Scope3_Feed[[#Headers],[Category]], 0, 2)</f>
        <v>Australia</v>
      </c>
      <c r="G111" s="30" t="str" cm="1">
        <f t="array" ref="G111">Common_InputFunctions.Utility_DisplayArrayInTable(Scope3_SourceData.Scope3_Feed_Data(), Table_SourceData_Scope3_Feed[[#Headers],[Category]], 0, 2)</f>
        <v>kg</v>
      </c>
      <c r="H111" s="30" cm="1">
        <f t="array" ref="H111">Common_InputFunctions.Utility_DisplayArrayInTable(Scope3_SourceData.Scope3_Feed_Data(), Table_SourceData_Scope3_Feed[[#Headers],[Category]], 0, 2)</f>
        <v>0.26800000000000002</v>
      </c>
      <c r="I111" s="30" t="str" cm="1">
        <f t="array" ref="I111">Common_InputFunctions.Utility_DisplayArrayInTable(Scope3_SourceData.Scope3_Feed_Data(), Table_SourceData_Scope3_Feed[[#Headers],[Category]], 0, 2)</f>
        <v>at market</v>
      </c>
      <c r="K111" s="30" t="str">
        <f>Table_SourceData_Scope3_Feed[[#This Row],[Product]]</f>
        <v>Wheat grain</v>
      </c>
      <c r="L111" s="30" t="str">
        <f>Table_SourceData_Scope3_Feed[[#This Row],[Region of origin]]</f>
        <v>Australia</v>
      </c>
    </row>
    <row r="112" spans="1:16" ht="20.100000000000001" customHeight="1" x14ac:dyDescent="0.25">
      <c r="A112"/>
      <c r="D112" s="30" t="str" cm="1">
        <f t="array" ref="D112">Common_InputFunctions.Utility_DisplayArrayInTable(Scope3_SourceData.Scope3_Feed_Data(), Table_SourceData_Scope3_Feed[[#Headers],[Category]], 0, 2)</f>
        <v>Grain</v>
      </c>
      <c r="E112" s="30" t="str" cm="1">
        <f t="array" ref="E112">Common_InputFunctions.Utility_DisplayArrayInTable(Scope3_SourceData.Scope3_Feed_Data(), Table_SourceData_Scope3_Feed[[#Headers],[Category]], 0, 2)</f>
        <v>Wheat grain</v>
      </c>
      <c r="F112" s="30" t="str" cm="1">
        <f t="array" ref="F112">Common_InputFunctions.Utility_DisplayArrayInTable(Scope3_SourceData.Scope3_Feed_Data(), Table_SourceData_Scope3_Feed[[#Headers],[Category]], 0, 2)</f>
        <v>NSW</v>
      </c>
      <c r="G112" s="30" t="str" cm="1">
        <f t="array" ref="G112">Common_InputFunctions.Utility_DisplayArrayInTable(Scope3_SourceData.Scope3_Feed_Data(), Table_SourceData_Scope3_Feed[[#Headers],[Category]], 0, 2)</f>
        <v>kg</v>
      </c>
      <c r="H112" s="30" cm="1">
        <f t="array" ref="H112">Common_InputFunctions.Utility_DisplayArrayInTable(Scope3_SourceData.Scope3_Feed_Data(), Table_SourceData_Scope3_Feed[[#Headers],[Category]], 0, 2)</f>
        <v>0.28199999999999997</v>
      </c>
      <c r="I112" s="30" t="str" cm="1">
        <f t="array" ref="I112">Common_InputFunctions.Utility_DisplayArrayInTable(Scope3_SourceData.Scope3_Feed_Data(), Table_SourceData_Scope3_Feed[[#Headers],[Category]], 0, 2)</f>
        <v>at market</v>
      </c>
      <c r="K112" s="30" t="str">
        <f>Table_SourceData_Scope3_Feed[[#This Row],[Product]]</f>
        <v>Wheat grain</v>
      </c>
      <c r="L112" s="30" t="str">
        <f>Table_SourceData_Scope3_Feed[[#This Row],[Region of origin]]</f>
        <v>NSW</v>
      </c>
    </row>
    <row r="113" spans="1:16" ht="20.100000000000001" customHeight="1" x14ac:dyDescent="0.25">
      <c r="A113"/>
      <c r="D113" s="30" t="str" cm="1">
        <f t="array" ref="D113">Common_InputFunctions.Utility_DisplayArrayInTable(Scope3_SourceData.Scope3_Feed_Data(), Table_SourceData_Scope3_Feed[[#Headers],[Category]], 0, 2)</f>
        <v>Grain</v>
      </c>
      <c r="E113" s="30" t="str" cm="1">
        <f t="array" ref="E113">Common_InputFunctions.Utility_DisplayArrayInTable(Scope3_SourceData.Scope3_Feed_Data(), Table_SourceData_Scope3_Feed[[#Headers],[Category]], 0, 2)</f>
        <v>Wheat grain</v>
      </c>
      <c r="F113" s="30" t="str" cm="1">
        <f t="array" ref="F113">Common_InputFunctions.Utility_DisplayArrayInTable(Scope3_SourceData.Scope3_Feed_Data(), Table_SourceData_Scope3_Feed[[#Headers],[Category]], 0, 2)</f>
        <v>NT</v>
      </c>
      <c r="G113" s="30" t="str" cm="1">
        <f t="array" ref="G113">Common_InputFunctions.Utility_DisplayArrayInTable(Scope3_SourceData.Scope3_Feed_Data(), Table_SourceData_Scope3_Feed[[#Headers],[Category]], 0, 2)</f>
        <v>kg</v>
      </c>
      <c r="H113" s="30" cm="1">
        <f t="array" ref="H113">Common_InputFunctions.Utility_DisplayArrayInTable(Scope3_SourceData.Scope3_Feed_Data(), Table_SourceData_Scope3_Feed[[#Headers],[Category]], 0, 2)</f>
        <v>0.38500000000000001</v>
      </c>
      <c r="I113" s="30" t="str" cm="1">
        <f t="array" ref="I113">Common_InputFunctions.Utility_DisplayArrayInTable(Scope3_SourceData.Scope3_Feed_Data(), Table_SourceData_Scope3_Feed[[#Headers],[Category]], 0, 2)</f>
        <v>at market</v>
      </c>
      <c r="K113" s="30" t="str">
        <f>Table_SourceData_Scope3_Feed[[#This Row],[Product]]</f>
        <v>Wheat grain</v>
      </c>
      <c r="L113" s="30" t="str">
        <f>Table_SourceData_Scope3_Feed[[#This Row],[Region of origin]]</f>
        <v>NT</v>
      </c>
    </row>
    <row r="114" spans="1:16" ht="20.100000000000001" customHeight="1" x14ac:dyDescent="0.25">
      <c r="A114"/>
      <c r="D114" s="30" t="str" cm="1">
        <f t="array" ref="D114">Common_InputFunctions.Utility_DisplayArrayInTable(Scope3_SourceData.Scope3_Feed_Data(), Table_SourceData_Scope3_Feed[[#Headers],[Category]], 0, 2)</f>
        <v>Grain</v>
      </c>
      <c r="E114" s="30" t="str" cm="1">
        <f t="array" ref="E114">Common_InputFunctions.Utility_DisplayArrayInTable(Scope3_SourceData.Scope3_Feed_Data(), Table_SourceData_Scope3_Feed[[#Headers],[Category]], 0, 2)</f>
        <v>Wheat grain</v>
      </c>
      <c r="F114" s="30" t="str" cm="1">
        <f t="array" ref="F114">Common_InputFunctions.Utility_DisplayArrayInTable(Scope3_SourceData.Scope3_Feed_Data(), Table_SourceData_Scope3_Feed[[#Headers],[Category]], 0, 2)</f>
        <v>QLD</v>
      </c>
      <c r="G114" s="30" t="str" cm="1">
        <f t="array" ref="G114">Common_InputFunctions.Utility_DisplayArrayInTable(Scope3_SourceData.Scope3_Feed_Data(), Table_SourceData_Scope3_Feed[[#Headers],[Category]], 0, 2)</f>
        <v>kg</v>
      </c>
      <c r="H114" s="30" cm="1">
        <f t="array" ref="H114">Common_InputFunctions.Utility_DisplayArrayInTable(Scope3_SourceData.Scope3_Feed_Data(), Table_SourceData_Scope3_Feed[[#Headers],[Category]], 0, 2)</f>
        <v>0.29599999999999999</v>
      </c>
      <c r="I114" s="30" t="str" cm="1">
        <f t="array" ref="I114">Common_InputFunctions.Utility_DisplayArrayInTable(Scope3_SourceData.Scope3_Feed_Data(), Table_SourceData_Scope3_Feed[[#Headers],[Category]], 0, 2)</f>
        <v>at market</v>
      </c>
      <c r="K114" s="30" t="str">
        <f>Table_SourceData_Scope3_Feed[[#This Row],[Product]]</f>
        <v>Wheat grain</v>
      </c>
      <c r="L114" s="30" t="str">
        <f>Table_SourceData_Scope3_Feed[[#This Row],[Region of origin]]</f>
        <v>QLD</v>
      </c>
    </row>
    <row r="115" spans="1:16" ht="20.100000000000001" customHeight="1" x14ac:dyDescent="0.25">
      <c r="A115"/>
      <c r="D115" s="30" t="str" cm="1">
        <f t="array" ref="D115">Common_InputFunctions.Utility_DisplayArrayInTable(Scope3_SourceData.Scope3_Feed_Data(), Table_SourceData_Scope3_Feed[[#Headers],[Category]], 0, 2)</f>
        <v>Grain</v>
      </c>
      <c r="E115" s="30" t="str" cm="1">
        <f t="array" ref="E115">Common_InputFunctions.Utility_DisplayArrayInTable(Scope3_SourceData.Scope3_Feed_Data(), Table_SourceData_Scope3_Feed[[#Headers],[Category]], 0, 2)</f>
        <v>Wheat grain</v>
      </c>
      <c r="F115" s="30" t="str" cm="1">
        <f t="array" ref="F115">Common_InputFunctions.Utility_DisplayArrayInTable(Scope3_SourceData.Scope3_Feed_Data(), Table_SourceData_Scope3_Feed[[#Headers],[Category]], 0, 2)</f>
        <v>SA</v>
      </c>
      <c r="G115" s="30" t="str" cm="1">
        <f t="array" ref="G115">Common_InputFunctions.Utility_DisplayArrayInTable(Scope3_SourceData.Scope3_Feed_Data(), Table_SourceData_Scope3_Feed[[#Headers],[Category]], 0, 2)</f>
        <v>kg</v>
      </c>
      <c r="H115" s="30" cm="1">
        <f t="array" ref="H115">Common_InputFunctions.Utility_DisplayArrayInTable(Scope3_SourceData.Scope3_Feed_Data(), Table_SourceData_Scope3_Feed[[#Headers],[Category]], 0, 2)</f>
        <v>0.24099999999999999</v>
      </c>
      <c r="I115" s="30" t="str" cm="1">
        <f t="array" ref="I115">Common_InputFunctions.Utility_DisplayArrayInTable(Scope3_SourceData.Scope3_Feed_Data(), Table_SourceData_Scope3_Feed[[#Headers],[Category]], 0, 2)</f>
        <v>at market</v>
      </c>
      <c r="K115" s="30" t="str">
        <f>Table_SourceData_Scope3_Feed[[#This Row],[Product]]</f>
        <v>Wheat grain</v>
      </c>
      <c r="L115" s="30" t="str">
        <f>Table_SourceData_Scope3_Feed[[#This Row],[Region of origin]]</f>
        <v>SA</v>
      </c>
    </row>
    <row r="116" spans="1:16" ht="20.100000000000001" customHeight="1" x14ac:dyDescent="0.25">
      <c r="A116"/>
      <c r="D116" s="30" t="str" cm="1">
        <f t="array" ref="D116">Common_InputFunctions.Utility_DisplayArrayInTable(Scope3_SourceData.Scope3_Feed_Data(), Table_SourceData_Scope3_Feed[[#Headers],[Category]], 0, 2)</f>
        <v>Grain</v>
      </c>
      <c r="E116" s="30" t="str" cm="1">
        <f t="array" ref="E116">Common_InputFunctions.Utility_DisplayArrayInTable(Scope3_SourceData.Scope3_Feed_Data(), Table_SourceData_Scope3_Feed[[#Headers],[Category]], 0, 2)</f>
        <v>Wheat grain</v>
      </c>
      <c r="F116" s="30" t="str" cm="1">
        <f t="array" ref="F116">Common_InputFunctions.Utility_DisplayArrayInTable(Scope3_SourceData.Scope3_Feed_Data(), Table_SourceData_Scope3_Feed[[#Headers],[Category]], 0, 2)</f>
        <v>TAS</v>
      </c>
      <c r="G116" s="30" t="str" cm="1">
        <f t="array" ref="G116">Common_InputFunctions.Utility_DisplayArrayInTable(Scope3_SourceData.Scope3_Feed_Data(), Table_SourceData_Scope3_Feed[[#Headers],[Category]], 0, 2)</f>
        <v>kg</v>
      </c>
      <c r="H116" s="30" cm="1">
        <f t="array" ref="H116">Common_InputFunctions.Utility_DisplayArrayInTable(Scope3_SourceData.Scope3_Feed_Data(), Table_SourceData_Scope3_Feed[[#Headers],[Category]], 0, 2)</f>
        <v>0.33800000000000002</v>
      </c>
      <c r="I116" s="30" t="str" cm="1">
        <f t="array" ref="I116">Common_InputFunctions.Utility_DisplayArrayInTable(Scope3_SourceData.Scope3_Feed_Data(), Table_SourceData_Scope3_Feed[[#Headers],[Category]], 0, 2)</f>
        <v>at market</v>
      </c>
      <c r="K116" s="30" t="str">
        <f>Table_SourceData_Scope3_Feed[[#This Row],[Product]]</f>
        <v>Wheat grain</v>
      </c>
      <c r="L116" s="30" t="str">
        <f>Table_SourceData_Scope3_Feed[[#This Row],[Region of origin]]</f>
        <v>TAS</v>
      </c>
    </row>
    <row r="117" spans="1:16" ht="20.100000000000001" customHeight="1" x14ac:dyDescent="0.25">
      <c r="A117"/>
      <c r="D117" s="30" t="str" cm="1">
        <f t="array" ref="D117">Common_InputFunctions.Utility_DisplayArrayInTable(Scope3_SourceData.Scope3_Feed_Data(), Table_SourceData_Scope3_Feed[[#Headers],[Category]], 0, 2)</f>
        <v>Grain</v>
      </c>
      <c r="E117" s="30" t="str" cm="1">
        <f t="array" ref="E117">Common_InputFunctions.Utility_DisplayArrayInTable(Scope3_SourceData.Scope3_Feed_Data(), Table_SourceData_Scope3_Feed[[#Headers],[Category]], 0, 2)</f>
        <v>Wheat grain</v>
      </c>
      <c r="F117" s="30" t="str" cm="1">
        <f t="array" ref="F117">Common_InputFunctions.Utility_DisplayArrayInTable(Scope3_SourceData.Scope3_Feed_Data(), Table_SourceData_Scope3_Feed[[#Headers],[Category]], 0, 2)</f>
        <v>VIC</v>
      </c>
      <c r="G117" s="30" t="str" cm="1">
        <f t="array" ref="G117">Common_InputFunctions.Utility_DisplayArrayInTable(Scope3_SourceData.Scope3_Feed_Data(), Table_SourceData_Scope3_Feed[[#Headers],[Category]], 0, 2)</f>
        <v>kg</v>
      </c>
      <c r="H117" s="30" cm="1">
        <f t="array" ref="H117">Common_InputFunctions.Utility_DisplayArrayInTable(Scope3_SourceData.Scope3_Feed_Data(), Table_SourceData_Scope3_Feed[[#Headers],[Category]], 0, 2)</f>
        <v>0.26600000000000001</v>
      </c>
      <c r="I117" s="30" t="str" cm="1">
        <f t="array" ref="I117">Common_InputFunctions.Utility_DisplayArrayInTable(Scope3_SourceData.Scope3_Feed_Data(), Table_SourceData_Scope3_Feed[[#Headers],[Category]], 0, 2)</f>
        <v>at market</v>
      </c>
      <c r="K117" s="30" t="str">
        <f>Table_SourceData_Scope3_Feed[[#This Row],[Product]]</f>
        <v>Wheat grain</v>
      </c>
      <c r="L117" s="30" t="str">
        <f>Table_SourceData_Scope3_Feed[[#This Row],[Region of origin]]</f>
        <v>VIC</v>
      </c>
    </row>
    <row r="118" spans="1:16" ht="20.100000000000001" customHeight="1" x14ac:dyDescent="0.25">
      <c r="A118"/>
      <c r="D118" s="30" t="str" cm="1">
        <f t="array" ref="D118">Common_InputFunctions.Utility_DisplayArrayInTable(Scope3_SourceData.Scope3_Feed_Data(), Table_SourceData_Scope3_Feed[[#Headers],[Category]], 0, 2)</f>
        <v>Grain</v>
      </c>
      <c r="E118" s="30" t="str" cm="1">
        <f t="array" ref="E118">Common_InputFunctions.Utility_DisplayArrayInTable(Scope3_SourceData.Scope3_Feed_Data(), Table_SourceData_Scope3_Feed[[#Headers],[Category]], 0, 2)</f>
        <v>Wheat grain</v>
      </c>
      <c r="F118" s="30" t="str" cm="1">
        <f t="array" ref="F118">Common_InputFunctions.Utility_DisplayArrayInTable(Scope3_SourceData.Scope3_Feed_Data(), Table_SourceData_Scope3_Feed[[#Headers],[Category]], 0, 2)</f>
        <v>WA</v>
      </c>
      <c r="G118" s="30" t="str" cm="1">
        <f t="array" ref="G118">Common_InputFunctions.Utility_DisplayArrayInTable(Scope3_SourceData.Scope3_Feed_Data(), Table_SourceData_Scope3_Feed[[#Headers],[Category]], 0, 2)</f>
        <v>kg</v>
      </c>
      <c r="H118" s="30" cm="1">
        <f t="array" ref="H118">Common_InputFunctions.Utility_DisplayArrayInTable(Scope3_SourceData.Scope3_Feed_Data(), Table_SourceData_Scope3_Feed[[#Headers],[Category]], 0, 2)</f>
        <v>0.26100000000000001</v>
      </c>
      <c r="I118" s="30" t="str" cm="1">
        <f t="array" ref="I118">Common_InputFunctions.Utility_DisplayArrayInTable(Scope3_SourceData.Scope3_Feed_Data(), Table_SourceData_Scope3_Feed[[#Headers],[Category]], 0, 2)</f>
        <v>at market</v>
      </c>
      <c r="K118" s="30" t="str">
        <f>Table_SourceData_Scope3_Feed[[#This Row],[Product]]</f>
        <v>Wheat grain</v>
      </c>
      <c r="L118" s="30" t="str">
        <f>Table_SourceData_Scope3_Feed[[#This Row],[Region of origin]]</f>
        <v>WA</v>
      </c>
      <c r="N118" s="30" t="s">
        <v>152</v>
      </c>
      <c r="O118" s="30" t="s">
        <v>377</v>
      </c>
      <c r="P118" s="1" t="str">
        <f>"Table_ProductRegions_" &amp; SUBSTITUTE(SUBSTITUTE(SUBSTITUTE(SUBSTITUTE(N119, " ", ""), ",", ""), "(", ""), ")", "")</f>
        <v>Table_ProductRegions_Cerealhay</v>
      </c>
    </row>
    <row r="119" spans="1:16" ht="20.100000000000001" customHeight="1" x14ac:dyDescent="0.25">
      <c r="A119"/>
      <c r="D119" s="30" t="str" cm="1">
        <f t="array" ref="D119">Common_InputFunctions.Utility_DisplayArrayInTable(Scope3_SourceData.Scope3_Feed_Data(), Table_SourceData_Scope3_Feed[[#Headers],[Category]], 0, 2)</f>
        <v>Hay</v>
      </c>
      <c r="E119" s="30" t="str" cm="1">
        <f t="array" ref="E119">Common_InputFunctions.Utility_DisplayArrayInTable(Scope3_SourceData.Scope3_Feed_Data(), Table_SourceData_Scope3_Feed[[#Headers],[Category]], 0, 2)</f>
        <v>Cereal hay</v>
      </c>
      <c r="F119" s="30" t="str" cm="1">
        <f t="array" ref="F119">Common_InputFunctions.Utility_DisplayArrayInTable(Scope3_SourceData.Scope3_Feed_Data(), Table_SourceData_Scope3_Feed[[#Headers],[Category]], 0, 2)</f>
        <v>Australia</v>
      </c>
      <c r="G119" s="30" t="str" cm="1">
        <f t="array" ref="G119">Common_InputFunctions.Utility_DisplayArrayInTable(Scope3_SourceData.Scope3_Feed_Data(), Table_SourceData_Scope3_Feed[[#Headers],[Category]], 0, 2)</f>
        <v>kg</v>
      </c>
      <c r="H119" s="30" cm="1">
        <f t="array" ref="H119">Common_InputFunctions.Utility_DisplayArrayInTable(Scope3_SourceData.Scope3_Feed_Data(), Table_SourceData_Scope3_Feed[[#Headers],[Category]], 0, 2)</f>
        <v>0.11700000000000001</v>
      </c>
      <c r="I119" s="30" t="str" cm="1">
        <f t="array" ref="I119">Common_InputFunctions.Utility_DisplayArrayInTable(Scope3_SourceData.Scope3_Feed_Data(), Table_SourceData_Scope3_Feed[[#Headers],[Category]], 0, 2)</f>
        <v>at market</v>
      </c>
      <c r="N119" s="30" t="str">
        <f>Table_SourceData_Scope3_Feed[[#This Row],[Product]]</f>
        <v>Cereal hay</v>
      </c>
      <c r="O119" s="30" t="str">
        <f>Table_SourceData_Scope3_Feed[[#This Row],[Region of origin]]</f>
        <v>Australia</v>
      </c>
    </row>
    <row r="120" spans="1:16" ht="20.100000000000001" customHeight="1" x14ac:dyDescent="0.25">
      <c r="A120"/>
      <c r="D120" s="30" t="str" cm="1">
        <f t="array" ref="D120">Common_InputFunctions.Utility_DisplayArrayInTable(Scope3_SourceData.Scope3_Feed_Data(), Table_SourceData_Scope3_Feed[[#Headers],[Category]], 0, 2)</f>
        <v>Hay</v>
      </c>
      <c r="E120" s="30" t="str" cm="1">
        <f t="array" ref="E120">Common_InputFunctions.Utility_DisplayArrayInTable(Scope3_SourceData.Scope3_Feed_Data(), Table_SourceData_Scope3_Feed[[#Headers],[Category]], 0, 2)</f>
        <v>Cereal hay</v>
      </c>
      <c r="F120" s="30" t="str" cm="1">
        <f t="array" ref="F120">Common_InputFunctions.Utility_DisplayArrayInTable(Scope3_SourceData.Scope3_Feed_Data(), Table_SourceData_Scope3_Feed[[#Headers],[Category]], 0, 2)</f>
        <v>NSW</v>
      </c>
      <c r="G120" s="30" t="str" cm="1">
        <f t="array" ref="G120">Common_InputFunctions.Utility_DisplayArrayInTable(Scope3_SourceData.Scope3_Feed_Data(), Table_SourceData_Scope3_Feed[[#Headers],[Category]], 0, 2)</f>
        <v>kg</v>
      </c>
      <c r="H120" s="30" cm="1">
        <f t="array" ref="H120">Common_InputFunctions.Utility_DisplayArrayInTable(Scope3_SourceData.Scope3_Feed_Data(), Table_SourceData_Scope3_Feed[[#Headers],[Category]], 0, 2)</f>
        <v>0.11600000000000001</v>
      </c>
      <c r="I120" s="30" t="str" cm="1">
        <f t="array" ref="I120">Common_InputFunctions.Utility_DisplayArrayInTable(Scope3_SourceData.Scope3_Feed_Data(), Table_SourceData_Scope3_Feed[[#Headers],[Category]], 0, 2)</f>
        <v>at market</v>
      </c>
      <c r="N120" s="30" t="str">
        <f>Table_SourceData_Scope3_Feed[[#This Row],[Product]]</f>
        <v>Cereal hay</v>
      </c>
      <c r="O120" s="30" t="str">
        <f>Table_SourceData_Scope3_Feed[[#This Row],[Region of origin]]</f>
        <v>NSW</v>
      </c>
    </row>
    <row r="121" spans="1:16" ht="20.100000000000001" customHeight="1" x14ac:dyDescent="0.25">
      <c r="A121"/>
      <c r="D121" s="30" t="str" cm="1">
        <f t="array" ref="D121">Common_InputFunctions.Utility_DisplayArrayInTable(Scope3_SourceData.Scope3_Feed_Data(), Table_SourceData_Scope3_Feed[[#Headers],[Category]], 0, 2)</f>
        <v>Hay</v>
      </c>
      <c r="E121" s="30" t="str" cm="1">
        <f t="array" ref="E121">Common_InputFunctions.Utility_DisplayArrayInTable(Scope3_SourceData.Scope3_Feed_Data(), Table_SourceData_Scope3_Feed[[#Headers],[Category]], 0, 2)</f>
        <v>Cereal hay</v>
      </c>
      <c r="F121" s="30" t="str" cm="1">
        <f t="array" ref="F121">Common_InputFunctions.Utility_DisplayArrayInTable(Scope3_SourceData.Scope3_Feed_Data(), Table_SourceData_Scope3_Feed[[#Headers],[Category]], 0, 2)</f>
        <v>QLD</v>
      </c>
      <c r="G121" s="30" t="str" cm="1">
        <f t="array" ref="G121">Common_InputFunctions.Utility_DisplayArrayInTable(Scope3_SourceData.Scope3_Feed_Data(), Table_SourceData_Scope3_Feed[[#Headers],[Category]], 0, 2)</f>
        <v>kg</v>
      </c>
      <c r="H121" s="30" cm="1">
        <f t="array" ref="H121">Common_InputFunctions.Utility_DisplayArrayInTable(Scope3_SourceData.Scope3_Feed_Data(), Table_SourceData_Scope3_Feed[[#Headers],[Category]], 0, 2)</f>
        <v>0.11799999999999999</v>
      </c>
      <c r="I121" s="30" t="str" cm="1">
        <f t="array" ref="I121">Common_InputFunctions.Utility_DisplayArrayInTable(Scope3_SourceData.Scope3_Feed_Data(), Table_SourceData_Scope3_Feed[[#Headers],[Category]], 0, 2)</f>
        <v>at market</v>
      </c>
      <c r="N121" s="30" t="str">
        <f>Table_SourceData_Scope3_Feed[[#This Row],[Product]]</f>
        <v>Cereal hay</v>
      </c>
      <c r="O121" s="30" t="str">
        <f>Table_SourceData_Scope3_Feed[[#This Row],[Region of origin]]</f>
        <v>QLD</v>
      </c>
    </row>
    <row r="122" spans="1:16" ht="20.100000000000001" customHeight="1" x14ac:dyDescent="0.25">
      <c r="A122"/>
      <c r="D122" s="30" t="str" cm="1">
        <f t="array" ref="D122">Common_InputFunctions.Utility_DisplayArrayInTable(Scope3_SourceData.Scope3_Feed_Data(), Table_SourceData_Scope3_Feed[[#Headers],[Category]], 0, 2)</f>
        <v>Hay</v>
      </c>
      <c r="E122" s="30" t="str" cm="1">
        <f t="array" ref="E122">Common_InputFunctions.Utility_DisplayArrayInTable(Scope3_SourceData.Scope3_Feed_Data(), Table_SourceData_Scope3_Feed[[#Headers],[Category]], 0, 2)</f>
        <v>Cereal hay</v>
      </c>
      <c r="F122" s="30" t="str" cm="1">
        <f t="array" ref="F122">Common_InputFunctions.Utility_DisplayArrayInTable(Scope3_SourceData.Scope3_Feed_Data(), Table_SourceData_Scope3_Feed[[#Headers],[Category]], 0, 2)</f>
        <v>SA</v>
      </c>
      <c r="G122" s="30" t="str" cm="1">
        <f t="array" ref="G122">Common_InputFunctions.Utility_DisplayArrayInTable(Scope3_SourceData.Scope3_Feed_Data(), Table_SourceData_Scope3_Feed[[#Headers],[Category]], 0, 2)</f>
        <v>kg</v>
      </c>
      <c r="H122" s="30" cm="1">
        <f t="array" ref="H122">Common_InputFunctions.Utility_DisplayArrayInTable(Scope3_SourceData.Scope3_Feed_Data(), Table_SourceData_Scope3_Feed[[#Headers],[Category]], 0, 2)</f>
        <v>0.111</v>
      </c>
      <c r="I122" s="30" t="str" cm="1">
        <f t="array" ref="I122">Common_InputFunctions.Utility_DisplayArrayInTable(Scope3_SourceData.Scope3_Feed_Data(), Table_SourceData_Scope3_Feed[[#Headers],[Category]], 0, 2)</f>
        <v>at market</v>
      </c>
      <c r="N122" s="30" t="str">
        <f>Table_SourceData_Scope3_Feed[[#This Row],[Product]]</f>
        <v>Cereal hay</v>
      </c>
      <c r="O122" s="30" t="str">
        <f>Table_SourceData_Scope3_Feed[[#This Row],[Region of origin]]</f>
        <v>SA</v>
      </c>
    </row>
    <row r="123" spans="1:16" ht="20.100000000000001" customHeight="1" x14ac:dyDescent="0.25">
      <c r="A123"/>
      <c r="D123" s="30" t="str" cm="1">
        <f t="array" ref="D123">Common_InputFunctions.Utility_DisplayArrayInTable(Scope3_SourceData.Scope3_Feed_Data(), Table_SourceData_Scope3_Feed[[#Headers],[Category]], 0, 2)</f>
        <v>Hay</v>
      </c>
      <c r="E123" s="30" t="str" cm="1">
        <f t="array" ref="E123">Common_InputFunctions.Utility_DisplayArrayInTable(Scope3_SourceData.Scope3_Feed_Data(), Table_SourceData_Scope3_Feed[[#Headers],[Category]], 0, 2)</f>
        <v>Cereal hay</v>
      </c>
      <c r="F123" s="30" t="str" cm="1">
        <f t="array" ref="F123">Common_InputFunctions.Utility_DisplayArrayInTable(Scope3_SourceData.Scope3_Feed_Data(), Table_SourceData_Scope3_Feed[[#Headers],[Category]], 0, 2)</f>
        <v>TAS</v>
      </c>
      <c r="G123" s="30" t="str" cm="1">
        <f t="array" ref="G123">Common_InputFunctions.Utility_DisplayArrayInTable(Scope3_SourceData.Scope3_Feed_Data(), Table_SourceData_Scope3_Feed[[#Headers],[Category]], 0, 2)</f>
        <v>kg</v>
      </c>
      <c r="H123" s="30" cm="1">
        <f t="array" ref="H123">Common_InputFunctions.Utility_DisplayArrayInTable(Scope3_SourceData.Scope3_Feed_Data(), Table_SourceData_Scope3_Feed[[#Headers],[Category]], 0, 2)</f>
        <v>0.13900000000000001</v>
      </c>
      <c r="I123" s="30" t="str" cm="1">
        <f t="array" ref="I123">Common_InputFunctions.Utility_DisplayArrayInTable(Scope3_SourceData.Scope3_Feed_Data(), Table_SourceData_Scope3_Feed[[#Headers],[Category]], 0, 2)</f>
        <v>at market</v>
      </c>
      <c r="N123" s="30" t="str">
        <f>Table_SourceData_Scope3_Feed[[#This Row],[Product]]</f>
        <v>Cereal hay</v>
      </c>
      <c r="O123" s="30" t="str">
        <f>Table_SourceData_Scope3_Feed[[#This Row],[Region of origin]]</f>
        <v>TAS</v>
      </c>
    </row>
    <row r="124" spans="1:16" ht="20.100000000000001" customHeight="1" x14ac:dyDescent="0.25">
      <c r="A124"/>
      <c r="D124" s="30" t="str" cm="1">
        <f t="array" ref="D124">Common_InputFunctions.Utility_DisplayArrayInTable(Scope3_SourceData.Scope3_Feed_Data(), Table_SourceData_Scope3_Feed[[#Headers],[Category]], 0, 2)</f>
        <v>Hay</v>
      </c>
      <c r="E124" s="30" t="str" cm="1">
        <f t="array" ref="E124">Common_InputFunctions.Utility_DisplayArrayInTable(Scope3_SourceData.Scope3_Feed_Data(), Table_SourceData_Scope3_Feed[[#Headers],[Category]], 0, 2)</f>
        <v>Cereal hay</v>
      </c>
      <c r="F124" s="30" t="str" cm="1">
        <f t="array" ref="F124">Common_InputFunctions.Utility_DisplayArrayInTable(Scope3_SourceData.Scope3_Feed_Data(), Table_SourceData_Scope3_Feed[[#Headers],[Category]], 0, 2)</f>
        <v>VIC</v>
      </c>
      <c r="G124" s="30" t="str" cm="1">
        <f t="array" ref="G124">Common_InputFunctions.Utility_DisplayArrayInTable(Scope3_SourceData.Scope3_Feed_Data(), Table_SourceData_Scope3_Feed[[#Headers],[Category]], 0, 2)</f>
        <v>kg</v>
      </c>
      <c r="H124" s="30" cm="1">
        <f t="array" ref="H124">Common_InputFunctions.Utility_DisplayArrayInTable(Scope3_SourceData.Scope3_Feed_Data(), Table_SourceData_Scope3_Feed[[#Headers],[Category]], 0, 2)</f>
        <v>0.11600000000000001</v>
      </c>
      <c r="I124" s="30" t="str" cm="1">
        <f t="array" ref="I124">Common_InputFunctions.Utility_DisplayArrayInTable(Scope3_SourceData.Scope3_Feed_Data(), Table_SourceData_Scope3_Feed[[#Headers],[Category]], 0, 2)</f>
        <v>at market</v>
      </c>
      <c r="N124" s="30" t="str">
        <f>Table_SourceData_Scope3_Feed[[#This Row],[Product]]</f>
        <v>Cereal hay</v>
      </c>
      <c r="O124" s="30" t="str">
        <f>Table_SourceData_Scope3_Feed[[#This Row],[Region of origin]]</f>
        <v>VIC</v>
      </c>
    </row>
    <row r="125" spans="1:16" ht="20.100000000000001" customHeight="1" x14ac:dyDescent="0.25">
      <c r="A125"/>
      <c r="D125" s="30" t="str" cm="1">
        <f t="array" ref="D125">Common_InputFunctions.Utility_DisplayArrayInTable(Scope3_SourceData.Scope3_Feed_Data(), Table_SourceData_Scope3_Feed[[#Headers],[Category]], 0, 2)</f>
        <v>Hay</v>
      </c>
      <c r="E125" s="30" t="str" cm="1">
        <f t="array" ref="E125">Common_InputFunctions.Utility_DisplayArrayInTable(Scope3_SourceData.Scope3_Feed_Data(), Table_SourceData_Scope3_Feed[[#Headers],[Category]], 0, 2)</f>
        <v>Cereal hay</v>
      </c>
      <c r="F125" s="30" t="str" cm="1">
        <f t="array" ref="F125">Common_InputFunctions.Utility_DisplayArrayInTable(Scope3_SourceData.Scope3_Feed_Data(), Table_SourceData_Scope3_Feed[[#Headers],[Category]], 0, 2)</f>
        <v>WA</v>
      </c>
      <c r="G125" s="30" t="str" cm="1">
        <f t="array" ref="G125">Common_InputFunctions.Utility_DisplayArrayInTable(Scope3_SourceData.Scope3_Feed_Data(), Table_SourceData_Scope3_Feed[[#Headers],[Category]], 0, 2)</f>
        <v>kg</v>
      </c>
      <c r="H125" s="30" cm="1">
        <f t="array" ref="H125">Common_InputFunctions.Utility_DisplayArrayInTable(Scope3_SourceData.Scope3_Feed_Data(), Table_SourceData_Scope3_Feed[[#Headers],[Category]], 0, 2)</f>
        <v>0.122</v>
      </c>
      <c r="I125" s="30" t="str" cm="1">
        <f t="array" ref="I125">Common_InputFunctions.Utility_DisplayArrayInTable(Scope3_SourceData.Scope3_Feed_Data(), Table_SourceData_Scope3_Feed[[#Headers],[Category]], 0, 2)</f>
        <v>at market</v>
      </c>
      <c r="K125" s="30" t="s">
        <v>152</v>
      </c>
      <c r="L125" s="30" t="s">
        <v>377</v>
      </c>
      <c r="M125" s="1" t="str">
        <f>"Table_ProductRegions_" &amp; SUBSTITUTE(SUBSTITUTE(SUBSTITUTE(SUBSTITUTE(K126, " ", ""), ",", ""), "(", ""), ")", "")</f>
        <v>Table_ProductRegions_Cerealsilage</v>
      </c>
      <c r="N125" s="30" t="str">
        <f>Table_SourceData_Scope3_Feed[[#This Row],[Product]]</f>
        <v>Cereal hay</v>
      </c>
      <c r="O125" s="30" t="str">
        <f>Table_SourceData_Scope3_Feed[[#This Row],[Region of origin]]</f>
        <v>WA</v>
      </c>
    </row>
    <row r="126" spans="1:16" ht="20.100000000000001" customHeight="1" x14ac:dyDescent="0.25">
      <c r="A126"/>
      <c r="D126" s="30" t="str" cm="1">
        <f t="array" ref="D126">Common_InputFunctions.Utility_DisplayArrayInTable(Scope3_SourceData.Scope3_Feed_Data(), Table_SourceData_Scope3_Feed[[#Headers],[Category]], 0, 2)</f>
        <v>Hay</v>
      </c>
      <c r="E126" s="30" t="str" cm="1">
        <f t="array" ref="E126">Common_InputFunctions.Utility_DisplayArrayInTable(Scope3_SourceData.Scope3_Feed_Data(), Table_SourceData_Scope3_Feed[[#Headers],[Category]], 0, 2)</f>
        <v>Cereal silage</v>
      </c>
      <c r="F126" s="30" t="str" cm="1">
        <f t="array" ref="F126">Common_InputFunctions.Utility_DisplayArrayInTable(Scope3_SourceData.Scope3_Feed_Data(), Table_SourceData_Scope3_Feed[[#Headers],[Category]], 0, 2)</f>
        <v>Australia</v>
      </c>
      <c r="G126" s="30" t="str" cm="1">
        <f t="array" ref="G126">Common_InputFunctions.Utility_DisplayArrayInTable(Scope3_SourceData.Scope3_Feed_Data(), Table_SourceData_Scope3_Feed[[#Headers],[Category]], 0, 2)</f>
        <v>kg</v>
      </c>
      <c r="H126" s="30" cm="1">
        <f t="array" ref="H126">Common_InputFunctions.Utility_DisplayArrayInTable(Scope3_SourceData.Scope3_Feed_Data(), Table_SourceData_Scope3_Feed[[#Headers],[Category]], 0, 2)</f>
        <v>7.4399999999999994E-2</v>
      </c>
      <c r="I126" s="30" t="str" cm="1">
        <f t="array" ref="I126">Common_InputFunctions.Utility_DisplayArrayInTable(Scope3_SourceData.Scope3_Feed_Data(), Table_SourceData_Scope3_Feed[[#Headers],[Category]], 0, 2)</f>
        <v>at market</v>
      </c>
      <c r="K126" s="30" t="str">
        <f>Table_SourceData_Scope3_Feed[[#This Row],[Product]]</f>
        <v>Cereal silage</v>
      </c>
      <c r="L126" s="30" t="str">
        <f>Table_SourceData_Scope3_Feed[[#This Row],[Region of origin]]</f>
        <v>Australia</v>
      </c>
    </row>
    <row r="127" spans="1:16" ht="20.100000000000001" customHeight="1" x14ac:dyDescent="0.25">
      <c r="A127"/>
      <c r="D127" s="30" t="str" cm="1">
        <f t="array" ref="D127">Common_InputFunctions.Utility_DisplayArrayInTable(Scope3_SourceData.Scope3_Feed_Data(), Table_SourceData_Scope3_Feed[[#Headers],[Category]], 0, 2)</f>
        <v>Hay</v>
      </c>
      <c r="E127" s="30" t="str" cm="1">
        <f t="array" ref="E127">Common_InputFunctions.Utility_DisplayArrayInTable(Scope3_SourceData.Scope3_Feed_Data(), Table_SourceData_Scope3_Feed[[#Headers],[Category]], 0, 2)</f>
        <v>Cereal silage</v>
      </c>
      <c r="F127" s="30" t="str" cm="1">
        <f t="array" ref="F127">Common_InputFunctions.Utility_DisplayArrayInTable(Scope3_SourceData.Scope3_Feed_Data(), Table_SourceData_Scope3_Feed[[#Headers],[Category]], 0, 2)</f>
        <v>NSW</v>
      </c>
      <c r="G127" s="30" t="str" cm="1">
        <f t="array" ref="G127">Common_InputFunctions.Utility_DisplayArrayInTable(Scope3_SourceData.Scope3_Feed_Data(), Table_SourceData_Scope3_Feed[[#Headers],[Category]], 0, 2)</f>
        <v>kg</v>
      </c>
      <c r="H127" s="30" cm="1">
        <f t="array" ref="H127">Common_InputFunctions.Utility_DisplayArrayInTable(Scope3_SourceData.Scope3_Feed_Data(), Table_SourceData_Scope3_Feed[[#Headers],[Category]], 0, 2)</f>
        <v>7.3899999999999993E-2</v>
      </c>
      <c r="I127" s="30" t="str" cm="1">
        <f t="array" ref="I127">Common_InputFunctions.Utility_DisplayArrayInTable(Scope3_SourceData.Scope3_Feed_Data(), Table_SourceData_Scope3_Feed[[#Headers],[Category]], 0, 2)</f>
        <v>at market</v>
      </c>
      <c r="K127" s="30" t="str">
        <f>Table_SourceData_Scope3_Feed[[#This Row],[Product]]</f>
        <v>Cereal silage</v>
      </c>
      <c r="L127" s="30" t="str">
        <f>Table_SourceData_Scope3_Feed[[#This Row],[Region of origin]]</f>
        <v>NSW</v>
      </c>
    </row>
    <row r="128" spans="1:16" ht="20.100000000000001" customHeight="1" x14ac:dyDescent="0.25">
      <c r="A128"/>
      <c r="D128" s="30" t="str" cm="1">
        <f t="array" ref="D128">Common_InputFunctions.Utility_DisplayArrayInTable(Scope3_SourceData.Scope3_Feed_Data(), Table_SourceData_Scope3_Feed[[#Headers],[Category]], 0, 2)</f>
        <v>Hay</v>
      </c>
      <c r="E128" s="30" t="str" cm="1">
        <f t="array" ref="E128">Common_InputFunctions.Utility_DisplayArrayInTable(Scope3_SourceData.Scope3_Feed_Data(), Table_SourceData_Scope3_Feed[[#Headers],[Category]], 0, 2)</f>
        <v>Cereal silage</v>
      </c>
      <c r="F128" s="30" t="str" cm="1">
        <f t="array" ref="F128">Common_InputFunctions.Utility_DisplayArrayInTable(Scope3_SourceData.Scope3_Feed_Data(), Table_SourceData_Scope3_Feed[[#Headers],[Category]], 0, 2)</f>
        <v>QLD</v>
      </c>
      <c r="G128" s="30" t="str" cm="1">
        <f t="array" ref="G128">Common_InputFunctions.Utility_DisplayArrayInTable(Scope3_SourceData.Scope3_Feed_Data(), Table_SourceData_Scope3_Feed[[#Headers],[Category]], 0, 2)</f>
        <v>kg</v>
      </c>
      <c r="H128" s="30" cm="1">
        <f t="array" ref="H128">Common_InputFunctions.Utility_DisplayArrayInTable(Scope3_SourceData.Scope3_Feed_Data(), Table_SourceData_Scope3_Feed[[#Headers],[Category]], 0, 2)</f>
        <v>7.9000000000000001E-2</v>
      </c>
      <c r="I128" s="30" t="str" cm="1">
        <f t="array" ref="I128">Common_InputFunctions.Utility_DisplayArrayInTable(Scope3_SourceData.Scope3_Feed_Data(), Table_SourceData_Scope3_Feed[[#Headers],[Category]], 0, 2)</f>
        <v>at market</v>
      </c>
      <c r="K128" s="30" t="str">
        <f>Table_SourceData_Scope3_Feed[[#This Row],[Product]]</f>
        <v>Cereal silage</v>
      </c>
      <c r="L128" s="30" t="str">
        <f>Table_SourceData_Scope3_Feed[[#This Row],[Region of origin]]</f>
        <v>QLD</v>
      </c>
    </row>
    <row r="129" spans="1:16" ht="20.100000000000001" customHeight="1" x14ac:dyDescent="0.25">
      <c r="A129"/>
      <c r="D129" s="30" t="str" cm="1">
        <f t="array" ref="D129">Common_InputFunctions.Utility_DisplayArrayInTable(Scope3_SourceData.Scope3_Feed_Data(), Table_SourceData_Scope3_Feed[[#Headers],[Category]], 0, 2)</f>
        <v>Hay</v>
      </c>
      <c r="E129" s="30" t="str" cm="1">
        <f t="array" ref="E129">Common_InputFunctions.Utility_DisplayArrayInTable(Scope3_SourceData.Scope3_Feed_Data(), Table_SourceData_Scope3_Feed[[#Headers],[Category]], 0, 2)</f>
        <v>Cereal silage</v>
      </c>
      <c r="F129" s="30" t="str" cm="1">
        <f t="array" ref="F129">Common_InputFunctions.Utility_DisplayArrayInTable(Scope3_SourceData.Scope3_Feed_Data(), Table_SourceData_Scope3_Feed[[#Headers],[Category]], 0, 2)</f>
        <v>SA</v>
      </c>
      <c r="G129" s="30" t="str" cm="1">
        <f t="array" ref="G129">Common_InputFunctions.Utility_DisplayArrayInTable(Scope3_SourceData.Scope3_Feed_Data(), Table_SourceData_Scope3_Feed[[#Headers],[Category]], 0, 2)</f>
        <v>kg</v>
      </c>
      <c r="H129" s="30" cm="1">
        <f t="array" ref="H129">Common_InputFunctions.Utility_DisplayArrayInTable(Scope3_SourceData.Scope3_Feed_Data(), Table_SourceData_Scope3_Feed[[#Headers],[Category]], 0, 2)</f>
        <v>7.0599999999999996E-2</v>
      </c>
      <c r="I129" s="30" t="str" cm="1">
        <f t="array" ref="I129">Common_InputFunctions.Utility_DisplayArrayInTable(Scope3_SourceData.Scope3_Feed_Data(), Table_SourceData_Scope3_Feed[[#Headers],[Category]], 0, 2)</f>
        <v>at market</v>
      </c>
      <c r="K129" s="30" t="str">
        <f>Table_SourceData_Scope3_Feed[[#This Row],[Product]]</f>
        <v>Cereal silage</v>
      </c>
      <c r="L129" s="30" t="str">
        <f>Table_SourceData_Scope3_Feed[[#This Row],[Region of origin]]</f>
        <v>SA</v>
      </c>
    </row>
    <row r="130" spans="1:16" ht="20.100000000000001" customHeight="1" x14ac:dyDescent="0.25">
      <c r="A130"/>
      <c r="D130" s="30" t="str" cm="1">
        <f t="array" ref="D130">Common_InputFunctions.Utility_DisplayArrayInTable(Scope3_SourceData.Scope3_Feed_Data(), Table_SourceData_Scope3_Feed[[#Headers],[Category]], 0, 2)</f>
        <v>Hay</v>
      </c>
      <c r="E130" s="30" t="str" cm="1">
        <f t="array" ref="E130">Common_InputFunctions.Utility_DisplayArrayInTable(Scope3_SourceData.Scope3_Feed_Data(), Table_SourceData_Scope3_Feed[[#Headers],[Category]], 0, 2)</f>
        <v>Cereal silage</v>
      </c>
      <c r="F130" s="30" t="str" cm="1">
        <f t="array" ref="F130">Common_InputFunctions.Utility_DisplayArrayInTable(Scope3_SourceData.Scope3_Feed_Data(), Table_SourceData_Scope3_Feed[[#Headers],[Category]], 0, 2)</f>
        <v>TAS</v>
      </c>
      <c r="G130" s="30" t="str" cm="1">
        <f t="array" ref="G130">Common_InputFunctions.Utility_DisplayArrayInTable(Scope3_SourceData.Scope3_Feed_Data(), Table_SourceData_Scope3_Feed[[#Headers],[Category]], 0, 2)</f>
        <v>kg</v>
      </c>
      <c r="H130" s="30" cm="1">
        <f t="array" ref="H130">Common_InputFunctions.Utility_DisplayArrayInTable(Scope3_SourceData.Scope3_Feed_Data(), Table_SourceData_Scope3_Feed[[#Headers],[Category]], 0, 2)</f>
        <v>8.0799999999999997E-2</v>
      </c>
      <c r="I130" s="30" t="str" cm="1">
        <f t="array" ref="I130">Common_InputFunctions.Utility_DisplayArrayInTable(Scope3_SourceData.Scope3_Feed_Data(), Table_SourceData_Scope3_Feed[[#Headers],[Category]], 0, 2)</f>
        <v>at market</v>
      </c>
      <c r="K130" s="30" t="str">
        <f>Table_SourceData_Scope3_Feed[[#This Row],[Product]]</f>
        <v>Cereal silage</v>
      </c>
      <c r="L130" s="30" t="str">
        <f>Table_SourceData_Scope3_Feed[[#This Row],[Region of origin]]</f>
        <v>TAS</v>
      </c>
    </row>
    <row r="131" spans="1:16" ht="20.100000000000001" customHeight="1" x14ac:dyDescent="0.25">
      <c r="A131"/>
      <c r="D131" s="30" t="str" cm="1">
        <f t="array" ref="D131">Common_InputFunctions.Utility_DisplayArrayInTable(Scope3_SourceData.Scope3_Feed_Data(), Table_SourceData_Scope3_Feed[[#Headers],[Category]], 0, 2)</f>
        <v>Hay</v>
      </c>
      <c r="E131" s="30" t="str" cm="1">
        <f t="array" ref="E131">Common_InputFunctions.Utility_DisplayArrayInTable(Scope3_SourceData.Scope3_Feed_Data(), Table_SourceData_Scope3_Feed[[#Headers],[Category]], 0, 2)</f>
        <v>Cereal silage</v>
      </c>
      <c r="F131" s="30" t="str" cm="1">
        <f t="array" ref="F131">Common_InputFunctions.Utility_DisplayArrayInTable(Scope3_SourceData.Scope3_Feed_Data(), Table_SourceData_Scope3_Feed[[#Headers],[Category]], 0, 2)</f>
        <v>VIC</v>
      </c>
      <c r="G131" s="30" t="str" cm="1">
        <f t="array" ref="G131">Common_InputFunctions.Utility_DisplayArrayInTable(Scope3_SourceData.Scope3_Feed_Data(), Table_SourceData_Scope3_Feed[[#Headers],[Category]], 0, 2)</f>
        <v>kg</v>
      </c>
      <c r="H131" s="30" cm="1">
        <f t="array" ref="H131">Common_InputFunctions.Utility_DisplayArrayInTable(Scope3_SourceData.Scope3_Feed_Data(), Table_SourceData_Scope3_Feed[[#Headers],[Category]], 0, 2)</f>
        <v>7.3599999999999999E-2</v>
      </c>
      <c r="I131" s="30" t="str" cm="1">
        <f t="array" ref="I131">Common_InputFunctions.Utility_DisplayArrayInTable(Scope3_SourceData.Scope3_Feed_Data(), Table_SourceData_Scope3_Feed[[#Headers],[Category]], 0, 2)</f>
        <v>at market</v>
      </c>
      <c r="K131" s="30" t="str">
        <f>Table_SourceData_Scope3_Feed[[#This Row],[Product]]</f>
        <v>Cereal silage</v>
      </c>
      <c r="L131" s="30" t="str">
        <f>Table_SourceData_Scope3_Feed[[#This Row],[Region of origin]]</f>
        <v>VIC</v>
      </c>
      <c r="N131" s="30" t="s">
        <v>152</v>
      </c>
      <c r="O131" s="30" t="s">
        <v>377</v>
      </c>
      <c r="P131" s="1" t="str">
        <f>"Table_ProductRegions_" &amp; SUBSTITUTE(SUBSTITUTE(SUBSTITUTE(SUBSTITUTE(N132, " ", ""), ",", ""), "(", ""), ")", "")</f>
        <v>Table_ProductRegions_Lucernehay</v>
      </c>
    </row>
    <row r="132" spans="1:16" ht="20.100000000000001" customHeight="1" x14ac:dyDescent="0.25">
      <c r="A132"/>
      <c r="D132" s="30" t="str" cm="1">
        <f t="array" ref="D132">Common_InputFunctions.Utility_DisplayArrayInTable(Scope3_SourceData.Scope3_Feed_Data(), Table_SourceData_Scope3_Feed[[#Headers],[Category]], 0, 2)</f>
        <v>Hay</v>
      </c>
      <c r="E132" s="30" t="str" cm="1">
        <f t="array" ref="E132">Common_InputFunctions.Utility_DisplayArrayInTable(Scope3_SourceData.Scope3_Feed_Data(), Table_SourceData_Scope3_Feed[[#Headers],[Category]], 0, 2)</f>
        <v>Lucerne hay</v>
      </c>
      <c r="F132" s="30" t="str" cm="1">
        <f t="array" ref="F132">Common_InputFunctions.Utility_DisplayArrayInTable(Scope3_SourceData.Scope3_Feed_Data(), Table_SourceData_Scope3_Feed[[#Headers],[Category]], 0, 2)</f>
        <v>Australia</v>
      </c>
      <c r="G132" s="30" t="str" cm="1">
        <f t="array" ref="G132">Common_InputFunctions.Utility_DisplayArrayInTable(Scope3_SourceData.Scope3_Feed_Data(), Table_SourceData_Scope3_Feed[[#Headers],[Category]], 0, 2)</f>
        <v>kg</v>
      </c>
      <c r="H132" s="30" cm="1">
        <f t="array" ref="H132">Common_InputFunctions.Utility_DisplayArrayInTable(Scope3_SourceData.Scope3_Feed_Data(), Table_SourceData_Scope3_Feed[[#Headers],[Category]], 0, 2)</f>
        <v>0.11700000000000001</v>
      </c>
      <c r="I132" s="30" t="str" cm="1">
        <f t="array" ref="I132">Common_InputFunctions.Utility_DisplayArrayInTable(Scope3_SourceData.Scope3_Feed_Data(), Table_SourceData_Scope3_Feed[[#Headers],[Category]], 0, 2)</f>
        <v>at market</v>
      </c>
      <c r="N132" s="30" t="str">
        <f>Table_SourceData_Scope3_Feed[[#This Row],[Product]]</f>
        <v>Lucerne hay</v>
      </c>
      <c r="O132" s="30" t="str">
        <f>Table_SourceData_Scope3_Feed[[#This Row],[Region of origin]]</f>
        <v>Australia</v>
      </c>
    </row>
    <row r="133" spans="1:16" ht="20.100000000000001" customHeight="1" x14ac:dyDescent="0.25">
      <c r="A133"/>
      <c r="D133" s="30" t="str" cm="1">
        <f t="array" ref="D133">Common_InputFunctions.Utility_DisplayArrayInTable(Scope3_SourceData.Scope3_Feed_Data(), Table_SourceData_Scope3_Feed[[#Headers],[Category]], 0, 2)</f>
        <v>Hay</v>
      </c>
      <c r="E133" s="30" t="str" cm="1">
        <f t="array" ref="E133">Common_InputFunctions.Utility_DisplayArrayInTable(Scope3_SourceData.Scope3_Feed_Data(), Table_SourceData_Scope3_Feed[[#Headers],[Category]], 0, 2)</f>
        <v>Lucerne hay</v>
      </c>
      <c r="F133" s="30" t="str" cm="1">
        <f t="array" ref="F133">Common_InputFunctions.Utility_DisplayArrayInTable(Scope3_SourceData.Scope3_Feed_Data(), Table_SourceData_Scope3_Feed[[#Headers],[Category]], 0, 2)</f>
        <v>NSW</v>
      </c>
      <c r="G133" s="30" t="str" cm="1">
        <f t="array" ref="G133">Common_InputFunctions.Utility_DisplayArrayInTable(Scope3_SourceData.Scope3_Feed_Data(), Table_SourceData_Scope3_Feed[[#Headers],[Category]], 0, 2)</f>
        <v>kg</v>
      </c>
      <c r="H133" s="30" cm="1">
        <f t="array" ref="H133">Common_InputFunctions.Utility_DisplayArrayInTable(Scope3_SourceData.Scope3_Feed_Data(), Table_SourceData_Scope3_Feed[[#Headers],[Category]], 0, 2)</f>
        <v>0.113</v>
      </c>
      <c r="I133" s="30" t="str" cm="1">
        <f t="array" ref="I133">Common_InputFunctions.Utility_DisplayArrayInTable(Scope3_SourceData.Scope3_Feed_Data(), Table_SourceData_Scope3_Feed[[#Headers],[Category]], 0, 2)</f>
        <v>at market</v>
      </c>
      <c r="N133" s="30" t="str">
        <f>Table_SourceData_Scope3_Feed[[#This Row],[Product]]</f>
        <v>Lucerne hay</v>
      </c>
      <c r="O133" s="30" t="str">
        <f>Table_SourceData_Scope3_Feed[[#This Row],[Region of origin]]</f>
        <v>NSW</v>
      </c>
    </row>
    <row r="134" spans="1:16" ht="20.100000000000001" customHeight="1" x14ac:dyDescent="0.25">
      <c r="A134"/>
      <c r="D134" s="30" t="str" cm="1">
        <f t="array" ref="D134">Common_InputFunctions.Utility_DisplayArrayInTable(Scope3_SourceData.Scope3_Feed_Data(), Table_SourceData_Scope3_Feed[[#Headers],[Category]], 0, 2)</f>
        <v>Hay</v>
      </c>
      <c r="E134" s="30" t="str" cm="1">
        <f t="array" ref="E134">Common_InputFunctions.Utility_DisplayArrayInTable(Scope3_SourceData.Scope3_Feed_Data(), Table_SourceData_Scope3_Feed[[#Headers],[Category]], 0, 2)</f>
        <v>Lucerne hay</v>
      </c>
      <c r="F134" s="30" t="str" cm="1">
        <f t="array" ref="F134">Common_InputFunctions.Utility_DisplayArrayInTable(Scope3_SourceData.Scope3_Feed_Data(), Table_SourceData_Scope3_Feed[[#Headers],[Category]], 0, 2)</f>
        <v>QLD</v>
      </c>
      <c r="G134" s="30" t="str" cm="1">
        <f t="array" ref="G134">Common_InputFunctions.Utility_DisplayArrayInTable(Scope3_SourceData.Scope3_Feed_Data(), Table_SourceData_Scope3_Feed[[#Headers],[Category]], 0, 2)</f>
        <v>kg</v>
      </c>
      <c r="H134" s="30" cm="1">
        <f t="array" ref="H134">Common_InputFunctions.Utility_DisplayArrayInTable(Scope3_SourceData.Scope3_Feed_Data(), Table_SourceData_Scope3_Feed[[#Headers],[Category]], 0, 2)</f>
        <v>0.14299999999999999</v>
      </c>
      <c r="I134" s="30" t="str" cm="1">
        <f t="array" ref="I134">Common_InputFunctions.Utility_DisplayArrayInTable(Scope3_SourceData.Scope3_Feed_Data(), Table_SourceData_Scope3_Feed[[#Headers],[Category]], 0, 2)</f>
        <v>at market</v>
      </c>
      <c r="N134" s="30" t="str">
        <f>Table_SourceData_Scope3_Feed[[#This Row],[Product]]</f>
        <v>Lucerne hay</v>
      </c>
      <c r="O134" s="30" t="str">
        <f>Table_SourceData_Scope3_Feed[[#This Row],[Region of origin]]</f>
        <v>QLD</v>
      </c>
    </row>
    <row r="135" spans="1:16" ht="20.100000000000001" customHeight="1" x14ac:dyDescent="0.25">
      <c r="A135"/>
      <c r="D135" s="30" t="str" cm="1">
        <f t="array" ref="D135">Common_InputFunctions.Utility_DisplayArrayInTable(Scope3_SourceData.Scope3_Feed_Data(), Table_SourceData_Scope3_Feed[[#Headers],[Category]], 0, 2)</f>
        <v>Hay</v>
      </c>
      <c r="E135" s="30" t="str" cm="1">
        <f t="array" ref="E135">Common_InputFunctions.Utility_DisplayArrayInTable(Scope3_SourceData.Scope3_Feed_Data(), Table_SourceData_Scope3_Feed[[#Headers],[Category]], 0, 2)</f>
        <v>Lucerne hay</v>
      </c>
      <c r="F135" s="30" t="str" cm="1">
        <f t="array" ref="F135">Common_InputFunctions.Utility_DisplayArrayInTable(Scope3_SourceData.Scope3_Feed_Data(), Table_SourceData_Scope3_Feed[[#Headers],[Category]], 0, 2)</f>
        <v>SA</v>
      </c>
      <c r="G135" s="30" t="str" cm="1">
        <f t="array" ref="G135">Common_InputFunctions.Utility_DisplayArrayInTable(Scope3_SourceData.Scope3_Feed_Data(), Table_SourceData_Scope3_Feed[[#Headers],[Category]], 0, 2)</f>
        <v>kg</v>
      </c>
      <c r="H135" s="30" cm="1">
        <f t="array" ref="H135">Common_InputFunctions.Utility_DisplayArrayInTable(Scope3_SourceData.Scope3_Feed_Data(), Table_SourceData_Scope3_Feed[[#Headers],[Category]], 0, 2)</f>
        <v>0.106</v>
      </c>
      <c r="I135" s="30" t="str" cm="1">
        <f t="array" ref="I135">Common_InputFunctions.Utility_DisplayArrayInTable(Scope3_SourceData.Scope3_Feed_Data(), Table_SourceData_Scope3_Feed[[#Headers],[Category]], 0, 2)</f>
        <v>at market</v>
      </c>
      <c r="N135" s="30" t="str">
        <f>Table_SourceData_Scope3_Feed[[#This Row],[Product]]</f>
        <v>Lucerne hay</v>
      </c>
      <c r="O135" s="30" t="str">
        <f>Table_SourceData_Scope3_Feed[[#This Row],[Region of origin]]</f>
        <v>SA</v>
      </c>
    </row>
    <row r="136" spans="1:16" ht="20.100000000000001" customHeight="1" x14ac:dyDescent="0.25">
      <c r="A136"/>
      <c r="D136" s="30" t="str" cm="1">
        <f t="array" ref="D136">Common_InputFunctions.Utility_DisplayArrayInTable(Scope3_SourceData.Scope3_Feed_Data(), Table_SourceData_Scope3_Feed[[#Headers],[Category]], 0, 2)</f>
        <v>Hay</v>
      </c>
      <c r="E136" s="30" t="str" cm="1">
        <f t="array" ref="E136">Common_InputFunctions.Utility_DisplayArrayInTable(Scope3_SourceData.Scope3_Feed_Data(), Table_SourceData_Scope3_Feed[[#Headers],[Category]], 0, 2)</f>
        <v>Lucerne hay</v>
      </c>
      <c r="F136" s="30" t="str" cm="1">
        <f t="array" ref="F136">Common_InputFunctions.Utility_DisplayArrayInTable(Scope3_SourceData.Scope3_Feed_Data(), Table_SourceData_Scope3_Feed[[#Headers],[Category]], 0, 2)</f>
        <v>TAS</v>
      </c>
      <c r="G136" s="30" t="str" cm="1">
        <f t="array" ref="G136">Common_InputFunctions.Utility_DisplayArrayInTable(Scope3_SourceData.Scope3_Feed_Data(), Table_SourceData_Scope3_Feed[[#Headers],[Category]], 0, 2)</f>
        <v>kg</v>
      </c>
      <c r="H136" s="30" cm="1">
        <f t="array" ref="H136">Common_InputFunctions.Utility_DisplayArrayInTable(Scope3_SourceData.Scope3_Feed_Data(), Table_SourceData_Scope3_Feed[[#Headers],[Category]], 0, 2)</f>
        <v>0.113</v>
      </c>
      <c r="I136" s="30" t="str" cm="1">
        <f t="array" ref="I136">Common_InputFunctions.Utility_DisplayArrayInTable(Scope3_SourceData.Scope3_Feed_Data(), Table_SourceData_Scope3_Feed[[#Headers],[Category]], 0, 2)</f>
        <v>at market</v>
      </c>
      <c r="N136" s="30" t="str">
        <f>Table_SourceData_Scope3_Feed[[#This Row],[Product]]</f>
        <v>Lucerne hay</v>
      </c>
      <c r="O136" s="30" t="str">
        <f>Table_SourceData_Scope3_Feed[[#This Row],[Region of origin]]</f>
        <v>TAS</v>
      </c>
    </row>
    <row r="137" spans="1:16" ht="20.100000000000001" customHeight="1" x14ac:dyDescent="0.25">
      <c r="A137"/>
      <c r="D137" s="30" t="str" cm="1">
        <f t="array" ref="D137">Common_InputFunctions.Utility_DisplayArrayInTable(Scope3_SourceData.Scope3_Feed_Data(), Table_SourceData_Scope3_Feed[[#Headers],[Category]], 0, 2)</f>
        <v>Hay</v>
      </c>
      <c r="E137" s="30" t="str" cm="1">
        <f t="array" ref="E137">Common_InputFunctions.Utility_DisplayArrayInTable(Scope3_SourceData.Scope3_Feed_Data(), Table_SourceData_Scope3_Feed[[#Headers],[Category]], 0, 2)</f>
        <v>Lucerne hay</v>
      </c>
      <c r="F137" s="30" t="str" cm="1">
        <f t="array" ref="F137">Common_InputFunctions.Utility_DisplayArrayInTable(Scope3_SourceData.Scope3_Feed_Data(), Table_SourceData_Scope3_Feed[[#Headers],[Category]], 0, 2)</f>
        <v>VIC</v>
      </c>
      <c r="G137" s="30" t="str" cm="1">
        <f t="array" ref="G137">Common_InputFunctions.Utility_DisplayArrayInTable(Scope3_SourceData.Scope3_Feed_Data(), Table_SourceData_Scope3_Feed[[#Headers],[Category]], 0, 2)</f>
        <v>kg</v>
      </c>
      <c r="H137" s="30" cm="1">
        <f t="array" ref="H137">Common_InputFunctions.Utility_DisplayArrayInTable(Scope3_SourceData.Scope3_Feed_Data(), Table_SourceData_Scope3_Feed[[#Headers],[Category]], 0, 2)</f>
        <v>0.106</v>
      </c>
      <c r="I137" s="30" t="str" cm="1">
        <f t="array" ref="I137">Common_InputFunctions.Utility_DisplayArrayInTable(Scope3_SourceData.Scope3_Feed_Data(), Table_SourceData_Scope3_Feed[[#Headers],[Category]], 0, 2)</f>
        <v>at market</v>
      </c>
      <c r="N137" s="30" t="str">
        <f>Table_SourceData_Scope3_Feed[[#This Row],[Product]]</f>
        <v>Lucerne hay</v>
      </c>
      <c r="O137" s="30" t="str">
        <f>Table_SourceData_Scope3_Feed[[#This Row],[Region of origin]]</f>
        <v>VIC</v>
      </c>
    </row>
    <row r="138" spans="1:16" ht="20.100000000000001" customHeight="1" x14ac:dyDescent="0.25">
      <c r="A138"/>
      <c r="D138" s="30" t="str" cm="1">
        <f t="array" ref="D138">Common_InputFunctions.Utility_DisplayArrayInTable(Scope3_SourceData.Scope3_Feed_Data(), Table_SourceData_Scope3_Feed[[#Headers],[Category]], 0, 2)</f>
        <v>Hay</v>
      </c>
      <c r="E138" s="30" t="str" cm="1">
        <f t="array" ref="E138">Common_InputFunctions.Utility_DisplayArrayInTable(Scope3_SourceData.Scope3_Feed_Data(), Table_SourceData_Scope3_Feed[[#Headers],[Category]], 0, 2)</f>
        <v>Maize silage</v>
      </c>
      <c r="F138" s="30" t="str" cm="1">
        <f t="array" ref="F138">Common_InputFunctions.Utility_DisplayArrayInTable(Scope3_SourceData.Scope3_Feed_Data(), Table_SourceData_Scope3_Feed[[#Headers],[Category]], 0, 2)</f>
        <v>VIC</v>
      </c>
      <c r="G138" s="30" t="str" cm="1">
        <f t="array" ref="G138">Common_InputFunctions.Utility_DisplayArrayInTable(Scope3_SourceData.Scope3_Feed_Data(), Table_SourceData_Scope3_Feed[[#Headers],[Category]], 0, 2)</f>
        <v>kg</v>
      </c>
      <c r="H138" s="30" cm="1">
        <f t="array" ref="H138">Common_InputFunctions.Utility_DisplayArrayInTable(Scope3_SourceData.Scope3_Feed_Data(), Table_SourceData_Scope3_Feed[[#Headers],[Category]], 0, 2)</f>
        <v>0.16300000000000001</v>
      </c>
      <c r="I138" s="30" t="str" cm="1">
        <f t="array" ref="I138">Common_InputFunctions.Utility_DisplayArrayInTable(Scope3_SourceData.Scope3_Feed_Data(), Table_SourceData_Scope3_Feed[[#Headers],[Category]], 0, 2)</f>
        <v>at market</v>
      </c>
      <c r="K138" s="30" t="s">
        <v>152</v>
      </c>
      <c r="L138" s="30" t="s">
        <v>377</v>
      </c>
      <c r="M138" s="1" t="str">
        <f>"Table_ProductRegions_" &amp; SUBSTITUTE(SUBSTITUTE(SUBSTITUTE(SUBSTITUTE(K139, " ", ""), ",", ""), "(", ""), ")", "")</f>
        <v>Table_ProductRegions_Oatenhay</v>
      </c>
      <c r="N138" s="30" t="str">
        <f>Table_SourceData_Scope3_Feed[[#This Row],[Product]]</f>
        <v>Maize silage</v>
      </c>
      <c r="O138" s="30" t="str">
        <f>Table_SourceData_Scope3_Feed[[#This Row],[Region of origin]]</f>
        <v>VIC</v>
      </c>
    </row>
    <row r="139" spans="1:16" ht="20.100000000000001" customHeight="1" x14ac:dyDescent="0.25">
      <c r="A139"/>
      <c r="D139" s="30" t="str" cm="1">
        <f t="array" ref="D139">Common_InputFunctions.Utility_DisplayArrayInTable(Scope3_SourceData.Scope3_Feed_Data(), Table_SourceData_Scope3_Feed[[#Headers],[Category]], 0, 2)</f>
        <v>Hay</v>
      </c>
      <c r="E139" s="30" t="str" cm="1">
        <f t="array" ref="E139">Common_InputFunctions.Utility_DisplayArrayInTable(Scope3_SourceData.Scope3_Feed_Data(), Table_SourceData_Scope3_Feed[[#Headers],[Category]], 0, 2)</f>
        <v>Oaten hay</v>
      </c>
      <c r="F139" s="30" t="str" cm="1">
        <f t="array" ref="F139">Common_InputFunctions.Utility_DisplayArrayInTable(Scope3_SourceData.Scope3_Feed_Data(), Table_SourceData_Scope3_Feed[[#Headers],[Category]], 0, 2)</f>
        <v>Australia</v>
      </c>
      <c r="G139" s="30" t="str" cm="1">
        <f t="array" ref="G139">Common_InputFunctions.Utility_DisplayArrayInTable(Scope3_SourceData.Scope3_Feed_Data(), Table_SourceData_Scope3_Feed[[#Headers],[Category]], 0, 2)</f>
        <v>kg</v>
      </c>
      <c r="H139" s="30" cm="1">
        <f t="array" ref="H139">Common_InputFunctions.Utility_DisplayArrayInTable(Scope3_SourceData.Scope3_Feed_Data(), Table_SourceData_Scope3_Feed[[#Headers],[Category]], 0, 2)</f>
        <v>0.12</v>
      </c>
      <c r="I139" s="30" t="str" cm="1">
        <f t="array" ref="I139">Common_InputFunctions.Utility_DisplayArrayInTable(Scope3_SourceData.Scope3_Feed_Data(), Table_SourceData_Scope3_Feed[[#Headers],[Category]], 0, 2)</f>
        <v>at market</v>
      </c>
      <c r="K139" s="30" t="str">
        <f>Table_SourceData_Scope3_Feed[[#This Row],[Product]]</f>
        <v>Oaten hay</v>
      </c>
      <c r="L139" s="30" t="str">
        <f>Table_SourceData_Scope3_Feed[[#This Row],[Region of origin]]</f>
        <v>Australia</v>
      </c>
    </row>
    <row r="140" spans="1:16" ht="20.100000000000001" customHeight="1" x14ac:dyDescent="0.25">
      <c r="A140"/>
      <c r="D140" s="30" t="str" cm="1">
        <f t="array" ref="D140">Common_InputFunctions.Utility_DisplayArrayInTable(Scope3_SourceData.Scope3_Feed_Data(), Table_SourceData_Scope3_Feed[[#Headers],[Category]], 0, 2)</f>
        <v>Hay</v>
      </c>
      <c r="E140" s="30" t="str" cm="1">
        <f t="array" ref="E140">Common_InputFunctions.Utility_DisplayArrayInTable(Scope3_SourceData.Scope3_Feed_Data(), Table_SourceData_Scope3_Feed[[#Headers],[Category]], 0, 2)</f>
        <v>Oaten hay</v>
      </c>
      <c r="F140" s="30" t="str" cm="1">
        <f t="array" ref="F140">Common_InputFunctions.Utility_DisplayArrayInTable(Scope3_SourceData.Scope3_Feed_Data(), Table_SourceData_Scope3_Feed[[#Headers],[Category]], 0, 2)</f>
        <v>NSW</v>
      </c>
      <c r="G140" s="30" t="str" cm="1">
        <f t="array" ref="G140">Common_InputFunctions.Utility_DisplayArrayInTable(Scope3_SourceData.Scope3_Feed_Data(), Table_SourceData_Scope3_Feed[[#Headers],[Category]], 0, 2)</f>
        <v>kg</v>
      </c>
      <c r="H140" s="30" cm="1">
        <f t="array" ref="H140">Common_InputFunctions.Utility_DisplayArrayInTable(Scope3_SourceData.Scope3_Feed_Data(), Table_SourceData_Scope3_Feed[[#Headers],[Category]], 0, 2)</f>
        <v>0.11899999999999999</v>
      </c>
      <c r="I140" s="30" t="str" cm="1">
        <f t="array" ref="I140">Common_InputFunctions.Utility_DisplayArrayInTable(Scope3_SourceData.Scope3_Feed_Data(), Table_SourceData_Scope3_Feed[[#Headers],[Category]], 0, 2)</f>
        <v>at market</v>
      </c>
      <c r="K140" s="30" t="str">
        <f>Table_SourceData_Scope3_Feed[[#This Row],[Product]]</f>
        <v>Oaten hay</v>
      </c>
      <c r="L140" s="30" t="str">
        <f>Table_SourceData_Scope3_Feed[[#This Row],[Region of origin]]</f>
        <v>NSW</v>
      </c>
    </row>
    <row r="141" spans="1:16" ht="20.100000000000001" customHeight="1" x14ac:dyDescent="0.25">
      <c r="A141"/>
      <c r="D141" s="30" t="str" cm="1">
        <f t="array" ref="D141">Common_InputFunctions.Utility_DisplayArrayInTable(Scope3_SourceData.Scope3_Feed_Data(), Table_SourceData_Scope3_Feed[[#Headers],[Category]], 0, 2)</f>
        <v>Hay</v>
      </c>
      <c r="E141" s="30" t="str" cm="1">
        <f t="array" ref="E141">Common_InputFunctions.Utility_DisplayArrayInTable(Scope3_SourceData.Scope3_Feed_Data(), Table_SourceData_Scope3_Feed[[#Headers],[Category]], 0, 2)</f>
        <v>Oaten hay</v>
      </c>
      <c r="F141" s="30" t="str" cm="1">
        <f t="array" ref="F141">Common_InputFunctions.Utility_DisplayArrayInTable(Scope3_SourceData.Scope3_Feed_Data(), Table_SourceData_Scope3_Feed[[#Headers],[Category]], 0, 2)</f>
        <v>QLD</v>
      </c>
      <c r="G141" s="30" t="str" cm="1">
        <f t="array" ref="G141">Common_InputFunctions.Utility_DisplayArrayInTable(Scope3_SourceData.Scope3_Feed_Data(), Table_SourceData_Scope3_Feed[[#Headers],[Category]], 0, 2)</f>
        <v>kg</v>
      </c>
      <c r="H141" s="30" cm="1">
        <f t="array" ref="H141">Common_InputFunctions.Utility_DisplayArrayInTable(Scope3_SourceData.Scope3_Feed_Data(), Table_SourceData_Scope3_Feed[[#Headers],[Category]], 0, 2)</f>
        <v>0.11700000000000001</v>
      </c>
      <c r="I141" s="30" t="str" cm="1">
        <f t="array" ref="I141">Common_InputFunctions.Utility_DisplayArrayInTable(Scope3_SourceData.Scope3_Feed_Data(), Table_SourceData_Scope3_Feed[[#Headers],[Category]], 0, 2)</f>
        <v>at market</v>
      </c>
      <c r="K141" s="30" t="str">
        <f>Table_SourceData_Scope3_Feed[[#This Row],[Product]]</f>
        <v>Oaten hay</v>
      </c>
      <c r="L141" s="30" t="str">
        <f>Table_SourceData_Scope3_Feed[[#This Row],[Region of origin]]</f>
        <v>QLD</v>
      </c>
    </row>
    <row r="142" spans="1:16" ht="20.100000000000001" customHeight="1" x14ac:dyDescent="0.25">
      <c r="A142"/>
      <c r="D142" s="30" t="str" cm="1">
        <f t="array" ref="D142">Common_InputFunctions.Utility_DisplayArrayInTable(Scope3_SourceData.Scope3_Feed_Data(), Table_SourceData_Scope3_Feed[[#Headers],[Category]], 0, 2)</f>
        <v>Hay</v>
      </c>
      <c r="E142" s="30" t="str" cm="1">
        <f t="array" ref="E142">Common_InputFunctions.Utility_DisplayArrayInTable(Scope3_SourceData.Scope3_Feed_Data(), Table_SourceData_Scope3_Feed[[#Headers],[Category]], 0, 2)</f>
        <v>Oaten hay</v>
      </c>
      <c r="F142" s="30" t="str" cm="1">
        <f t="array" ref="F142">Common_InputFunctions.Utility_DisplayArrayInTable(Scope3_SourceData.Scope3_Feed_Data(), Table_SourceData_Scope3_Feed[[#Headers],[Category]], 0, 2)</f>
        <v>SA</v>
      </c>
      <c r="G142" s="30" t="str" cm="1">
        <f t="array" ref="G142">Common_InputFunctions.Utility_DisplayArrayInTable(Scope3_SourceData.Scope3_Feed_Data(), Table_SourceData_Scope3_Feed[[#Headers],[Category]], 0, 2)</f>
        <v>kg</v>
      </c>
      <c r="H142" s="30" cm="1">
        <f t="array" ref="H142">Common_InputFunctions.Utility_DisplayArrayInTable(Scope3_SourceData.Scope3_Feed_Data(), Table_SourceData_Scope3_Feed[[#Headers],[Category]], 0, 2)</f>
        <v>0.114</v>
      </c>
      <c r="I142" s="30" t="str" cm="1">
        <f t="array" ref="I142">Common_InputFunctions.Utility_DisplayArrayInTable(Scope3_SourceData.Scope3_Feed_Data(), Table_SourceData_Scope3_Feed[[#Headers],[Category]], 0, 2)</f>
        <v>at market</v>
      </c>
      <c r="K142" s="30" t="str">
        <f>Table_SourceData_Scope3_Feed[[#This Row],[Product]]</f>
        <v>Oaten hay</v>
      </c>
      <c r="L142" s="30" t="str">
        <f>Table_SourceData_Scope3_Feed[[#This Row],[Region of origin]]</f>
        <v>SA</v>
      </c>
    </row>
    <row r="143" spans="1:16" ht="20.100000000000001" customHeight="1" x14ac:dyDescent="0.25">
      <c r="A143"/>
      <c r="D143" s="30" t="str" cm="1">
        <f t="array" ref="D143">Common_InputFunctions.Utility_DisplayArrayInTable(Scope3_SourceData.Scope3_Feed_Data(), Table_SourceData_Scope3_Feed[[#Headers],[Category]], 0, 2)</f>
        <v>Hay</v>
      </c>
      <c r="E143" s="30" t="str" cm="1">
        <f t="array" ref="E143">Common_InputFunctions.Utility_DisplayArrayInTable(Scope3_SourceData.Scope3_Feed_Data(), Table_SourceData_Scope3_Feed[[#Headers],[Category]], 0, 2)</f>
        <v>Oaten hay</v>
      </c>
      <c r="F143" s="30" t="str" cm="1">
        <f t="array" ref="F143">Common_InputFunctions.Utility_DisplayArrayInTable(Scope3_SourceData.Scope3_Feed_Data(), Table_SourceData_Scope3_Feed[[#Headers],[Category]], 0, 2)</f>
        <v>VIC</v>
      </c>
      <c r="G143" s="30" t="str" cm="1">
        <f t="array" ref="G143">Common_InputFunctions.Utility_DisplayArrayInTable(Scope3_SourceData.Scope3_Feed_Data(), Table_SourceData_Scope3_Feed[[#Headers],[Category]], 0, 2)</f>
        <v>kg</v>
      </c>
      <c r="H143" s="30" cm="1">
        <f t="array" ref="H143">Common_InputFunctions.Utility_DisplayArrayInTable(Scope3_SourceData.Scope3_Feed_Data(), Table_SourceData_Scope3_Feed[[#Headers],[Category]], 0, 2)</f>
        <v>0.11799999999999999</v>
      </c>
      <c r="I143" s="30" t="str" cm="1">
        <f t="array" ref="I143">Common_InputFunctions.Utility_DisplayArrayInTable(Scope3_SourceData.Scope3_Feed_Data(), Table_SourceData_Scope3_Feed[[#Headers],[Category]], 0, 2)</f>
        <v>at market</v>
      </c>
      <c r="K143" s="30" t="str">
        <f>Table_SourceData_Scope3_Feed[[#This Row],[Product]]</f>
        <v>Oaten hay</v>
      </c>
      <c r="L143" s="30" t="str">
        <f>Table_SourceData_Scope3_Feed[[#This Row],[Region of origin]]</f>
        <v>VIC</v>
      </c>
    </row>
    <row r="144" spans="1:16" ht="20.100000000000001" customHeight="1" x14ac:dyDescent="0.25">
      <c r="A144"/>
      <c r="D144" s="30" t="str" cm="1">
        <f t="array" ref="D144">Common_InputFunctions.Utility_DisplayArrayInTable(Scope3_SourceData.Scope3_Feed_Data(), Table_SourceData_Scope3_Feed[[#Headers],[Category]], 0, 2)</f>
        <v>Hay</v>
      </c>
      <c r="E144" s="30" t="str" cm="1">
        <f t="array" ref="E144">Common_InputFunctions.Utility_DisplayArrayInTable(Scope3_SourceData.Scope3_Feed_Data(), Table_SourceData_Scope3_Feed[[#Headers],[Category]], 0, 2)</f>
        <v>Oaten hay</v>
      </c>
      <c r="F144" s="30" t="str" cm="1">
        <f t="array" ref="F144">Common_InputFunctions.Utility_DisplayArrayInTable(Scope3_SourceData.Scope3_Feed_Data(), Table_SourceData_Scope3_Feed[[#Headers],[Category]], 0, 2)</f>
        <v>WA</v>
      </c>
      <c r="G144" s="30" t="str" cm="1">
        <f t="array" ref="G144">Common_InputFunctions.Utility_DisplayArrayInTable(Scope3_SourceData.Scope3_Feed_Data(), Table_SourceData_Scope3_Feed[[#Headers],[Category]], 0, 2)</f>
        <v>kg</v>
      </c>
      <c r="H144" s="30" cm="1">
        <f t="array" ref="H144">Common_InputFunctions.Utility_DisplayArrayInTable(Scope3_SourceData.Scope3_Feed_Data(), Table_SourceData_Scope3_Feed[[#Headers],[Category]], 0, 2)</f>
        <v>0.124</v>
      </c>
      <c r="I144" s="30" t="str" cm="1">
        <f t="array" ref="I144">Common_InputFunctions.Utility_DisplayArrayInTable(Scope3_SourceData.Scope3_Feed_Data(), Table_SourceData_Scope3_Feed[[#Headers],[Category]], 0, 2)</f>
        <v>at market</v>
      </c>
      <c r="K144" s="30" t="str">
        <f>Table_SourceData_Scope3_Feed[[#This Row],[Product]]</f>
        <v>Oaten hay</v>
      </c>
      <c r="L144" s="30" t="str">
        <f>Table_SourceData_Scope3_Feed[[#This Row],[Region of origin]]</f>
        <v>WA</v>
      </c>
      <c r="N144" s="30" t="s">
        <v>152</v>
      </c>
      <c r="O144" s="30" t="s">
        <v>377</v>
      </c>
      <c r="P144" s="1" t="str">
        <f>"Table_ProductRegions_" &amp; SUBSTITUTE(SUBSTITUTE(SUBSTITUTE(SUBSTITUTE(N145, " ", ""), ",", ""), "(", ""), ")", "")</f>
        <v>Table_ProductRegions_Pasturehay</v>
      </c>
    </row>
    <row r="145" spans="1:16" ht="20.100000000000001" customHeight="1" x14ac:dyDescent="0.25">
      <c r="A145"/>
      <c r="D145" s="30" t="str" cm="1">
        <f t="array" ref="D145">Common_InputFunctions.Utility_DisplayArrayInTable(Scope3_SourceData.Scope3_Feed_Data(), Table_SourceData_Scope3_Feed[[#Headers],[Category]], 0, 2)</f>
        <v>Hay</v>
      </c>
      <c r="E145" s="30" t="str" cm="1">
        <f t="array" ref="E145">Common_InputFunctions.Utility_DisplayArrayInTable(Scope3_SourceData.Scope3_Feed_Data(), Table_SourceData_Scope3_Feed[[#Headers],[Category]], 0, 2)</f>
        <v>Pasture hay</v>
      </c>
      <c r="F145" s="30" t="str" cm="1">
        <f t="array" ref="F145">Common_InputFunctions.Utility_DisplayArrayInTable(Scope3_SourceData.Scope3_Feed_Data(), Table_SourceData_Scope3_Feed[[#Headers],[Category]], 0, 2)</f>
        <v>Australia</v>
      </c>
      <c r="G145" s="30" t="str" cm="1">
        <f t="array" ref="G145">Common_InputFunctions.Utility_DisplayArrayInTable(Scope3_SourceData.Scope3_Feed_Data(), Table_SourceData_Scope3_Feed[[#Headers],[Category]], 0, 2)</f>
        <v>kg</v>
      </c>
      <c r="H145" s="30" cm="1">
        <f t="array" ref="H145">Common_InputFunctions.Utility_DisplayArrayInTable(Scope3_SourceData.Scope3_Feed_Data(), Table_SourceData_Scope3_Feed[[#Headers],[Category]], 0, 2)</f>
        <v>0.33900000000000002</v>
      </c>
      <c r="I145" s="30" t="str" cm="1">
        <f t="array" ref="I145">Common_InputFunctions.Utility_DisplayArrayInTable(Scope3_SourceData.Scope3_Feed_Data(), Table_SourceData_Scope3_Feed[[#Headers],[Category]], 0, 2)</f>
        <v>at market</v>
      </c>
      <c r="N145" s="30" t="str">
        <f>Table_SourceData_Scope3_Feed[[#This Row],[Product]]</f>
        <v>Pasture hay</v>
      </c>
      <c r="O145" s="30" t="str">
        <f>Table_SourceData_Scope3_Feed[[#This Row],[Region of origin]]</f>
        <v>Australia</v>
      </c>
    </row>
    <row r="146" spans="1:16" ht="20.100000000000001" customHeight="1" x14ac:dyDescent="0.25">
      <c r="A146"/>
      <c r="D146" s="30" t="str" cm="1">
        <f t="array" ref="D146">Common_InputFunctions.Utility_DisplayArrayInTable(Scope3_SourceData.Scope3_Feed_Data(), Table_SourceData_Scope3_Feed[[#Headers],[Category]], 0, 2)</f>
        <v>Hay</v>
      </c>
      <c r="E146" s="30" t="str" cm="1">
        <f t="array" ref="E146">Common_InputFunctions.Utility_DisplayArrayInTable(Scope3_SourceData.Scope3_Feed_Data(), Table_SourceData_Scope3_Feed[[#Headers],[Category]], 0, 2)</f>
        <v>Pasture hay</v>
      </c>
      <c r="F146" s="30" t="str" cm="1">
        <f t="array" ref="F146">Common_InputFunctions.Utility_DisplayArrayInTable(Scope3_SourceData.Scope3_Feed_Data(), Table_SourceData_Scope3_Feed[[#Headers],[Category]], 0, 2)</f>
        <v>NSW</v>
      </c>
      <c r="G146" s="30" t="str" cm="1">
        <f t="array" ref="G146">Common_InputFunctions.Utility_DisplayArrayInTable(Scope3_SourceData.Scope3_Feed_Data(), Table_SourceData_Scope3_Feed[[#Headers],[Category]], 0, 2)</f>
        <v>kg</v>
      </c>
      <c r="H146" s="30" cm="1">
        <f t="array" ref="H146">Common_InputFunctions.Utility_DisplayArrayInTable(Scope3_SourceData.Scope3_Feed_Data(), Table_SourceData_Scope3_Feed[[#Headers],[Category]], 0, 2)</f>
        <v>0.311</v>
      </c>
      <c r="I146" s="30" t="str" cm="1">
        <f t="array" ref="I146">Common_InputFunctions.Utility_DisplayArrayInTable(Scope3_SourceData.Scope3_Feed_Data(), Table_SourceData_Scope3_Feed[[#Headers],[Category]], 0, 2)</f>
        <v>at market</v>
      </c>
      <c r="N146" s="30" t="str">
        <f>Table_SourceData_Scope3_Feed[[#This Row],[Product]]</f>
        <v>Pasture hay</v>
      </c>
      <c r="O146" s="30" t="str">
        <f>Table_SourceData_Scope3_Feed[[#This Row],[Region of origin]]</f>
        <v>NSW</v>
      </c>
    </row>
    <row r="147" spans="1:16" ht="20.100000000000001" customHeight="1" x14ac:dyDescent="0.25">
      <c r="A147"/>
      <c r="D147" s="30" t="str" cm="1">
        <f t="array" ref="D147">Common_InputFunctions.Utility_DisplayArrayInTable(Scope3_SourceData.Scope3_Feed_Data(), Table_SourceData_Scope3_Feed[[#Headers],[Category]], 0, 2)</f>
        <v>Hay</v>
      </c>
      <c r="E147" s="30" t="str" cm="1">
        <f t="array" ref="E147">Common_InputFunctions.Utility_DisplayArrayInTable(Scope3_SourceData.Scope3_Feed_Data(), Table_SourceData_Scope3_Feed[[#Headers],[Category]], 0, 2)</f>
        <v>Pasture hay</v>
      </c>
      <c r="F147" s="30" t="str" cm="1">
        <f t="array" ref="F147">Common_InputFunctions.Utility_DisplayArrayInTable(Scope3_SourceData.Scope3_Feed_Data(), Table_SourceData_Scope3_Feed[[#Headers],[Category]], 0, 2)</f>
        <v>QLD</v>
      </c>
      <c r="G147" s="30" t="str" cm="1">
        <f t="array" ref="G147">Common_InputFunctions.Utility_DisplayArrayInTable(Scope3_SourceData.Scope3_Feed_Data(), Table_SourceData_Scope3_Feed[[#Headers],[Category]], 0, 2)</f>
        <v>kg</v>
      </c>
      <c r="H147" s="30" cm="1">
        <f t="array" ref="H147">Common_InputFunctions.Utility_DisplayArrayInTable(Scope3_SourceData.Scope3_Feed_Data(), Table_SourceData_Scope3_Feed[[#Headers],[Category]], 0, 2)</f>
        <v>0.254</v>
      </c>
      <c r="I147" s="30" t="str" cm="1">
        <f t="array" ref="I147">Common_InputFunctions.Utility_DisplayArrayInTable(Scope3_SourceData.Scope3_Feed_Data(), Table_SourceData_Scope3_Feed[[#Headers],[Category]], 0, 2)</f>
        <v>at market</v>
      </c>
      <c r="N147" s="30" t="str">
        <f>Table_SourceData_Scope3_Feed[[#This Row],[Product]]</f>
        <v>Pasture hay</v>
      </c>
      <c r="O147" s="30" t="str">
        <f>Table_SourceData_Scope3_Feed[[#This Row],[Region of origin]]</f>
        <v>QLD</v>
      </c>
    </row>
    <row r="148" spans="1:16" ht="20.100000000000001" customHeight="1" x14ac:dyDescent="0.25">
      <c r="A148"/>
      <c r="D148" s="30" t="str" cm="1">
        <f t="array" ref="D148">Common_InputFunctions.Utility_DisplayArrayInTable(Scope3_SourceData.Scope3_Feed_Data(), Table_SourceData_Scope3_Feed[[#Headers],[Category]], 0, 2)</f>
        <v>Hay</v>
      </c>
      <c r="E148" s="30" t="str" cm="1">
        <f t="array" ref="E148">Common_InputFunctions.Utility_DisplayArrayInTable(Scope3_SourceData.Scope3_Feed_Data(), Table_SourceData_Scope3_Feed[[#Headers],[Category]], 0, 2)</f>
        <v>Pasture hay</v>
      </c>
      <c r="F148" s="30" t="str" cm="1">
        <f t="array" ref="F148">Common_InputFunctions.Utility_DisplayArrayInTable(Scope3_SourceData.Scope3_Feed_Data(), Table_SourceData_Scope3_Feed[[#Headers],[Category]], 0, 2)</f>
        <v>SA</v>
      </c>
      <c r="G148" s="30" t="str" cm="1">
        <f t="array" ref="G148">Common_InputFunctions.Utility_DisplayArrayInTable(Scope3_SourceData.Scope3_Feed_Data(), Table_SourceData_Scope3_Feed[[#Headers],[Category]], 0, 2)</f>
        <v>kg</v>
      </c>
      <c r="H148" s="30" cm="1">
        <f t="array" ref="H148">Common_InputFunctions.Utility_DisplayArrayInTable(Scope3_SourceData.Scope3_Feed_Data(), Table_SourceData_Scope3_Feed[[#Headers],[Category]], 0, 2)</f>
        <v>0.313</v>
      </c>
      <c r="I148" s="30" t="str" cm="1">
        <f t="array" ref="I148">Common_InputFunctions.Utility_DisplayArrayInTable(Scope3_SourceData.Scope3_Feed_Data(), Table_SourceData_Scope3_Feed[[#Headers],[Category]], 0, 2)</f>
        <v>at market</v>
      </c>
      <c r="N148" s="30" t="str">
        <f>Table_SourceData_Scope3_Feed[[#This Row],[Product]]</f>
        <v>Pasture hay</v>
      </c>
      <c r="O148" s="30" t="str">
        <f>Table_SourceData_Scope3_Feed[[#This Row],[Region of origin]]</f>
        <v>SA</v>
      </c>
    </row>
    <row r="149" spans="1:16" ht="20.100000000000001" customHeight="1" x14ac:dyDescent="0.25">
      <c r="A149"/>
      <c r="D149" s="30" t="str" cm="1">
        <f t="array" ref="D149">Common_InputFunctions.Utility_DisplayArrayInTable(Scope3_SourceData.Scope3_Feed_Data(), Table_SourceData_Scope3_Feed[[#Headers],[Category]], 0, 2)</f>
        <v>Hay</v>
      </c>
      <c r="E149" s="30" t="str" cm="1">
        <f t="array" ref="E149">Common_InputFunctions.Utility_DisplayArrayInTable(Scope3_SourceData.Scope3_Feed_Data(), Table_SourceData_Scope3_Feed[[#Headers],[Category]], 0, 2)</f>
        <v>Pasture hay</v>
      </c>
      <c r="F149" s="30" t="str" cm="1">
        <f t="array" ref="F149">Common_InputFunctions.Utility_DisplayArrayInTable(Scope3_SourceData.Scope3_Feed_Data(), Table_SourceData_Scope3_Feed[[#Headers],[Category]], 0, 2)</f>
        <v>TAS</v>
      </c>
      <c r="G149" s="30" t="str" cm="1">
        <f t="array" ref="G149">Common_InputFunctions.Utility_DisplayArrayInTable(Scope3_SourceData.Scope3_Feed_Data(), Table_SourceData_Scope3_Feed[[#Headers],[Category]], 0, 2)</f>
        <v>kg</v>
      </c>
      <c r="H149" s="30" cm="1">
        <f t="array" ref="H149">Common_InputFunctions.Utility_DisplayArrayInTable(Scope3_SourceData.Scope3_Feed_Data(), Table_SourceData_Scope3_Feed[[#Headers],[Category]], 0, 2)</f>
        <v>0.39800000000000002</v>
      </c>
      <c r="I149" s="30" t="str" cm="1">
        <f t="array" ref="I149">Common_InputFunctions.Utility_DisplayArrayInTable(Scope3_SourceData.Scope3_Feed_Data(), Table_SourceData_Scope3_Feed[[#Headers],[Category]], 0, 2)</f>
        <v>at market</v>
      </c>
      <c r="N149" s="30" t="str">
        <f>Table_SourceData_Scope3_Feed[[#This Row],[Product]]</f>
        <v>Pasture hay</v>
      </c>
      <c r="O149" s="30" t="str">
        <f>Table_SourceData_Scope3_Feed[[#This Row],[Region of origin]]</f>
        <v>TAS</v>
      </c>
    </row>
    <row r="150" spans="1:16" ht="20.100000000000001" customHeight="1" x14ac:dyDescent="0.25">
      <c r="A150"/>
      <c r="D150" s="30" t="str" cm="1">
        <f t="array" ref="D150">Common_InputFunctions.Utility_DisplayArrayInTable(Scope3_SourceData.Scope3_Feed_Data(), Table_SourceData_Scope3_Feed[[#Headers],[Category]], 0, 2)</f>
        <v>Hay</v>
      </c>
      <c r="E150" s="30" t="str" cm="1">
        <f t="array" ref="E150">Common_InputFunctions.Utility_DisplayArrayInTable(Scope3_SourceData.Scope3_Feed_Data(), Table_SourceData_Scope3_Feed[[#Headers],[Category]], 0, 2)</f>
        <v>Pasture hay</v>
      </c>
      <c r="F150" s="30" t="str" cm="1">
        <f t="array" ref="F150">Common_InputFunctions.Utility_DisplayArrayInTable(Scope3_SourceData.Scope3_Feed_Data(), Table_SourceData_Scope3_Feed[[#Headers],[Category]], 0, 2)</f>
        <v>VIC</v>
      </c>
      <c r="G150" s="30" t="str" cm="1">
        <f t="array" ref="G150">Common_InputFunctions.Utility_DisplayArrayInTable(Scope3_SourceData.Scope3_Feed_Data(), Table_SourceData_Scope3_Feed[[#Headers],[Category]], 0, 2)</f>
        <v>kg</v>
      </c>
      <c r="H150" s="30" cm="1">
        <f t="array" ref="H150">Common_InputFunctions.Utility_DisplayArrayInTable(Scope3_SourceData.Scope3_Feed_Data(), Table_SourceData_Scope3_Feed[[#Headers],[Category]], 0, 2)</f>
        <v>0.34499999999999997</v>
      </c>
      <c r="I150" s="30" t="str" cm="1">
        <f t="array" ref="I150">Common_InputFunctions.Utility_DisplayArrayInTable(Scope3_SourceData.Scope3_Feed_Data(), Table_SourceData_Scope3_Feed[[#Headers],[Category]], 0, 2)</f>
        <v>at market</v>
      </c>
      <c r="N150" s="30" t="str">
        <f>Table_SourceData_Scope3_Feed[[#This Row],[Product]]</f>
        <v>Pasture hay</v>
      </c>
      <c r="O150" s="30" t="str">
        <f>Table_SourceData_Scope3_Feed[[#This Row],[Region of origin]]</f>
        <v>VIC</v>
      </c>
    </row>
    <row r="151" spans="1:16" ht="20.100000000000001" customHeight="1" x14ac:dyDescent="0.25">
      <c r="A151"/>
      <c r="D151" s="30" t="str" cm="1">
        <f t="array" ref="D151">Common_InputFunctions.Utility_DisplayArrayInTable(Scope3_SourceData.Scope3_Feed_Data(), Table_SourceData_Scope3_Feed[[#Headers],[Category]], 0, 2)</f>
        <v>Hay</v>
      </c>
      <c r="E151" s="30" t="str" cm="1">
        <f t="array" ref="E151">Common_InputFunctions.Utility_DisplayArrayInTable(Scope3_SourceData.Scope3_Feed_Data(), Table_SourceData_Scope3_Feed[[#Headers],[Category]], 0, 2)</f>
        <v>Pasture hay</v>
      </c>
      <c r="F151" s="30" t="str" cm="1">
        <f t="array" ref="F151">Common_InputFunctions.Utility_DisplayArrayInTable(Scope3_SourceData.Scope3_Feed_Data(), Table_SourceData_Scope3_Feed[[#Headers],[Category]], 0, 2)</f>
        <v>WA</v>
      </c>
      <c r="G151" s="30" t="str" cm="1">
        <f t="array" ref="G151">Common_InputFunctions.Utility_DisplayArrayInTable(Scope3_SourceData.Scope3_Feed_Data(), Table_SourceData_Scope3_Feed[[#Headers],[Category]], 0, 2)</f>
        <v>kg</v>
      </c>
      <c r="H151" s="30" cm="1">
        <f t="array" ref="H151">Common_InputFunctions.Utility_DisplayArrayInTable(Scope3_SourceData.Scope3_Feed_Data(), Table_SourceData_Scope3_Feed[[#Headers],[Category]], 0, 2)</f>
        <v>0.36799999999999999</v>
      </c>
      <c r="I151" s="30" t="str" cm="1">
        <f t="array" ref="I151">Common_InputFunctions.Utility_DisplayArrayInTable(Scope3_SourceData.Scope3_Feed_Data(), Table_SourceData_Scope3_Feed[[#Headers],[Category]], 0, 2)</f>
        <v>at market</v>
      </c>
      <c r="K151" s="266" t="s">
        <v>152</v>
      </c>
      <c r="L151" s="266" t="s">
        <v>377</v>
      </c>
      <c r="M151" s="1" t="str">
        <f>"Table_ProductRegions_" &amp; SUBSTITUTE(SUBSTITUTE(SUBSTITUTE(SUBSTITUTE(K152, " ", ""), ",", ""), "(", ""), ")", "")</f>
        <v>Table_ProductRegions_Canolameal</v>
      </c>
      <c r="N151" s="30" t="str">
        <f>Table_SourceData_Scope3_Feed[[#This Row],[Product]]</f>
        <v>Pasture hay</v>
      </c>
      <c r="O151" s="30" t="str">
        <f>Table_SourceData_Scope3_Feed[[#This Row],[Region of origin]]</f>
        <v>WA</v>
      </c>
    </row>
    <row r="152" spans="1:16" ht="20.100000000000001" customHeight="1" x14ac:dyDescent="0.25">
      <c r="A152"/>
      <c r="D152" s="30" t="str" cm="1">
        <f t="array" ref="D152">Common_InputFunctions.Utility_DisplayArrayInTable(Scope3_SourceData.Scope3_Feed_Data(), Table_SourceData_Scope3_Feed[[#Headers],[Category]], 0, 2)</f>
        <v>Meal</v>
      </c>
      <c r="E152" s="30" t="str" cm="1">
        <f t="array" ref="E152">Common_InputFunctions.Utility_DisplayArrayInTable(Scope3_SourceData.Scope3_Feed_Data(), Table_SourceData_Scope3_Feed[[#Headers],[Category]], 0, 2)</f>
        <v>Canola meal</v>
      </c>
      <c r="F152" s="30" t="str" cm="1">
        <f t="array" ref="F152">Common_InputFunctions.Utility_DisplayArrayInTable(Scope3_SourceData.Scope3_Feed_Data(), Table_SourceData_Scope3_Feed[[#Headers],[Category]], 0, 2)</f>
        <v>Australia</v>
      </c>
      <c r="G152" s="30" t="str" cm="1">
        <f t="array" ref="G152">Common_InputFunctions.Utility_DisplayArrayInTable(Scope3_SourceData.Scope3_Feed_Data(), Table_SourceData_Scope3_Feed[[#Headers],[Category]], 0, 2)</f>
        <v>kg</v>
      </c>
      <c r="H152" s="30" cm="1">
        <f t="array" ref="H152">Common_InputFunctions.Utility_DisplayArrayInTable(Scope3_SourceData.Scope3_Feed_Data(), Table_SourceData_Scope3_Feed[[#Headers],[Category]], 0, 2)</f>
        <v>0.24399999999999999</v>
      </c>
      <c r="I152" s="30" t="str" cm="1">
        <f t="array" ref="I152">Common_InputFunctions.Utility_DisplayArrayInTable(Scope3_SourceData.Scope3_Feed_Data(), Table_SourceData_Scope3_Feed[[#Headers],[Category]], 0, 2)</f>
        <v>at market</v>
      </c>
      <c r="K152" s="1" t="str">
        <f>Table_SourceData_Scope3_Feed[[#This Row],[Product]]</f>
        <v>Canola meal</v>
      </c>
      <c r="L152" s="1" t="str">
        <f>Table_SourceData_Scope3_Feed[[#This Row],[Region of origin]]</f>
        <v>Australia</v>
      </c>
      <c r="N152" s="30" t="s">
        <v>152</v>
      </c>
      <c r="O152" s="30" t="s">
        <v>377</v>
      </c>
      <c r="P152" s="1" t="str">
        <f>"Table_ProductRegions_" &amp; SUBSTITUTE(SUBSTITUTE(SUBSTITUTE(SUBSTITUTE(N153, " ", ""), ",", ""), "(", ""), ")", "")</f>
        <v>Table_ProductRegions_Meatmeal</v>
      </c>
    </row>
    <row r="153" spans="1:16" ht="20.100000000000001" customHeight="1" x14ac:dyDescent="0.25">
      <c r="A153"/>
      <c r="D153" s="30" t="str" cm="1">
        <f t="array" ref="D153">Common_InputFunctions.Utility_DisplayArrayInTable(Scope3_SourceData.Scope3_Feed_Data(), Table_SourceData_Scope3_Feed[[#Headers],[Category]], 0, 2)</f>
        <v>Meal</v>
      </c>
      <c r="E153" s="30" t="str" cm="1">
        <f t="array" ref="E153">Common_InputFunctions.Utility_DisplayArrayInTable(Scope3_SourceData.Scope3_Feed_Data(), Table_SourceData_Scope3_Feed[[#Headers],[Category]], 0, 2)</f>
        <v>Meat meal</v>
      </c>
      <c r="F153" s="30" t="str" cm="1">
        <f t="array" ref="F153">Common_InputFunctions.Utility_DisplayArrayInTable(Scope3_SourceData.Scope3_Feed_Data(), Table_SourceData_Scope3_Feed[[#Headers],[Category]], 0, 2)</f>
        <v>Australia</v>
      </c>
      <c r="G153" s="30" t="str" cm="1">
        <f t="array" ref="G153">Common_InputFunctions.Utility_DisplayArrayInTable(Scope3_SourceData.Scope3_Feed_Data(), Table_SourceData_Scope3_Feed[[#Headers],[Category]], 0, 2)</f>
        <v>kg</v>
      </c>
      <c r="H153" s="30" cm="1">
        <f t="array" ref="H153">Common_InputFunctions.Utility_DisplayArrayInTable(Scope3_SourceData.Scope3_Feed_Data(), Table_SourceData_Scope3_Feed[[#Headers],[Category]], 0, 2)</f>
        <v>0.40799999999999997</v>
      </c>
      <c r="I153" s="30" t="str" cm="1">
        <f t="array" ref="I153">Common_InputFunctions.Utility_DisplayArrayInTable(Scope3_SourceData.Scope3_Feed_Data(), Table_SourceData_Scope3_Feed[[#Headers],[Category]], 0, 2)</f>
        <v>at market</v>
      </c>
      <c r="K153" s="30" t="s">
        <v>152</v>
      </c>
      <c r="L153" s="30" t="s">
        <v>377</v>
      </c>
      <c r="M153" s="1" t="str">
        <f>"Table_ProductRegions_" &amp; SUBSTITUTE(SUBSTITUTE(SUBSTITUTE(SUBSTITUTE(K154, " ", ""), ",", ""), "(", ""), ")", "")</f>
        <v>Table_ProductRegions_Soybeanmeal</v>
      </c>
      <c r="N153" s="30" t="str">
        <f>Table_SourceData_Scope3_Feed[[#This Row],[Product]]</f>
        <v>Meat meal</v>
      </c>
      <c r="O153" s="30" t="str">
        <f>Table_SourceData_Scope3_Feed[[#This Row],[Region of origin]]</f>
        <v>Australia</v>
      </c>
    </row>
    <row r="154" spans="1:16" ht="20.100000000000001" customHeight="1" x14ac:dyDescent="0.25">
      <c r="A154"/>
      <c r="D154" s="30" t="str" cm="1">
        <f t="array" ref="D154">Common_InputFunctions.Utility_DisplayArrayInTable(Scope3_SourceData.Scope3_Feed_Data(), Table_SourceData_Scope3_Feed[[#Headers],[Category]], 0, 2)</f>
        <v>Meal</v>
      </c>
      <c r="E154" s="30" t="str" cm="1">
        <f t="array" ref="E154">Common_InputFunctions.Utility_DisplayArrayInTable(Scope3_SourceData.Scope3_Feed_Data(), Table_SourceData_Scope3_Feed[[#Headers],[Category]], 0, 2)</f>
        <v>Soybean meal</v>
      </c>
      <c r="F154" s="30" t="str" cm="1">
        <f t="array" ref="F154">Common_InputFunctions.Utility_DisplayArrayInTable(Scope3_SourceData.Scope3_Feed_Data(), Table_SourceData_Scope3_Feed[[#Headers],[Category]], 0, 2)</f>
        <v>Brazil</v>
      </c>
      <c r="G154" s="30" t="str" cm="1">
        <f t="array" ref="G154">Common_InputFunctions.Utility_DisplayArrayInTable(Scope3_SourceData.Scope3_Feed_Data(), Table_SourceData_Scope3_Feed[[#Headers],[Category]], 0, 2)</f>
        <v>kg</v>
      </c>
      <c r="H154" s="30" cm="1">
        <f t="array" ref="H154">Common_InputFunctions.Utility_DisplayArrayInTable(Scope3_SourceData.Scope3_Feed_Data(), Table_SourceData_Scope3_Feed[[#Headers],[Category]], 0, 2)</f>
        <v>0.42599999999999999</v>
      </c>
      <c r="I154" s="30" t="str" cm="1">
        <f t="array" ref="I154">Common_InputFunctions.Utility_DisplayArrayInTable(Scope3_SourceData.Scope3_Feed_Data(), Table_SourceData_Scope3_Feed[[#Headers],[Category]], 0, 2)</f>
        <v>at market</v>
      </c>
      <c r="K154" s="30" t="str">
        <f>Table_SourceData_Scope3_Feed[[#This Row],[Product]]</f>
        <v>Soybean meal</v>
      </c>
      <c r="L154" s="30" t="str">
        <f>Table_SourceData_Scope3_Feed[[#This Row],[Region of origin]]</f>
        <v>Brazil</v>
      </c>
      <c r="N154" s="30" t="s">
        <v>152</v>
      </c>
      <c r="O154" s="30" t="s">
        <v>377</v>
      </c>
      <c r="P154" s="1" t="str">
        <f>"Table_ProductRegions_" &amp; SUBSTITUTE(SUBSTITUTE(SUBSTITUTE(SUBSTITUTE(N155, " ", ""), ",", ""), "(", ""), ")", "")</f>
        <v>Table_ProductRegions_Wheatbran</v>
      </c>
    </row>
    <row r="155" spans="1:16" ht="20.100000000000001" customHeight="1" x14ac:dyDescent="0.25">
      <c r="A155"/>
      <c r="D155" s="30" t="str" cm="1">
        <f t="array" ref="D155">Common_InputFunctions.Utility_DisplayArrayInTable(Scope3_SourceData.Scope3_Feed_Data(), Table_SourceData_Scope3_Feed[[#Headers],[Category]], 0, 2)</f>
        <v>Meal</v>
      </c>
      <c r="E155" s="30" t="str" cm="1">
        <f t="array" ref="E155">Common_InputFunctions.Utility_DisplayArrayInTable(Scope3_SourceData.Scope3_Feed_Data(), Table_SourceData_Scope3_Feed[[#Headers],[Category]], 0, 2)</f>
        <v>Wheat bran</v>
      </c>
      <c r="F155" s="30" t="str" cm="1">
        <f t="array" ref="F155">Common_InputFunctions.Utility_DisplayArrayInTable(Scope3_SourceData.Scope3_Feed_Data(), Table_SourceData_Scope3_Feed[[#Headers],[Category]], 0, 2)</f>
        <v>Australia</v>
      </c>
      <c r="G155" s="30" t="str" cm="1">
        <f t="array" ref="G155">Common_InputFunctions.Utility_DisplayArrayInTable(Scope3_SourceData.Scope3_Feed_Data(), Table_SourceData_Scope3_Feed[[#Headers],[Category]], 0, 2)</f>
        <v>kg</v>
      </c>
      <c r="H155" s="30" cm="1">
        <f t="array" ref="H155">Common_InputFunctions.Utility_DisplayArrayInTable(Scope3_SourceData.Scope3_Feed_Data(), Table_SourceData_Scope3_Feed[[#Headers],[Category]], 0, 2)</f>
        <v>0.19600000000000001</v>
      </c>
      <c r="I155" s="30" t="str" cm="1">
        <f t="array" ref="I155">Common_InputFunctions.Utility_DisplayArrayInTable(Scope3_SourceData.Scope3_Feed_Data(), Table_SourceData_Scope3_Feed[[#Headers],[Category]], 0, 2)</f>
        <v>at market</v>
      </c>
      <c r="K155" s="30" t="s">
        <v>152</v>
      </c>
      <c r="L155" s="30" t="s">
        <v>377</v>
      </c>
      <c r="M155" s="1" t="str">
        <f>"Table_ProductRegions_" &amp; SUBSTITUTE(SUBSTITUTE(SUBSTITUTE(SUBSTITUTE(K156, " ", ""), ",", ""), "(", ""), ")", "")</f>
        <v>Table_ProductRegions_Bentonite</v>
      </c>
      <c r="N155" s="30" t="str">
        <f>Table_SourceData_Scope3_Feed[[#This Row],[Product]]</f>
        <v>Wheat bran</v>
      </c>
      <c r="O155" s="30" t="str">
        <f>Table_SourceData_Scope3_Feed[[#This Row],[Region of origin]]</f>
        <v>Australia</v>
      </c>
    </row>
    <row r="156" spans="1:16" ht="20.100000000000001" customHeight="1" x14ac:dyDescent="0.25">
      <c r="A156"/>
      <c r="D156" s="1" t="str" cm="1">
        <f t="array" ref="D156">Common_InputFunctions.Utility_DisplayArrayInTable(Scope3_SourceData.Scope3_Feed_Data(), Table_SourceData_Scope3_Feed[[#Headers],[Category]], -4, 2)</f>
        <v>Other</v>
      </c>
      <c r="E156" s="1" t="str" cm="1">
        <f t="array" ref="E156">Common_InputFunctions.Utility_DisplayArrayInTable(Scope3_SourceData.Scope3_Feed_Data(), Table_SourceData_Scope3_Feed[[#Headers],[Category]], -4, 2)</f>
        <v>Bentonite</v>
      </c>
      <c r="F156" s="1" t="str" cm="1">
        <f t="array" ref="F156">Common_InputFunctions.Utility_DisplayArrayInTable(Scope3_SourceData.Scope3_Feed_Data(), Table_SourceData_Scope3_Feed[[#Headers],[Category]], -4, 2)</f>
        <v>Australia</v>
      </c>
      <c r="G156" s="1" t="str" cm="1">
        <f t="array" ref="G156">Common_InputFunctions.Utility_DisplayArrayInTable(Scope3_SourceData.Scope3_Feed_Data(), Table_SourceData_Scope3_Feed[[#Headers],[Category]], -4, 2)</f>
        <v>kg</v>
      </c>
      <c r="H156" s="1" cm="1">
        <f t="array" ref="H156">Common_InputFunctions.Utility_DisplayArrayInTable(Scope3_SourceData.Scope3_Feed_Data(), Table_SourceData_Scope3_Feed[[#Headers],[Category]], -4, 2)</f>
        <v>6.5199999999999994E-2</v>
      </c>
      <c r="I156" s="1" t="str" cm="1">
        <f t="array" ref="I156">Common_InputFunctions.Utility_DisplayArrayInTable(Scope3_SourceData.Scope3_Feed_Data(), Table_SourceData_Scope3_Feed[[#Headers],[Category]], -4, 2)</f>
        <v>at market</v>
      </c>
      <c r="K156" s="30" t="str">
        <f>Table_SourceData_Scope3_Feed[[#This Row],[Product]]</f>
        <v>Bentonite</v>
      </c>
      <c r="L156" s="30" t="str">
        <f>Table_SourceData_Scope3_Feed[[#This Row],[Region of origin]]</f>
        <v>Australia</v>
      </c>
      <c r="N156" s="30" t="s">
        <v>152</v>
      </c>
      <c r="O156" s="30" t="s">
        <v>377</v>
      </c>
      <c r="P156" s="1" t="str">
        <f>"Table_ProductRegions_" &amp; SUBSTITUTE(SUBSTITUTE(SUBSTITUTE(SUBSTITUTE(N157, " ", ""), ",", ""), "(", ""), ")", "")</f>
        <v>Table_ProductRegions_Canolaoil</v>
      </c>
    </row>
    <row r="157" spans="1:16" ht="20.100000000000001" customHeight="1" x14ac:dyDescent="0.25">
      <c r="A157"/>
      <c r="D157" s="1" t="str" cm="1">
        <f t="array" ref="D157">Common_InputFunctions.Utility_DisplayArrayInTable(Scope3_SourceData.Scope3_Feed_Data(), Table_SourceData_Scope3_Feed[[#Headers],[Category]], -4, 2)</f>
        <v>Other</v>
      </c>
      <c r="E157" s="1" t="str" cm="1">
        <f t="array" ref="E157">Common_InputFunctions.Utility_DisplayArrayInTable(Scope3_SourceData.Scope3_Feed_Data(), Table_SourceData_Scope3_Feed[[#Headers],[Category]], -4, 2)</f>
        <v>Canola oil</v>
      </c>
      <c r="F157" s="1" t="str" cm="1">
        <f t="array" ref="F157">Common_InputFunctions.Utility_DisplayArrayInTable(Scope3_SourceData.Scope3_Feed_Data(), Table_SourceData_Scope3_Feed[[#Headers],[Category]], -4, 2)</f>
        <v>Australia</v>
      </c>
      <c r="G157" s="1" t="str" cm="1">
        <f t="array" ref="G157">Common_InputFunctions.Utility_DisplayArrayInTable(Scope3_SourceData.Scope3_Feed_Data(), Table_SourceData_Scope3_Feed[[#Headers],[Category]], -4, 2)</f>
        <v>kg</v>
      </c>
      <c r="H157" s="1" cm="1">
        <f t="array" ref="H157">Common_InputFunctions.Utility_DisplayArrayInTable(Scope3_SourceData.Scope3_Feed_Data(), Table_SourceData_Scope3_Feed[[#Headers],[Category]], -4, 2)</f>
        <v>0.87</v>
      </c>
      <c r="I157" s="1" t="str" cm="1">
        <f t="array" ref="I157">Common_InputFunctions.Utility_DisplayArrayInTable(Scope3_SourceData.Scope3_Feed_Data(), Table_SourceData_Scope3_Feed[[#Headers],[Category]], -4, 2)</f>
        <v>at market</v>
      </c>
      <c r="K157" s="30" t="s">
        <v>152</v>
      </c>
      <c r="L157" s="30" t="s">
        <v>377</v>
      </c>
      <c r="M157" s="1" t="str">
        <f>"Table_ProductRegions_" &amp; SUBSTITUTE(SUBSTITUTE(SUBSTITUTE(SUBSTITUTE(K158, " ", ""), ",", ""), "(", ""), ")", "")</f>
        <v>Table_ProductRegions_Cottonseed</v>
      </c>
      <c r="N157" s="30" t="str">
        <f>Table_SourceData_Scope3_Feed[[#This Row],[Product]]</f>
        <v>Canola oil</v>
      </c>
      <c r="O157" s="30" t="str">
        <f>Table_SourceData_Scope3_Feed[[#This Row],[Region of origin]]</f>
        <v>Australia</v>
      </c>
    </row>
    <row r="158" spans="1:16" ht="20.100000000000001" customHeight="1" x14ac:dyDescent="0.25">
      <c r="A158"/>
      <c r="D158" s="1" t="str" cm="1">
        <f t="array" ref="D158">Common_InputFunctions.Utility_DisplayArrayInTable(Scope3_SourceData.Scope3_Feed_Data(), Table_SourceData_Scope3_Feed[[#Headers],[Category]], -4, 2)</f>
        <v>Other</v>
      </c>
      <c r="E158" s="1" t="str" cm="1">
        <f t="array" ref="E158">Common_InputFunctions.Utility_DisplayArrayInTable(Scope3_SourceData.Scope3_Feed_Data(), Table_SourceData_Scope3_Feed[[#Headers],[Category]], -4, 2)</f>
        <v>Cotton seed</v>
      </c>
      <c r="F158" s="1" t="str" cm="1">
        <f t="array" ref="F158">Common_InputFunctions.Utility_DisplayArrayInTable(Scope3_SourceData.Scope3_Feed_Data(), Table_SourceData_Scope3_Feed[[#Headers],[Category]], -4, 2)</f>
        <v>Australia</v>
      </c>
      <c r="G158" s="1" t="str" cm="1">
        <f t="array" ref="G158">Common_InputFunctions.Utility_DisplayArrayInTable(Scope3_SourceData.Scope3_Feed_Data(), Table_SourceData_Scope3_Feed[[#Headers],[Category]], -4, 2)</f>
        <v>kg</v>
      </c>
      <c r="H158" s="1" cm="1">
        <f t="array" ref="H158">Common_InputFunctions.Utility_DisplayArrayInTable(Scope3_SourceData.Scope3_Feed_Data(), Table_SourceData_Scope3_Feed[[#Headers],[Category]], -4, 2)</f>
        <v>0.19700000000000001</v>
      </c>
      <c r="I158" s="1" t="str" cm="1">
        <f t="array" ref="I158">Common_InputFunctions.Utility_DisplayArrayInTable(Scope3_SourceData.Scope3_Feed_Data(), Table_SourceData_Scope3_Feed[[#Headers],[Category]], -4, 2)</f>
        <v>at market</v>
      </c>
      <c r="K158" s="30" t="str">
        <f>Table_SourceData_Scope3_Feed[[#This Row],[Product]]</f>
        <v>Cotton seed</v>
      </c>
      <c r="L158" s="30" t="str">
        <f>Table_SourceData_Scope3_Feed[[#This Row],[Region of origin]]</f>
        <v>Australia</v>
      </c>
      <c r="N158" s="30" t="s">
        <v>152</v>
      </c>
      <c r="O158" s="30" t="s">
        <v>377</v>
      </c>
      <c r="P158" s="1" t="str">
        <f>"Table_ProductRegions_" &amp; SUBSTITUTE(SUBSTITUTE(SUBSTITUTE(SUBSTITUTE(N159, " ", ""), ",", ""), "(", ""), ")", "")</f>
        <v>Table_ProductRegions_Molasses</v>
      </c>
    </row>
    <row r="159" spans="1:16" ht="20.100000000000001" customHeight="1" x14ac:dyDescent="0.25">
      <c r="A159"/>
      <c r="D159" s="1" t="str" cm="1">
        <f t="array" ref="D159">Common_InputFunctions.Utility_DisplayArrayInTable(Scope3_SourceData.Scope3_Feed_Data(), Table_SourceData_Scope3_Feed[[#Headers],[Category]], -7, 2)</f>
        <v>Other</v>
      </c>
      <c r="E159" s="1" t="str" cm="1">
        <f t="array" ref="E159">Common_InputFunctions.Utility_DisplayArrayInTable(Scope3_SourceData.Scope3_Feed_Data(), Table_SourceData_Scope3_Feed[[#Headers],[Category]], -7, 2)</f>
        <v>Molasses</v>
      </c>
      <c r="F159" s="1" t="str" cm="1">
        <f t="array" ref="F159">Common_InputFunctions.Utility_DisplayArrayInTable(Scope3_SourceData.Scope3_Feed_Data(), Table_SourceData_Scope3_Feed[[#Headers],[Category]], -7, 2)</f>
        <v>QLD</v>
      </c>
      <c r="G159" s="1" t="str" cm="1">
        <f t="array" ref="G159">Common_InputFunctions.Utility_DisplayArrayInTable(Scope3_SourceData.Scope3_Feed_Data(), Table_SourceData_Scope3_Feed[[#Headers],[Category]], -7, 2)</f>
        <v>kg</v>
      </c>
      <c r="H159" s="1" cm="1">
        <f t="array" ref="H159">Common_InputFunctions.Utility_DisplayArrayInTable(Scope3_SourceData.Scope3_Feed_Data(), Table_SourceData_Scope3_Feed[[#Headers],[Category]], -7, 2)</f>
        <v>0.184</v>
      </c>
      <c r="I159" s="1" t="str" cm="1">
        <f t="array" ref="I159">Common_InputFunctions.Utility_DisplayArrayInTable(Scope3_SourceData.Scope3_Feed_Data(), Table_SourceData_Scope3_Feed[[#Headers],[Category]], -7, 2)</f>
        <v>at market</v>
      </c>
      <c r="N159" s="30" t="str">
        <f>Table_SourceData_Scope3_Feed[[#This Row],[Product]]</f>
        <v>Molasses</v>
      </c>
      <c r="O159" s="30" t="str">
        <f>Table_SourceData_Scope3_Feed[[#This Row],[Region of origin]]</f>
        <v>QLD</v>
      </c>
    </row>
    <row r="160" spans="1:16" ht="20.100000000000001" customHeight="1" x14ac:dyDescent="0.25">
      <c r="A160"/>
    </row>
    <row r="161" spans="4:13" ht="20.100000000000001" customHeight="1" x14ac:dyDescent="0.25">
      <c r="D161" s="30" t="s">
        <v>452</v>
      </c>
      <c r="E161" s="30" t="s">
        <v>152</v>
      </c>
      <c r="F161" s="30" t="s">
        <v>453</v>
      </c>
      <c r="G161" s="30" t="s">
        <v>454</v>
      </c>
      <c r="H161" s="30" t="s">
        <v>455</v>
      </c>
      <c r="I161" s="30" t="s">
        <v>456</v>
      </c>
    </row>
    <row r="162" spans="4:13" ht="20.100000000000001" customHeight="1" x14ac:dyDescent="0.25">
      <c r="D162" s="30" t="str" cm="1">
        <f t="array" ref="D162">Common_InputFunctions.Utility_DisplayArrayInTable(Scope3_SourceData.Scope3_Feed_Data(), Table_SourceData_Scope3_MixedRations[[#Headers],[Category]], -66, 2)</f>
        <v>Mixed rations</v>
      </c>
      <c r="E162" s="30" t="str" cm="1">
        <f t="array" ref="E162">Common_InputFunctions.Utility_DisplayArrayInTable(Scope3_SourceData.Scope3_Feed_Data(), Table_SourceData_Scope3_MixedRations[[#Headers],[Category]], -66, 2)</f>
        <v>Feed for chickens</v>
      </c>
      <c r="F162" s="30" t="str" cm="1">
        <f t="array" ref="F162">Common_InputFunctions.Utility_DisplayArrayInTable(Scope3_SourceData.Scope3_Feed_Data(), Table_SourceData_Scope3_MixedRations[[#Headers],[Category]], -66, 2)</f>
        <v>Australia</v>
      </c>
      <c r="G162" s="30" t="str" cm="1">
        <f t="array" ref="G162">Common_InputFunctions.Utility_DisplayArrayInTable(Scope3_SourceData.Scope3_Feed_Data(), Table_SourceData_Scope3_MixedRations[[#Headers],[Category]], -66, 2)</f>
        <v>kg</v>
      </c>
      <c r="H162" s="30" cm="1">
        <f t="array" ref="H162">Common_InputFunctions.Utility_DisplayArrayInTable(Scope3_SourceData.Scope3_Feed_Data(), Table_SourceData_Scope3_MixedRations[[#Headers],[Category]], -66, 2)</f>
        <v>0.59399999999999997</v>
      </c>
      <c r="I162" s="30" t="str" cm="1">
        <f t="array" ref="I162">Common_InputFunctions.Utility_DisplayArrayInTable(Scope3_SourceData.Scope3_Feed_Data(), Table_SourceData_Scope3_MixedRations[[#Headers],[Category]], -66, 2)</f>
        <v>at market</v>
      </c>
    </row>
    <row r="163" spans="4:13" ht="20.100000000000001" customHeight="1" x14ac:dyDescent="0.25">
      <c r="D163" s="30" t="str" cm="1">
        <f t="array" ref="D163">Common_InputFunctions.Utility_DisplayArrayInTable(Scope3_SourceData.Scope3_Feed_Data(), Table_SourceData_Scope3_MixedRations[[#Headers],[Category]], -66, 2)</f>
        <v>Mixed rations</v>
      </c>
      <c r="E163" s="30" t="str" cm="1">
        <f t="array" ref="E163">Common_InputFunctions.Utility_DisplayArrayInTable(Scope3_SourceData.Scope3_Feed_Data(), Table_SourceData_Scope3_MixedRations[[#Headers],[Category]], -66, 2)</f>
        <v>Feed for dairy calves</v>
      </c>
      <c r="F163" s="30" t="str" cm="1">
        <f t="array" ref="F163">Common_InputFunctions.Utility_DisplayArrayInTable(Scope3_SourceData.Scope3_Feed_Data(), Table_SourceData_Scope3_MixedRations[[#Headers],[Category]], -66, 2)</f>
        <v>Australia</v>
      </c>
      <c r="G163" s="30" t="str" cm="1">
        <f t="array" ref="G163">Common_InputFunctions.Utility_DisplayArrayInTable(Scope3_SourceData.Scope3_Feed_Data(), Table_SourceData_Scope3_MixedRations[[#Headers],[Category]], -66, 2)</f>
        <v>kg</v>
      </c>
      <c r="H163" s="30" cm="1">
        <f t="array" ref="H163">Common_InputFunctions.Utility_DisplayArrayInTable(Scope3_SourceData.Scope3_Feed_Data(), Table_SourceData_Scope3_MixedRations[[#Headers],[Category]], -66, 2)</f>
        <v>0.41899999999999998</v>
      </c>
      <c r="I163" s="30" t="str" cm="1">
        <f t="array" ref="I163">Common_InputFunctions.Utility_DisplayArrayInTable(Scope3_SourceData.Scope3_Feed_Data(), Table_SourceData_Scope3_MixedRations[[#Headers],[Category]], -66, 2)</f>
        <v>at market</v>
      </c>
    </row>
    <row r="164" spans="4:13" ht="20.100000000000001" customHeight="1" x14ac:dyDescent="0.25">
      <c r="D164" s="30" t="str" cm="1">
        <f t="array" ref="D164">Common_InputFunctions.Utility_DisplayArrayInTable(Scope3_SourceData.Scope3_Feed_Data(), Table_SourceData_Scope3_MixedRations[[#Headers],[Category]], -66, 2)</f>
        <v>Mixed rations</v>
      </c>
      <c r="E164" s="30" t="str" cm="1">
        <f t="array" ref="E164">Common_InputFunctions.Utility_DisplayArrayInTable(Scope3_SourceData.Scope3_Feed_Data(), Table_SourceData_Scope3_MixedRations[[#Headers],[Category]], -66, 2)</f>
        <v>Feed for dairy cows</v>
      </c>
      <c r="F164" s="30" t="str" cm="1">
        <f t="array" ref="F164">Common_InputFunctions.Utility_DisplayArrayInTable(Scope3_SourceData.Scope3_Feed_Data(), Table_SourceData_Scope3_MixedRations[[#Headers],[Category]], -66, 2)</f>
        <v>Australia</v>
      </c>
      <c r="G164" s="30" t="str" cm="1">
        <f t="array" ref="G164">Common_InputFunctions.Utility_DisplayArrayInTable(Scope3_SourceData.Scope3_Feed_Data(), Table_SourceData_Scope3_MixedRations[[#Headers],[Category]], -66, 2)</f>
        <v>kg</v>
      </c>
      <c r="H164" s="30" cm="1">
        <f t="array" ref="H164">Common_InputFunctions.Utility_DisplayArrayInTable(Scope3_SourceData.Scope3_Feed_Data(), Table_SourceData_Scope3_MixedRations[[#Headers],[Category]], -66, 2)</f>
        <v>0.33300000000000002</v>
      </c>
      <c r="I164" s="30" t="str" cm="1">
        <f t="array" ref="I164">Common_InputFunctions.Utility_DisplayArrayInTable(Scope3_SourceData.Scope3_Feed_Data(), Table_SourceData_Scope3_MixedRations[[#Headers],[Category]], -66, 2)</f>
        <v>at market</v>
      </c>
    </row>
    <row r="165" spans="4:13" ht="20.100000000000001" customHeight="1" x14ac:dyDescent="0.25">
      <c r="D165" s="30" t="str" cm="1">
        <f t="array" ref="D165">Common_InputFunctions.Utility_DisplayArrayInTable(Scope3_SourceData.Scope3_Feed_Data(), Table_SourceData_Scope3_MixedRations[[#Headers],[Category]], -66, 2)</f>
        <v>Mixed rations</v>
      </c>
      <c r="E165" s="30" t="str" cm="1">
        <f t="array" ref="E165">Common_InputFunctions.Utility_DisplayArrayInTable(Scope3_SourceData.Scope3_Feed_Data(), Table_SourceData_Scope3_MixedRations[[#Headers],[Category]], -66, 2)</f>
        <v>Feed for pigs</v>
      </c>
      <c r="F165" s="30" t="str" cm="1">
        <f t="array" ref="F165">Common_InputFunctions.Utility_DisplayArrayInTable(Scope3_SourceData.Scope3_Feed_Data(), Table_SourceData_Scope3_MixedRations[[#Headers],[Category]], -66, 2)</f>
        <v>Australia</v>
      </c>
      <c r="G165" s="30" t="str" cm="1">
        <f t="array" ref="G165">Common_InputFunctions.Utility_DisplayArrayInTable(Scope3_SourceData.Scope3_Feed_Data(), Table_SourceData_Scope3_MixedRations[[#Headers],[Category]], -66, 2)</f>
        <v>kg</v>
      </c>
      <c r="H165" s="30" cm="1">
        <f t="array" ref="H165">Common_InputFunctions.Utility_DisplayArrayInTable(Scope3_SourceData.Scope3_Feed_Data(), Table_SourceData_Scope3_MixedRations[[#Headers],[Category]], -66, 2)</f>
        <v>0.40300000000000002</v>
      </c>
      <c r="I165" s="3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30" t="s">
        <v>452</v>
      </c>
      <c r="E167" s="30" t="s">
        <v>152</v>
      </c>
      <c r="F167" s="30" t="s">
        <v>453</v>
      </c>
      <c r="G167" s="30" t="s">
        <v>454</v>
      </c>
      <c r="H167" s="30" t="s">
        <v>455</v>
      </c>
      <c r="I167" s="30" t="s">
        <v>456</v>
      </c>
    </row>
    <row r="168" spans="4:13" ht="20.100000000000001" customHeight="1" x14ac:dyDescent="0.25">
      <c r="D168" s="30" t="str" cm="1">
        <f t="array" ref="D168">Common_InputFunctions.Utility_DisplayArrayInTable(Scope3_SourceData.Scope3_Feed_Data(), Table_SourceData_Scope3_LickBlocks[[#Headers],[Category]], -73, 2)</f>
        <v>Other</v>
      </c>
      <c r="E168" s="30" t="str" cm="1">
        <f t="array" ref="E168">Common_InputFunctions.Utility_DisplayArrayInTable(Scope3_SourceData.Scope3_Feed_Data(), Table_SourceData_Scope3_LickBlocks[[#Headers],[Category]], -73, 2)</f>
        <v>Lick block, dry season mix</v>
      </c>
      <c r="F168" s="30" t="str" cm="1">
        <f t="array" ref="F168">Common_InputFunctions.Utility_DisplayArrayInTable(Scope3_SourceData.Scope3_Feed_Data(), Table_SourceData_Scope3_LickBlocks[[#Headers],[Category]], -73, 2)</f>
        <v>Australia</v>
      </c>
      <c r="G168" s="30" t="str" cm="1">
        <f t="array" ref="G168">Common_InputFunctions.Utility_DisplayArrayInTable(Scope3_SourceData.Scope3_Feed_Data(), Table_SourceData_Scope3_LickBlocks[[#Headers],[Category]], -73, 2)</f>
        <v>kg</v>
      </c>
      <c r="H168" s="30" cm="1">
        <f t="array" ref="H168">Common_InputFunctions.Utility_DisplayArrayInTable(Scope3_SourceData.Scope3_Feed_Data(), Table_SourceData_Scope3_LickBlocks[[#Headers],[Category]], -73, 2)</f>
        <v>0.88100000000000001</v>
      </c>
      <c r="I168" s="30" t="str" cm="1">
        <f t="array" ref="I168">Common_InputFunctions.Utility_DisplayArrayInTable(Scope3_SourceData.Scope3_Feed_Data(), Table_SourceData_Scope3_LickBlocks[[#Headers],[Category]], -73, 2)</f>
        <v>at market</v>
      </c>
    </row>
    <row r="169" spans="4:13" ht="20.100000000000001" customHeight="1" x14ac:dyDescent="0.25">
      <c r="D169" s="30" t="str" cm="1">
        <f t="array" ref="D169">Common_InputFunctions.Utility_DisplayArrayInTable(Scope3_SourceData.Scope3_Feed_Data(), Table_SourceData_Scope3_LickBlocks[[#Headers],[Category]], -73, 2)</f>
        <v>Other</v>
      </c>
      <c r="E169" s="30" t="str" cm="1">
        <f t="array" ref="E169">Common_InputFunctions.Utility_DisplayArrayInTable(Scope3_SourceData.Scope3_Feed_Data(), Table_SourceData_Scope3_LickBlocks[[#Headers],[Category]], -73, 2)</f>
        <v>Lick block, mineral</v>
      </c>
      <c r="F169" s="30" t="str" cm="1">
        <f t="array" ref="F169">Common_InputFunctions.Utility_DisplayArrayInTable(Scope3_SourceData.Scope3_Feed_Data(), Table_SourceData_Scope3_LickBlocks[[#Headers],[Category]], -73, 2)</f>
        <v>Australia</v>
      </c>
      <c r="G169" s="30" t="str" cm="1">
        <f t="array" ref="G169">Common_InputFunctions.Utility_DisplayArrayInTable(Scope3_SourceData.Scope3_Feed_Data(), Table_SourceData_Scope3_LickBlocks[[#Headers],[Category]], -73, 2)</f>
        <v>kg</v>
      </c>
      <c r="H169" s="30" cm="1">
        <f t="array" ref="H169">Common_InputFunctions.Utility_DisplayArrayInTable(Scope3_SourceData.Scope3_Feed_Data(), Table_SourceData_Scope3_LickBlocks[[#Headers],[Category]], -73, 2)</f>
        <v>0.67700000000000005</v>
      </c>
      <c r="I169" s="30" t="str" cm="1">
        <f t="array" ref="I169">Common_InputFunctions.Utility_DisplayArrayInTable(Scope3_SourceData.Scope3_Feed_Data(), Table_SourceData_Scope3_LickBlocks[[#Headers],[Category]], -73, 2)</f>
        <v>at market</v>
      </c>
    </row>
    <row r="170" spans="4:13" ht="20.100000000000001" customHeight="1" x14ac:dyDescent="0.25">
      <c r="D170" s="30" t="str" cm="1">
        <f t="array" ref="D170">Common_InputFunctions.Utility_DisplayArrayInTable(Scope3_SourceData.Scope3_Feed_Data(), Table_SourceData_Scope3_LickBlocks[[#Headers],[Category]], -73, 2)</f>
        <v>Other</v>
      </c>
      <c r="E170" s="30" t="str" cm="1">
        <f t="array" ref="E170">Common_InputFunctions.Utility_DisplayArrayInTable(Scope3_SourceData.Scope3_Feed_Data(), Table_SourceData_Scope3_LickBlocks[[#Headers],[Category]], -73, 2)</f>
        <v>Lick block, weaner</v>
      </c>
      <c r="F170" s="30" t="str" cm="1">
        <f t="array" ref="F170">Common_InputFunctions.Utility_DisplayArrayInTable(Scope3_SourceData.Scope3_Feed_Data(), Table_SourceData_Scope3_LickBlocks[[#Headers],[Category]], -73, 2)</f>
        <v>Australia</v>
      </c>
      <c r="G170" s="30" t="str" cm="1">
        <f t="array" ref="G170">Common_InputFunctions.Utility_DisplayArrayInTable(Scope3_SourceData.Scope3_Feed_Data(), Table_SourceData_Scope3_LickBlocks[[#Headers],[Category]], -73, 2)</f>
        <v>kg</v>
      </c>
      <c r="H170" s="30" cm="1">
        <f t="array" ref="H170">Common_InputFunctions.Utility_DisplayArrayInTable(Scope3_SourceData.Scope3_Feed_Data(), Table_SourceData_Scope3_LickBlocks[[#Headers],[Category]], -73, 2)</f>
        <v>0.23100000000000001</v>
      </c>
      <c r="I170" s="3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2" t="s">
        <v>1186</v>
      </c>
    </row>
    <row r="173" spans="4:13" ht="20.100000000000001" customHeight="1" x14ac:dyDescent="0.25">
      <c r="D173" s="30" t="s">
        <v>452</v>
      </c>
      <c r="E173" s="30" t="s">
        <v>152</v>
      </c>
      <c r="F173" s="30" t="s">
        <v>453</v>
      </c>
      <c r="G173" s="30" t="s">
        <v>592</v>
      </c>
      <c r="H173" s="30" t="s">
        <v>490</v>
      </c>
      <c r="I173" s="30" t="s">
        <v>491</v>
      </c>
      <c r="J173" s="30" t="s">
        <v>1187</v>
      </c>
      <c r="K173" s="30" t="s">
        <v>454</v>
      </c>
      <c r="L173" s="30" t="s">
        <v>455</v>
      </c>
      <c r="M173" s="30" t="s">
        <v>456</v>
      </c>
    </row>
    <row r="174" spans="4:13" ht="20.100000000000001" customHeight="1" x14ac:dyDescent="0.25">
      <c r="D174" s="30" t="str" cm="1">
        <f t="array" ref="D174">Common_InputFunctions.Utility_DisplayArrayInTable(Scope3_SourceData.Scope3_InorganicFertilisers_Data(), Table_SourceData_Scope3_InorganicFertiliser[[#Headers],[Category]], 0, 2)</f>
        <v>Inorganic fertilisers</v>
      </c>
      <c r="E174" s="30" t="str" cm="1">
        <f t="array" ref="E174">Common_InputFunctions.Utility_DisplayArrayInTable(Scope3_SourceData.Scope3_InorganicFertilisers_Data(), Table_SourceData_Scope3_InorganicFertiliser[[#Headers],[Category]], 0, 2)</f>
        <v>Ammonia, AU market mix</v>
      </c>
      <c r="F174" s="30" t="str" cm="1">
        <f t="array" ref="F174">Common_InputFunctions.Utility_DisplayArrayInTable(Scope3_SourceData.Scope3_InorganicFertilisers_Data(), Table_SourceData_Scope3_InorganicFertiliser[[#Headers],[Category]], 0, 2)</f>
        <v>Global</v>
      </c>
      <c r="G174" s="30" t="str">
        <f>'Constants - Fertiliser'!$D$37</f>
        <v>Ammonia</v>
      </c>
      <c r="H174" s="30"/>
      <c r="I174" s="30" t="str">
        <f>'Constants - Fertiliser'!$V$20</f>
        <v>Global</v>
      </c>
      <c r="J174" s="30"/>
      <c r="K174" s="30" t="str" cm="1">
        <f t="array" ref="K174">Common_InputFunctions.Utility_DisplayArrayInTable(Scope3_SourceData.Scope3_InorganicFertilisers_Data(), Table_SourceData_Scope3_InorganicFertiliser[[#Headers],[Category]], 0, -2)</f>
        <v>kg</v>
      </c>
      <c r="L174" s="30" cm="1">
        <f t="array" ref="L174">Common_InputFunctions.Utility_DisplayArrayInTable(Scope3_SourceData.Scope3_InorganicFertilisers_Data(), Table_SourceData_Scope3_InorganicFertiliser[[#Headers],[Category]], 0, -2)</f>
        <v>2.3199999999999998</v>
      </c>
      <c r="M174" s="3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30" t="str" cm="1">
        <f t="array" ref="D175">Common_InputFunctions.Utility_DisplayArrayInTable(Scope3_SourceData.Scope3_InorganicFertilisers_Data(), Table_SourceData_Scope3_InorganicFertiliser[[#Headers],[Category]], 0, 2)</f>
        <v>Inorganic fertilisers</v>
      </c>
      <c r="E175" s="30" t="str" cm="1">
        <f t="array" ref="E175">Common_InputFunctions.Utility_DisplayArrayInTable(Scope3_SourceData.Scope3_InorganicFertilisers_Data(), Table_SourceData_Scope3_InorganicFertiliser[[#Headers],[Category]], 0, 2)</f>
        <v>Ammonia, Canada</v>
      </c>
      <c r="F175" s="30" t="str" cm="1">
        <f t="array" ref="F175">Common_InputFunctions.Utility_DisplayArrayInTable(Scope3_SourceData.Scope3_InorganicFertilisers_Data(), Table_SourceData_Scope3_InorganicFertiliser[[#Headers],[Category]], 0, 2)</f>
        <v>Canada</v>
      </c>
      <c r="G175" s="30" t="str">
        <f>'Constants - Fertiliser'!$D$37</f>
        <v>Ammonia</v>
      </c>
      <c r="H175" s="30"/>
      <c r="I175" s="30" t="str">
        <f>'Constants - Fertiliser'!$V$21</f>
        <v>Canada</v>
      </c>
      <c r="J175" s="30"/>
      <c r="K175" s="30" t="str" cm="1">
        <f t="array" ref="K175">Common_InputFunctions.Utility_DisplayArrayInTable(Scope3_SourceData.Scope3_InorganicFertilisers_Data(), Table_SourceData_Scope3_InorganicFertiliser[[#Headers],[Category]], 0, -2)</f>
        <v>kg</v>
      </c>
      <c r="L175" s="30" cm="1">
        <f t="array" ref="L175">Common_InputFunctions.Utility_DisplayArrayInTable(Scope3_SourceData.Scope3_InorganicFertilisers_Data(), Table_SourceData_Scope3_InorganicFertiliser[[#Headers],[Category]], 0, -2)</f>
        <v>2.12</v>
      </c>
      <c r="M175" s="3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30" t="str" cm="1">
        <f t="array" ref="D176">Common_InputFunctions.Utility_DisplayArrayInTable(Scope3_SourceData.Scope3_InorganicFertilisers_Data(), Table_SourceData_Scope3_InorganicFertiliser[[#Headers],[Category]], 0, 2)</f>
        <v>Inorganic fertilisers</v>
      </c>
      <c r="E176" s="30" t="str" cm="1">
        <f t="array" ref="E176">Common_InputFunctions.Utility_DisplayArrayInTable(Scope3_SourceData.Scope3_InorganicFertilisers_Data(), Table_SourceData_Scope3_InorganicFertiliser[[#Headers],[Category]], 0, 2)</f>
        <v>Ammonia, China</v>
      </c>
      <c r="F176" s="30" t="str" cm="1">
        <f t="array" ref="F176">Common_InputFunctions.Utility_DisplayArrayInTable(Scope3_SourceData.Scope3_InorganicFertilisers_Data(), Table_SourceData_Scope3_InorganicFertiliser[[#Headers],[Category]], 0, 2)</f>
        <v>China</v>
      </c>
      <c r="G176" s="30" t="str">
        <f>'Constants - Fertiliser'!$D$37</f>
        <v>Ammonia</v>
      </c>
      <c r="H176" s="30"/>
      <c r="I176" s="30" t="str">
        <f>'Constants - Fertiliser'!$V$22</f>
        <v>China</v>
      </c>
      <c r="J176" s="30"/>
      <c r="K176" s="30" t="str" cm="1">
        <f t="array" ref="K176">Common_InputFunctions.Utility_DisplayArrayInTable(Scope3_SourceData.Scope3_InorganicFertilisers_Data(), Table_SourceData_Scope3_InorganicFertiliser[[#Headers],[Category]], 0, -2)</f>
        <v>kg</v>
      </c>
      <c r="L176" s="30" cm="1">
        <f t="array" ref="L176">Common_InputFunctions.Utility_DisplayArrayInTable(Scope3_SourceData.Scope3_InorganicFertilisers_Data(), Table_SourceData_Scope3_InorganicFertiliser[[#Headers],[Category]], 0, -2)</f>
        <v>4.17</v>
      </c>
      <c r="M176" s="3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30" t="str" cm="1">
        <f t="array" ref="D177">Common_InputFunctions.Utility_DisplayArrayInTable(Scope3_SourceData.Scope3_InorganicFertilisers_Data(), Table_SourceData_Scope3_InorganicFertiliser[[#Headers],[Category]], 0, 2)</f>
        <v>Inorganic fertilisers</v>
      </c>
      <c r="E177" s="30" t="str" cm="1">
        <f t="array" ref="E177">Common_InputFunctions.Utility_DisplayArrayInTable(Scope3_SourceData.Scope3_InorganicFertilisers_Data(), Table_SourceData_Scope3_InorganicFertiliser[[#Headers],[Category]], 0, 2)</f>
        <v>Ammonia, Yemen</v>
      </c>
      <c r="F177" s="30" t="str" cm="1">
        <f t="array" ref="F177">Common_InputFunctions.Utility_DisplayArrayInTable(Scope3_SourceData.Scope3_InorganicFertilisers_Data(), Table_SourceData_Scope3_InorganicFertiliser[[#Headers],[Category]], 0, 2)</f>
        <v>Yemen</v>
      </c>
      <c r="G177" s="30" t="str">
        <f>'Constants - Fertiliser'!$D$37</f>
        <v>Ammonia</v>
      </c>
      <c r="H177" s="30"/>
      <c r="I177" s="30" t="str">
        <f>'Constants - Fertiliser'!$V$23</f>
        <v>Yemen</v>
      </c>
      <c r="J177" s="30"/>
      <c r="K177" s="30" t="str" cm="1">
        <f t="array" ref="K177">Common_InputFunctions.Utility_DisplayArrayInTable(Scope3_SourceData.Scope3_InorganicFertilisers_Data(), Table_SourceData_Scope3_InorganicFertiliser[[#Headers],[Category]], 0, -2)</f>
        <v>kg</v>
      </c>
      <c r="L177" s="30" cm="1">
        <f t="array" ref="L177">Common_InputFunctions.Utility_DisplayArrayInTable(Scope3_SourceData.Scope3_InorganicFertilisers_Data(), Table_SourceData_Scope3_InorganicFertiliser[[#Headers],[Category]], 0, -2)</f>
        <v>2.2599999999999998</v>
      </c>
      <c r="M177" s="3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30" t="str" cm="1">
        <f t="array" ref="D178">Common_InputFunctions.Utility_DisplayArrayInTable(Scope3_SourceData.Scope3_InorganicFertilisers_Data(), Table_SourceData_Scope3_InorganicFertiliser[[#Headers],[Category]], 0, 2)</f>
        <v>Inorganic fertilisers</v>
      </c>
      <c r="E178" s="30" t="str" cm="1">
        <f t="array" ref="E178">Common_InputFunctions.Utility_DisplayArrayInTable(Scope3_SourceData.Scope3_InorganicFertilisers_Data(), Table_SourceData_Scope3_InorganicFertiliser[[#Headers],[Category]], 0, 2)</f>
        <v>Ammonium nitrate, AU market mix</v>
      </c>
      <c r="F178" s="30" t="str" cm="1">
        <f t="array" ref="F178">Common_InputFunctions.Utility_DisplayArrayInTable(Scope3_SourceData.Scope3_InorganicFertilisers_Data(), Table_SourceData_Scope3_InorganicFertiliser[[#Headers],[Category]], 0, 2)</f>
        <v>Global</v>
      </c>
      <c r="G178" s="30" t="str">
        <f>'Constants - Fertiliser'!$D$25</f>
        <v>Ammonium nitrate (AN)</v>
      </c>
      <c r="H178" s="30"/>
      <c r="I178" s="30"/>
      <c r="J178" s="30"/>
      <c r="K178" s="30" t="str" cm="1">
        <f t="array" ref="K178">Common_InputFunctions.Utility_DisplayArrayInTable(Scope3_SourceData.Scope3_InorganicFertilisers_Data(), Table_SourceData_Scope3_InorganicFertiliser[[#Headers],[Category]], 0, -2)</f>
        <v>kg</v>
      </c>
      <c r="L178" s="30" cm="1">
        <f t="array" ref="L178">Common_InputFunctions.Utility_DisplayArrayInTable(Scope3_SourceData.Scope3_InorganicFertilisers_Data(), Table_SourceData_Scope3_InorganicFertiliser[[#Headers],[Category]], 0, -2)</f>
        <v>2.21</v>
      </c>
      <c r="M178" s="3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30" t="str" cm="1">
        <f t="array" ref="D179">Common_InputFunctions.Utility_DisplayArrayInTable(Scope3_SourceData.Scope3_InorganicFertilisers_Data(), Table_SourceData_Scope3_InorganicFertiliser[[#Headers],[Category]], 0, 2)</f>
        <v>Inorganic fertilisers</v>
      </c>
      <c r="E179" s="30" t="str" cm="1">
        <f t="array" ref="E179">Common_InputFunctions.Utility_DisplayArrayInTable(Scope3_SourceData.Scope3_InorganicFertilisers_Data(), Table_SourceData_Scope3_InorganicFertiliser[[#Headers],[Category]], 0, 2)</f>
        <v>Calcium ammonium nitrate, AU market mix</v>
      </c>
      <c r="F179" s="30" t="str" cm="1">
        <f t="array" ref="F179">Common_InputFunctions.Utility_DisplayArrayInTable(Scope3_SourceData.Scope3_InorganicFertilisers_Data(), Table_SourceData_Scope3_InorganicFertiliser[[#Headers],[Category]], 0, 2)</f>
        <v>Global</v>
      </c>
      <c r="G179" s="30" t="str">
        <f>'Constants - Fertiliser'!$D$26</f>
        <v>Calcium ammonium nitrate (CAN)</v>
      </c>
      <c r="H179" s="30"/>
      <c r="I179" s="30"/>
      <c r="J179" s="30"/>
      <c r="K179" s="30" t="str" cm="1">
        <f t="array" ref="K179">Common_InputFunctions.Utility_DisplayArrayInTable(Scope3_SourceData.Scope3_InorganicFertilisers_Data(), Table_SourceData_Scope3_InorganicFertiliser[[#Headers],[Category]], 0, -2)</f>
        <v>kg</v>
      </c>
      <c r="L179" s="30" cm="1">
        <f t="array" ref="L179">Common_InputFunctions.Utility_DisplayArrayInTable(Scope3_SourceData.Scope3_InorganicFertilisers_Data(), Table_SourceData_Scope3_InorganicFertiliser[[#Headers],[Category]], 0, -2)</f>
        <v>1.1499999999999999</v>
      </c>
      <c r="M179" s="3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30" t="str" cm="1">
        <f t="array" ref="D180">Common_InputFunctions.Utility_DisplayArrayInTable(Scope3_SourceData.Scope3_InorganicFertilisers_Data(), Table_SourceData_Scope3_InorganicFertiliser[[#Headers],[Category]], 0, 2)</f>
        <v>Inorganic fertilisers</v>
      </c>
      <c r="E180" s="30" t="str" cm="1">
        <f t="array" ref="E180">Common_InputFunctions.Utility_DisplayArrayInTable(Scope3_SourceData.Scope3_InorganicFertilisers_Data(), Table_SourceData_Scope3_InorganicFertiliser[[#Headers],[Category]], 0, 2)</f>
        <v>Calcium nitrate</v>
      </c>
      <c r="F180" s="30" t="str" cm="1">
        <f t="array" ref="F180">Common_InputFunctions.Utility_DisplayArrayInTable(Scope3_SourceData.Scope3_InorganicFertilisers_Data(), Table_SourceData_Scope3_InorganicFertiliser[[#Headers],[Category]], 0, 2)</f>
        <v>Global</v>
      </c>
      <c r="G180" s="30" t="str">
        <f>'Constants - Fertiliser'!$D$38</f>
        <v>Calcium nitrate</v>
      </c>
      <c r="H180" s="30"/>
      <c r="I180" s="30"/>
      <c r="J180" s="30"/>
      <c r="K180" s="30" t="str" cm="1">
        <f t="array" ref="K180">Common_InputFunctions.Utility_DisplayArrayInTable(Scope3_SourceData.Scope3_InorganicFertilisers_Data(), Table_SourceData_Scope3_InorganicFertiliser[[#Headers],[Category]], 0, -2)</f>
        <v>kg</v>
      </c>
      <c r="L180" s="30" cm="1">
        <f t="array" ref="L180">Common_InputFunctions.Utility_DisplayArrayInTable(Scope3_SourceData.Scope3_InorganicFertilisers_Data(), Table_SourceData_Scope3_InorganicFertiliser[[#Headers],[Category]], 0, -2)</f>
        <v>0.75</v>
      </c>
      <c r="M180" s="3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30" t="str" cm="1">
        <f t="array" ref="D181">Common_InputFunctions.Utility_DisplayArrayInTable(Scope3_SourceData.Scope3_InorganicFertilisers_Data(), Table_SourceData_Scope3_InorganicFertiliser[[#Headers],[Category]], 0, 2)</f>
        <v>Inorganic fertilisers</v>
      </c>
      <c r="E181" s="30" t="str" cm="1">
        <f t="array" ref="E181">Common_InputFunctions.Utility_DisplayArrayInTable(Scope3_SourceData.Scope3_InorganicFertilisers_Data(), Table_SourceData_Scope3_InorganicFertiliser[[#Headers],[Category]], 0, 2)</f>
        <v>Diammonium phosphate, AU market mix</v>
      </c>
      <c r="F181" s="30" t="str" cm="1">
        <f t="array" ref="F181">Common_InputFunctions.Utility_DisplayArrayInTable(Scope3_SourceData.Scope3_InorganicFertilisers_Data(), Table_SourceData_Scope3_InorganicFertiliser[[#Headers],[Category]], 0, 2)</f>
        <v>Global</v>
      </c>
      <c r="G181" s="30" t="str">
        <f>'Constants - Fertiliser'!$D$21</f>
        <v>Diammonium phosphate (DAP)</v>
      </c>
      <c r="H181" s="30"/>
      <c r="I181" s="30"/>
      <c r="J181" s="30"/>
      <c r="K181" s="30" t="str" cm="1">
        <f t="array" ref="K181">Common_InputFunctions.Utility_DisplayArrayInTable(Scope3_SourceData.Scope3_InorganicFertilisers_Data(), Table_SourceData_Scope3_InorganicFertiliser[[#Headers],[Category]], 0, -2)</f>
        <v>kg</v>
      </c>
      <c r="L181" s="30" cm="1">
        <f t="array" ref="L181">Common_InputFunctions.Utility_DisplayArrayInTable(Scope3_SourceData.Scope3_InorganicFertilisers_Data(), Table_SourceData_Scope3_InorganicFertiliser[[#Headers],[Category]], 0, -2)</f>
        <v>1.34</v>
      </c>
      <c r="M181" s="3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30" t="str" cm="1">
        <f t="array" ref="D182">Common_InputFunctions.Utility_DisplayArrayInTable(Scope3_SourceData.Scope3_InorganicFertilisers_Data(), Table_SourceData_Scope3_InorganicFertiliser[[#Headers],[Category]], 0, 2)</f>
        <v>Inorganic fertilisers</v>
      </c>
      <c r="E182" s="30" t="str" cm="1">
        <f t="array" ref="E182">Common_InputFunctions.Utility_DisplayArrayInTable(Scope3_SourceData.Scope3_InorganicFertilisers_Data(), Table_SourceData_Scope3_InorganicFertiliser[[#Headers],[Category]], 0, 2)</f>
        <v>Double superphosphate, AU market mix</v>
      </c>
      <c r="F182" s="30" t="str" cm="1">
        <f t="array" ref="F182">Common_InputFunctions.Utility_DisplayArrayInTable(Scope3_SourceData.Scope3_InorganicFertilisers_Data(), Table_SourceData_Scope3_InorganicFertiliser[[#Headers],[Category]], 0, 2)</f>
        <v>Global</v>
      </c>
      <c r="G182" s="30" t="str">
        <f>'Constants - Fertiliser'!$D$35</f>
        <v>Double superphosphate</v>
      </c>
      <c r="H182" s="30"/>
      <c r="I182" s="30"/>
      <c r="J182" s="30"/>
      <c r="K182" s="30" t="str" cm="1">
        <f t="array" ref="K182">Common_InputFunctions.Utility_DisplayArrayInTable(Scope3_SourceData.Scope3_InorganicFertilisers_Data(), Table_SourceData_Scope3_InorganicFertiliser[[#Headers],[Category]], 0, -2)</f>
        <v>kg</v>
      </c>
      <c r="L182" s="30" cm="1">
        <f t="array" ref="L182">Common_InputFunctions.Utility_DisplayArrayInTable(Scope3_SourceData.Scope3_InorganicFertilisers_Data(), Table_SourceData_Scope3_InorganicFertiliser[[#Headers],[Category]], 0, -2)</f>
        <v>0.39200000000000002</v>
      </c>
      <c r="M182" s="3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30" t="str" cm="1">
        <f t="array" ref="D183">Common_InputFunctions.Utility_DisplayArrayInTable(Scope3_SourceData.Scope3_InorganicFertilisers_Data(), Table_SourceData_Scope3_InorganicFertiliser[[#Headers],[Category]], 0, 2)</f>
        <v>Inorganic fertilisers</v>
      </c>
      <c r="E183" s="30" t="str" cm="1">
        <f t="array" ref="E183">Common_InputFunctions.Utility_DisplayArrayInTable(Scope3_SourceData.Scope3_InorganicFertilisers_Data(), Table_SourceData_Scope3_InorganicFertiliser[[#Headers],[Category]], 0, 2)</f>
        <v>Monoammonium phosphate, AU market mix</v>
      </c>
      <c r="F183" s="30" t="str" cm="1">
        <f t="array" ref="F183">Common_InputFunctions.Utility_DisplayArrayInTable(Scope3_SourceData.Scope3_InorganicFertilisers_Data(), Table_SourceData_Scope3_InorganicFertiliser[[#Headers],[Category]], 0, 2)</f>
        <v>Global</v>
      </c>
      <c r="G183" s="30" t="str">
        <f>'Constants - Fertiliser'!$D$20</f>
        <v>Monoammonium phosphate (MAP)</v>
      </c>
      <c r="H183" s="30"/>
      <c r="I183" s="30"/>
      <c r="J183" s="30"/>
      <c r="K183" s="30" t="str" cm="1">
        <f t="array" ref="K183">Common_InputFunctions.Utility_DisplayArrayInTable(Scope3_SourceData.Scope3_InorganicFertilisers_Data(), Table_SourceData_Scope3_InorganicFertiliser[[#Headers],[Category]], 0, -2)</f>
        <v>kg</v>
      </c>
      <c r="L183" s="30" cm="1">
        <f t="array" ref="L183">Common_InputFunctions.Utility_DisplayArrayInTable(Scope3_SourceData.Scope3_InorganicFertilisers_Data(), Table_SourceData_Scope3_InorganicFertiliser[[#Headers],[Category]], 0, -2)</f>
        <v>0.82699999999999996</v>
      </c>
      <c r="M183" s="3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30" t="str" cm="1">
        <f t="array" ref="D184">Common_InputFunctions.Utility_DisplayArrayInTable(Scope3_SourceData.Scope3_InorganicFertilisers_Data(), Table_SourceData_Scope3_InorganicFertiliser[[#Headers],[Category]], 0, 2)</f>
        <v>Inorganic fertilisers</v>
      </c>
      <c r="E184" s="30" t="str" cm="1">
        <f t="array" ref="E184">Common_InputFunctions.Utility_DisplayArrayInTable(Scope3_SourceData.Scope3_InorganicFertilisers_Data(), Table_SourceData_Scope3_InorganicFertiliser[[#Headers],[Category]], 0, 2)</f>
        <v>Muriate of potash, AU market mix</v>
      </c>
      <c r="F184" s="30" t="str" cm="1">
        <f t="array" ref="F184">Common_InputFunctions.Utility_DisplayArrayInTable(Scope3_SourceData.Scope3_InorganicFertilisers_Data(), Table_SourceData_Scope3_InorganicFertiliser[[#Headers],[Category]], 0, 2)</f>
        <v>Global</v>
      </c>
      <c r="G184" s="30" t="str">
        <f>'Constants - Fertiliser'!$D$34</f>
        <v>Muriate of potash (MOP)</v>
      </c>
      <c r="H184" s="30"/>
      <c r="I184" s="30"/>
      <c r="J184" s="30"/>
      <c r="K184" s="30" t="str" cm="1">
        <f t="array" ref="K184">Common_InputFunctions.Utility_DisplayArrayInTable(Scope3_SourceData.Scope3_InorganicFertilisers_Data(), Table_SourceData_Scope3_InorganicFertiliser[[#Headers],[Category]], 0, -2)</f>
        <v>kg</v>
      </c>
      <c r="L184" s="30" cm="1">
        <f t="array" ref="L184">Common_InputFunctions.Utility_DisplayArrayInTable(Scope3_SourceData.Scope3_InorganicFertilisers_Data(), Table_SourceData_Scope3_InorganicFertiliser[[#Headers],[Category]], 0, -2)</f>
        <v>0.54900000000000004</v>
      </c>
      <c r="M184" s="3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30" t="str" cm="1">
        <f t="array" ref="D185">Common_InputFunctions.Utility_DisplayArrayInTable(Scope3_SourceData.Scope3_InorganicFertilisers_Data(), Table_SourceData_Scope3_InorganicFertiliser[[#Headers],[Category]], 0, 2)</f>
        <v>Inorganic fertilisers</v>
      </c>
      <c r="E185" s="30" t="str" cm="1">
        <f t="array" ref="E185">Common_InputFunctions.Utility_DisplayArrayInTable(Scope3_SourceData.Scope3_InorganicFertilisers_Data(), Table_SourceData_Scope3_InorganicFertiliser[[#Headers],[Category]], 0, 2)</f>
        <v>Nitrogen from ammonia, AU market mix</v>
      </c>
      <c r="F185" s="30" t="str" cm="1">
        <f t="array" ref="F185">Common_InputFunctions.Utility_DisplayArrayInTable(Scope3_SourceData.Scope3_InorganicFertilisers_Data(), Table_SourceData_Scope3_InorganicFertiliser[[#Headers],[Category]], 0, 2)</f>
        <v>Global</v>
      </c>
      <c r="G185" s="30" t="str">
        <f>'Constants - Fertiliser'!$D$27</f>
        <v>Nitrogen - Ammoniacal</v>
      </c>
      <c r="H185" s="30"/>
      <c r="I185" s="30"/>
      <c r="J185" s="30"/>
      <c r="K185" s="30" t="str" cm="1">
        <f t="array" ref="K185">Common_InputFunctions.Utility_DisplayArrayInTable(Scope3_SourceData.Scope3_InorganicFertilisers_Data(), Table_SourceData_Scope3_InorganicFertiliser[[#Headers],[Category]], 0, -2)</f>
        <v>kg N</v>
      </c>
      <c r="L185" s="30" cm="1">
        <f t="array" ref="L185">Common_InputFunctions.Utility_DisplayArrayInTable(Scope3_SourceData.Scope3_InorganicFertilisers_Data(), Table_SourceData_Scope3_InorganicFertiliser[[#Headers],[Category]], 0, -2)</f>
        <v>2.83</v>
      </c>
      <c r="M185" s="30" t="str" cm="1">
        <f t="array" ref="M185">Common_InputFunctions.Utility_DisplayArrayInTable(Scope3_SourceData.Scope3_InorganicFertilisers_Data(), Table_SourceData_Scope3_InorganicFertiliser[[#Headers],[Category]], 0, -2)</f>
        <v>at market</v>
      </c>
      <c r="N185" s="30"/>
      <c r="O185" s="30"/>
      <c r="P185" s="30"/>
    </row>
    <row r="186" spans="4:16" ht="20.100000000000001" customHeight="1" x14ac:dyDescent="0.25">
      <c r="D186" s="30" t="str" cm="1">
        <f t="array" ref="D186">Common_InputFunctions.Utility_DisplayArrayInTable(Scope3_SourceData.Scope3_InorganicFertilisers_Data(), Table_SourceData_Scope3_InorganicFertiliser[[#Headers],[Category]], 0, 2)</f>
        <v>Inorganic fertilisers</v>
      </c>
      <c r="E186" s="30" t="str" cm="1">
        <f t="array" ref="E186">Common_InputFunctions.Utility_DisplayArrayInTable(Scope3_SourceData.Scope3_InorganicFertilisers_Data(), Table_SourceData_Scope3_InorganicFertiliser[[#Headers],[Category]], 0, 2)</f>
        <v>Nitrogen from fertilizer, AU market mix</v>
      </c>
      <c r="F186" s="30" t="str" cm="1">
        <f t="array" ref="F186">Common_InputFunctions.Utility_DisplayArrayInTable(Scope3_SourceData.Scope3_InorganicFertilisers_Data(), Table_SourceData_Scope3_InorganicFertiliser[[#Headers],[Category]], 0, 2)</f>
        <v>Global</v>
      </c>
      <c r="G186" s="30" t="str">
        <f>'Constants - Fertiliser'!$D$29</f>
        <v>Nitrogen - Generic</v>
      </c>
      <c r="H186" s="30"/>
      <c r="I186" s="30"/>
      <c r="J186" s="30"/>
      <c r="K186" s="30" t="str" cm="1">
        <f t="array" ref="K186">Common_InputFunctions.Utility_DisplayArrayInTable(Scope3_SourceData.Scope3_InorganicFertilisers_Data(), Table_SourceData_Scope3_InorganicFertiliser[[#Headers],[Category]], 0, -2)</f>
        <v>kg N</v>
      </c>
      <c r="L186" s="30" cm="1">
        <f t="array" ref="L186">Common_InputFunctions.Utility_DisplayArrayInTable(Scope3_SourceData.Scope3_InorganicFertilisers_Data(), Table_SourceData_Scope3_InorganicFertiliser[[#Headers],[Category]], 0, -2)</f>
        <v>4.2</v>
      </c>
      <c r="M186" s="30" t="str" cm="1">
        <f t="array" ref="M186">Common_InputFunctions.Utility_DisplayArrayInTable(Scope3_SourceData.Scope3_InorganicFertilisers_Data(), Table_SourceData_Scope3_InorganicFertiliser[[#Headers],[Category]], 0, -2)</f>
        <v>at market</v>
      </c>
      <c r="N186" s="30"/>
      <c r="O186" s="30"/>
      <c r="P186" s="30"/>
    </row>
    <row r="187" spans="4:16" ht="20.100000000000001" customHeight="1" x14ac:dyDescent="0.25">
      <c r="D187" s="30" t="str" cm="1">
        <f t="array" ref="D187">Common_InputFunctions.Utility_DisplayArrayInTable(Scope3_SourceData.Scope3_InorganicFertilisers_Data(), Table_SourceData_Scope3_InorganicFertiliser[[#Headers],[Category]], 0, 2)</f>
        <v>Inorganic fertilisers</v>
      </c>
      <c r="E187" s="30" t="str" cm="1">
        <f t="array" ref="E187">Common_InputFunctions.Utility_DisplayArrayInTable(Scope3_SourceData.Scope3_InorganicFertilisers_Data(), Table_SourceData_Scope3_InorganicFertiliser[[#Headers],[Category]], 0, 2)</f>
        <v>Nitrogen from nitrate fertilizer, AU market mix</v>
      </c>
      <c r="F187" s="30" t="str" cm="1">
        <f t="array" ref="F187">Common_InputFunctions.Utility_DisplayArrayInTable(Scope3_SourceData.Scope3_InorganicFertilisers_Data(), Table_SourceData_Scope3_InorganicFertiliser[[#Headers],[Category]], 0, 2)</f>
        <v>Global</v>
      </c>
      <c r="G187" s="30" t="str">
        <f>'Constants - Fertiliser'!$D$28</f>
        <v>Nitrogen - Nitrate</v>
      </c>
      <c r="H187" s="30"/>
      <c r="I187" s="30"/>
      <c r="J187" s="30"/>
      <c r="K187" s="30" t="str" cm="1">
        <f t="array" ref="K187">Common_InputFunctions.Utility_DisplayArrayInTable(Scope3_SourceData.Scope3_InorganicFertilisers_Data(), Table_SourceData_Scope3_InorganicFertiliser[[#Headers],[Category]], 0, -2)</f>
        <v>kg N</v>
      </c>
      <c r="L187" s="30" cm="1">
        <f t="array" ref="L187">Common_InputFunctions.Utility_DisplayArrayInTable(Scope3_SourceData.Scope3_InorganicFertilisers_Data(), Table_SourceData_Scope3_InorganicFertiliser[[#Headers],[Category]], 0, -2)</f>
        <v>5.47</v>
      </c>
      <c r="M187" s="30" t="str" cm="1">
        <f t="array" ref="M187">Common_InputFunctions.Utility_DisplayArrayInTable(Scope3_SourceData.Scope3_InorganicFertilisers_Data(), Table_SourceData_Scope3_InorganicFertiliser[[#Headers],[Category]], 0, -2)</f>
        <v>at market</v>
      </c>
      <c r="N187" s="30"/>
      <c r="O187" s="30"/>
      <c r="P187" s="30"/>
    </row>
    <row r="188" spans="4:16" ht="20.100000000000001" customHeight="1" x14ac:dyDescent="0.25">
      <c r="D188" s="30" t="str" cm="1">
        <f t="array" ref="D188">Common_InputFunctions.Utility_DisplayArrayInTable(Scope3_SourceData.Scope3_InorganicFertilisers_Data(), Table_SourceData_Scope3_InorganicFertiliser[[#Headers],[Category]], 0, 2)</f>
        <v>Inorganic fertilisers</v>
      </c>
      <c r="E188" s="30" t="str" cm="1">
        <f t="array" ref="E188">Common_InputFunctions.Utility_DisplayArrayInTable(Scope3_SourceData.Scope3_InorganicFertilisers_Data(), Table_SourceData_Scope3_InorganicFertiliser[[#Headers],[Category]], 0, 2)</f>
        <v>Phosphorus from fertilizer, AU market mix</v>
      </c>
      <c r="F188" s="30" t="str" cm="1">
        <f t="array" ref="F188">Common_InputFunctions.Utility_DisplayArrayInTable(Scope3_SourceData.Scope3_InorganicFertilisers_Data(), Table_SourceData_Scope3_InorganicFertiliser[[#Headers],[Category]], 0, 2)</f>
        <v>Global</v>
      </c>
      <c r="G188" s="30" t="str">
        <f>'Constants - Fertiliser'!$D$30</f>
        <v>Phosphorus - Generic</v>
      </c>
      <c r="H188" s="30"/>
      <c r="I188" s="30"/>
      <c r="J188" s="30"/>
      <c r="K188" s="30" t="str" cm="1">
        <f t="array" ref="K188">Common_InputFunctions.Utility_DisplayArrayInTable(Scope3_SourceData.Scope3_InorganicFertilisers_Data(), Table_SourceData_Scope3_InorganicFertiliser[[#Headers],[Category]], 0, -2)</f>
        <v>kg P</v>
      </c>
      <c r="L188" s="30" cm="1">
        <f t="array" ref="L188">Common_InputFunctions.Utility_DisplayArrayInTable(Scope3_SourceData.Scope3_InorganicFertilisers_Data(), Table_SourceData_Scope3_InorganicFertiliser[[#Headers],[Category]], 0, -2)</f>
        <v>3.96</v>
      </c>
      <c r="M188" s="30" t="str" cm="1">
        <f t="array" ref="M188">Common_InputFunctions.Utility_DisplayArrayInTable(Scope3_SourceData.Scope3_InorganicFertilisers_Data(), Table_SourceData_Scope3_InorganicFertiliser[[#Headers],[Category]], 0, -2)</f>
        <v>at market</v>
      </c>
      <c r="N188" s="30"/>
      <c r="O188" s="30"/>
      <c r="P188" s="30"/>
    </row>
    <row r="189" spans="4:16" ht="20.100000000000001" customHeight="1" x14ac:dyDescent="0.25">
      <c r="D189" s="30" t="str" cm="1">
        <f t="array" ref="D189">Common_InputFunctions.Utility_DisplayArrayInTable(Scope3_SourceData.Scope3_InorganicFertilisers_Data(), Table_SourceData_Scope3_InorganicFertiliser[[#Headers],[Category]], 0, 2)</f>
        <v>Inorganic fertilisers</v>
      </c>
      <c r="E189" s="30" t="str" cm="1">
        <f t="array" ref="E189">Common_InputFunctions.Utility_DisplayArrayInTable(Scope3_SourceData.Scope3_InorganicFertilisers_Data(), Table_SourceData_Scope3_InorganicFertiliser[[#Headers],[Category]], 0, 2)</f>
        <v>Potassium from fertilizer, AU market mix</v>
      </c>
      <c r="F189" s="30" t="str" cm="1">
        <f t="array" ref="F189">Common_InputFunctions.Utility_DisplayArrayInTable(Scope3_SourceData.Scope3_InorganicFertilisers_Data(), Table_SourceData_Scope3_InorganicFertiliser[[#Headers],[Category]], 0, 2)</f>
        <v>Global</v>
      </c>
      <c r="G189" s="30" t="str">
        <f>'Constants - Fertiliser'!$D$31</f>
        <v>Potassium - Generic</v>
      </c>
      <c r="H189" s="30"/>
      <c r="I189" s="30"/>
      <c r="J189" s="30"/>
      <c r="K189" s="30" t="str" cm="1">
        <f t="array" ref="K189">Common_InputFunctions.Utility_DisplayArrayInTable(Scope3_SourceData.Scope3_InorganicFertilisers_Data(), Table_SourceData_Scope3_InorganicFertiliser[[#Headers],[Category]], 0, -2)</f>
        <v>kg K</v>
      </c>
      <c r="L189" s="30" cm="1">
        <f t="array" ref="L189">Common_InputFunctions.Utility_DisplayArrayInTable(Scope3_SourceData.Scope3_InorganicFertilisers_Data(), Table_SourceData_Scope3_InorganicFertiliser[[#Headers],[Category]], 0, -2)</f>
        <v>0.90900000000000003</v>
      </c>
      <c r="M189" s="30" t="str" cm="1">
        <f t="array" ref="M189">Common_InputFunctions.Utility_DisplayArrayInTable(Scope3_SourceData.Scope3_InorganicFertilisers_Data(), Table_SourceData_Scope3_InorganicFertiliser[[#Headers],[Category]], 0, -2)</f>
        <v>at market</v>
      </c>
      <c r="N189" s="30"/>
      <c r="O189" s="30"/>
      <c r="P189" s="30"/>
    </row>
    <row r="190" spans="4:16" ht="20.100000000000001" customHeight="1" x14ac:dyDescent="0.25">
      <c r="D190" s="30" t="str" cm="1">
        <f t="array" ref="D190">Common_InputFunctions.Utility_DisplayArrayInTable(Scope3_SourceData.Scope3_InorganicFertilisers_Data(), Table_SourceData_Scope3_InorganicFertiliser[[#Headers],[Category]], 0, 2)</f>
        <v>Inorganic fertilisers</v>
      </c>
      <c r="E190" s="30" t="str" cm="1">
        <f t="array" ref="E190">Common_InputFunctions.Utility_DisplayArrayInTable(Scope3_SourceData.Scope3_InorganicFertilisers_Data(), Table_SourceData_Scope3_InorganicFertiliser[[#Headers],[Category]], 0, 2)</f>
        <v>Single superphosphate, AU market mix</v>
      </c>
      <c r="F190" s="30" t="str" cm="1">
        <f t="array" ref="F190">Common_InputFunctions.Utility_DisplayArrayInTable(Scope3_SourceData.Scope3_InorganicFertilisers_Data(), Table_SourceData_Scope3_InorganicFertiliser[[#Headers],[Category]], 0, 2)</f>
        <v>Global</v>
      </c>
      <c r="G190" s="30" t="str">
        <f>'Constants - Fertiliser'!$D$36</f>
        <v>Single superphosphate (SSP)</v>
      </c>
      <c r="H190" s="30"/>
      <c r="I190" s="30"/>
      <c r="J190" s="30"/>
      <c r="K190" s="30" t="str" cm="1">
        <f t="array" ref="K190">Common_InputFunctions.Utility_DisplayArrayInTable(Scope3_SourceData.Scope3_InorganicFertilisers_Data(), Table_SourceData_Scope3_InorganicFertiliser[[#Headers],[Category]], 0, -2)</f>
        <v>kg</v>
      </c>
      <c r="L190" s="30" cm="1">
        <f t="array" ref="L190">Common_InputFunctions.Utility_DisplayArrayInTable(Scope3_SourceData.Scope3_InorganicFertilisers_Data(), Table_SourceData_Scope3_InorganicFertiliser[[#Headers],[Category]], 0, -2)</f>
        <v>0.22700000000000001</v>
      </c>
      <c r="M190" s="30" t="str" cm="1">
        <f t="array" ref="M190">Common_InputFunctions.Utility_DisplayArrayInTable(Scope3_SourceData.Scope3_InorganicFertilisers_Data(), Table_SourceData_Scope3_InorganicFertiliser[[#Headers],[Category]], 0, -2)</f>
        <v>at market</v>
      </c>
      <c r="N190" s="30"/>
      <c r="O190" s="30"/>
      <c r="P190" s="30"/>
    </row>
    <row r="191" spans="4:16" ht="20.100000000000001" customHeight="1" x14ac:dyDescent="0.25">
      <c r="D191" s="30" t="str" cm="1">
        <f t="array" ref="D191">Common_InputFunctions.Utility_DisplayArrayInTable(Scope3_SourceData.Scope3_InorganicFertilisers_Data(), Table_SourceData_Scope3_InorganicFertiliser[[#Headers],[Category]], 0, 2)</f>
        <v>Inorganic fertilisers</v>
      </c>
      <c r="E191" s="30" t="str" cm="1">
        <f t="array" ref="E191">Common_InputFunctions.Utility_DisplayArrayInTable(Scope3_SourceData.Scope3_InorganicFertilisers_Data(), Table_SourceData_Scope3_InorganicFertiliser[[#Headers],[Category]], 0, 2)</f>
        <v>Sulfur from fertilizer, AU market mix</v>
      </c>
      <c r="F191" s="30" t="str" cm="1">
        <f t="array" ref="F191">Common_InputFunctions.Utility_DisplayArrayInTable(Scope3_SourceData.Scope3_InorganicFertilisers_Data(), Table_SourceData_Scope3_InorganicFertiliser[[#Headers],[Category]], 0, 2)</f>
        <v>Global</v>
      </c>
      <c r="G191" s="30" t="str">
        <f>'Constants - Fertiliser'!$D$32</f>
        <v>Sulfur - Generic</v>
      </c>
      <c r="H191" s="30"/>
      <c r="I191" s="30"/>
      <c r="J191" s="30"/>
      <c r="K191" s="30" t="str" cm="1">
        <f t="array" ref="K191">Common_InputFunctions.Utility_DisplayArrayInTable(Scope3_SourceData.Scope3_InorganicFertilisers_Data(), Table_SourceData_Scope3_InorganicFertiliser[[#Headers],[Category]], 0, -2)</f>
        <v>kg S</v>
      </c>
      <c r="L191" s="30" cm="1">
        <f t="array" ref="L191">Common_InputFunctions.Utility_DisplayArrayInTable(Scope3_SourceData.Scope3_InorganicFertilisers_Data(), Table_SourceData_Scope3_InorganicFertiliser[[#Headers],[Category]], 0, -2)</f>
        <v>2.5</v>
      </c>
      <c r="M191" s="30" t="str" cm="1">
        <f t="array" ref="M191">Common_InputFunctions.Utility_DisplayArrayInTable(Scope3_SourceData.Scope3_InorganicFertilisers_Data(), Table_SourceData_Scope3_InorganicFertiliser[[#Headers],[Category]], 0, -2)</f>
        <v>at market</v>
      </c>
      <c r="N191" s="30"/>
      <c r="O191" s="30"/>
      <c r="P191" s="30"/>
    </row>
    <row r="192" spans="4:16" ht="20.100000000000001" customHeight="1" x14ac:dyDescent="0.25">
      <c r="D192" s="30" t="str" cm="1">
        <f t="array" ref="D192">Common_InputFunctions.Utility_DisplayArrayInTable(Scope3_SourceData.Scope3_InorganicFertilisers_Data(), Table_SourceData_Scope3_InorganicFertiliser[[#Headers],[Category]], 0, 2)</f>
        <v>Inorganic fertilisers</v>
      </c>
      <c r="E192" s="30" t="str" cm="1">
        <f t="array" ref="E192">Common_InputFunctions.Utility_DisplayArrayInTable(Scope3_SourceData.Scope3_InorganicFertilisers_Data(), Table_SourceData_Scope3_InorganicFertiliser[[#Headers],[Category]], 0, 2)</f>
        <v>Ammonium sulphate, AU market mix</v>
      </c>
      <c r="F192" s="30" t="str" cm="1">
        <f t="array" ref="F192">Common_InputFunctions.Utility_DisplayArrayInTable(Scope3_SourceData.Scope3_InorganicFertilisers_Data(), Table_SourceData_Scope3_InorganicFertiliser[[#Headers],[Category]], 0, 2)</f>
        <v>Global</v>
      </c>
      <c r="G192" s="30" t="str">
        <f>'Constants - Fertiliser'!$D$23</f>
        <v>Sulphate of ammonia (SOA)</v>
      </c>
      <c r="H192" s="30"/>
      <c r="I192" s="30"/>
      <c r="J192" s="30"/>
      <c r="K192" s="30" t="str" cm="1">
        <f t="array" ref="K192">Common_InputFunctions.Utility_DisplayArrayInTable(Scope3_SourceData.Scope3_InorganicFertilisers_Data(), Table_SourceData_Scope3_InorganicFertiliser[[#Headers],[Category]], 0, -2)</f>
        <v>kg</v>
      </c>
      <c r="L192" s="30" cm="1">
        <f t="array" ref="L192">Common_InputFunctions.Utility_DisplayArrayInTable(Scope3_SourceData.Scope3_InorganicFertilisers_Data(), Table_SourceData_Scope3_InorganicFertiliser[[#Headers],[Category]], 0, -2)</f>
        <v>0.86499999999999999</v>
      </c>
      <c r="M192" s="30" t="str" cm="1">
        <f t="array" ref="M192">Common_InputFunctions.Utility_DisplayArrayInTable(Scope3_SourceData.Scope3_InorganicFertilisers_Data(), Table_SourceData_Scope3_InorganicFertiliser[[#Headers],[Category]], 0, -2)</f>
        <v>at market</v>
      </c>
      <c r="N192" s="30"/>
      <c r="O192" s="30"/>
      <c r="P192" s="30"/>
    </row>
    <row r="193" spans="4:16" ht="20.100000000000001" customHeight="1" x14ac:dyDescent="0.25">
      <c r="D193" s="30" t="str" cm="1">
        <f t="array" ref="D193">Common_InputFunctions.Utility_DisplayArrayInTable(Scope3_SourceData.Scope3_InorganicFertilisers_Data(), Table_SourceData_Scope3_InorganicFertiliser[[#Headers],[Category]], 0, 2)</f>
        <v>Inorganic fertilisers</v>
      </c>
      <c r="E193" s="30" t="str" cm="1">
        <f t="array" ref="E193">Common_InputFunctions.Utility_DisplayArrayInTable(Scope3_SourceData.Scope3_InorganicFertilisers_Data(), Table_SourceData_Scope3_InorganicFertiliser[[#Headers],[Category]], 0, 2)</f>
        <v>Urea ammonium nitrate, AU market mix</v>
      </c>
      <c r="F193" s="30" t="str" cm="1">
        <f t="array" ref="F193">Common_InputFunctions.Utility_DisplayArrayInTable(Scope3_SourceData.Scope3_InorganicFertilisers_Data(), Table_SourceData_Scope3_InorganicFertiliser[[#Headers],[Category]], 0, 2)</f>
        <v>Global</v>
      </c>
      <c r="G193" s="30" t="str">
        <f>'Constants - Fertiliser'!$D$24</f>
        <v>Urea-ammonium nitrate (UAN)</v>
      </c>
      <c r="H193" s="30"/>
      <c r="I193" s="30"/>
      <c r="J193" s="30"/>
      <c r="K193" s="30" t="str" cm="1">
        <f t="array" ref="K193">Common_InputFunctions.Utility_DisplayArrayInTable(Scope3_SourceData.Scope3_InorganicFertilisers_Data(), Table_SourceData_Scope3_InorganicFertiliser[[#Headers],[Category]], 0, -2)</f>
        <v>kg</v>
      </c>
      <c r="L193" s="30" cm="1">
        <f t="array" ref="L193">Common_InputFunctions.Utility_DisplayArrayInTable(Scope3_SourceData.Scope3_InorganicFertilisers_Data(), Table_SourceData_Scope3_InorganicFertiliser[[#Headers],[Category]], 0, -2)</f>
        <v>1.75</v>
      </c>
      <c r="M193" s="30" t="str" cm="1">
        <f t="array" ref="M193">Common_InputFunctions.Utility_DisplayArrayInTable(Scope3_SourceData.Scope3_InorganicFertilisers_Data(), Table_SourceData_Scope3_InorganicFertiliser[[#Headers],[Category]], 0, -2)</f>
        <v>at market</v>
      </c>
      <c r="N193" s="30"/>
      <c r="O193" s="30"/>
      <c r="P193" s="30"/>
    </row>
    <row r="194" spans="4:16" ht="20.100000000000001" customHeight="1" x14ac:dyDescent="0.25">
      <c r="D194" s="30" t="str" cm="1">
        <f t="array" ref="D194">Common_InputFunctions.Utility_DisplayArrayInTable(Scope3_SourceData.Scope3_InorganicFertilisers_Data(), Table_SourceData_Scope3_InorganicFertiliser[[#Headers],[Category]], 0, 2)</f>
        <v>Inorganic fertilisers</v>
      </c>
      <c r="E194" s="30" t="str" cm="1">
        <f t="array" ref="E194">Common_InputFunctions.Utility_DisplayArrayInTable(Scope3_SourceData.Scope3_InorganicFertilisers_Data(), Table_SourceData_Scope3_InorganicFertiliser[[#Headers],[Category]], 0, 2)</f>
        <v>Urea, AU market mix</v>
      </c>
      <c r="F194" s="30" t="str" cm="1">
        <f t="array" ref="F194">Common_InputFunctions.Utility_DisplayArrayInTable(Scope3_SourceData.Scope3_InorganicFertilisers_Data(), Table_SourceData_Scope3_InorganicFertiliser[[#Headers],[Category]], 0, 2)</f>
        <v>Global</v>
      </c>
      <c r="G194" s="30" t="str">
        <f>'Constants - Fertiliser'!$D$22</f>
        <v>Urea</v>
      </c>
      <c r="H194" s="30" t="str">
        <f>'Constants - Fertiliser'!$V$20</f>
        <v>Global</v>
      </c>
      <c r="I194" s="30"/>
      <c r="J194" s="30"/>
      <c r="K194" s="30" t="str" cm="1">
        <f t="array" ref="K194">Common_InputFunctions.Utility_DisplayArrayInTable(Scope3_SourceData.Scope3_InorganicFertilisers_Data(), Table_SourceData_Scope3_InorganicFertiliser[[#Headers],[Category]], 0, -2)</f>
        <v>kg</v>
      </c>
      <c r="L194" s="30" cm="1">
        <f t="array" ref="L194">Common_InputFunctions.Utility_DisplayArrayInTable(Scope3_SourceData.Scope3_InorganicFertilisers_Data(), Table_SourceData_Scope3_InorganicFertiliser[[#Headers],[Category]], 0, -2)</f>
        <v>0.96799999999999997</v>
      </c>
      <c r="M194" s="30" t="str" cm="1">
        <f t="array" ref="M194">Common_InputFunctions.Utility_DisplayArrayInTable(Scope3_SourceData.Scope3_InorganicFertilisers_Data(), Table_SourceData_Scope3_InorganicFertiliser[[#Headers],[Category]], 0, -2)</f>
        <v>at market</v>
      </c>
      <c r="N194" s="30"/>
      <c r="O194" s="30"/>
      <c r="P194" s="30"/>
    </row>
    <row r="195" spans="4:16" ht="20.100000000000001" customHeight="1" x14ac:dyDescent="0.25">
      <c r="D195" s="30" t="str" cm="1">
        <f t="array" ref="D195">Common_InputFunctions.Utility_DisplayArrayInTable(Scope3_SourceData.Scope3_InorganicFertilisers_Data(), Table_SourceData_Scope3_InorganicFertiliser[[#Headers],[Category]], 0, 2)</f>
        <v>Inorganic fertilisers</v>
      </c>
      <c r="E195" s="30" t="str" cm="1">
        <f t="array" ref="E195">Common_InputFunctions.Utility_DisplayArrayInTable(Scope3_SourceData.Scope3_InorganicFertilisers_Data(), Table_SourceData_Scope3_InorganicFertiliser[[#Headers],[Category]], 0, 2)</f>
        <v>Urea, Canada</v>
      </c>
      <c r="F195" s="30" t="str" cm="1">
        <f t="array" ref="F195">Common_InputFunctions.Utility_DisplayArrayInTable(Scope3_SourceData.Scope3_InorganicFertilisers_Data(), Table_SourceData_Scope3_InorganicFertiliser[[#Headers],[Category]], 0, 2)</f>
        <v>Canada</v>
      </c>
      <c r="G195" s="30" t="str">
        <f>'Constants - Fertiliser'!$D$22</f>
        <v>Urea</v>
      </c>
      <c r="H195" s="30" t="str">
        <f>'Constants - Fertiliser'!$V$21</f>
        <v>Canada</v>
      </c>
      <c r="I195" s="30"/>
      <c r="J195" s="30"/>
      <c r="K195" s="30" t="str" cm="1">
        <f t="array" ref="K195">Common_InputFunctions.Utility_DisplayArrayInTable(Scope3_SourceData.Scope3_InorganicFertilisers_Data(), Table_SourceData_Scope3_InorganicFertiliser[[#Headers],[Category]], 0, -2)</f>
        <v>kg</v>
      </c>
      <c r="L195" s="30" cm="1">
        <f t="array" ref="L195">Common_InputFunctions.Utility_DisplayArrayInTable(Scope3_SourceData.Scope3_InorganicFertilisers_Data(), Table_SourceData_Scope3_InorganicFertiliser[[#Headers],[Category]], 0, -2)</f>
        <v>0.82299999999999995</v>
      </c>
      <c r="M195" s="30" t="str" cm="1">
        <f t="array" ref="M195">Common_InputFunctions.Utility_DisplayArrayInTable(Scope3_SourceData.Scope3_InorganicFertilisers_Data(), Table_SourceData_Scope3_InorganicFertiliser[[#Headers],[Category]], 0, -2)</f>
        <v>at market</v>
      </c>
      <c r="N195" s="30"/>
      <c r="O195" s="30"/>
      <c r="P195" s="30"/>
    </row>
    <row r="196" spans="4:16" ht="20.100000000000001" customHeight="1" x14ac:dyDescent="0.25">
      <c r="D196" s="30" t="str" cm="1">
        <f t="array" ref="D196">Common_InputFunctions.Utility_DisplayArrayInTable(Scope3_SourceData.Scope3_InorganicFertilisers_Data(), Table_SourceData_Scope3_InorganicFertiliser[[#Headers],[Category]], 0, 2)</f>
        <v>Inorganic fertilisers</v>
      </c>
      <c r="E196" s="30" t="str" cm="1">
        <f t="array" ref="E196">Common_InputFunctions.Utility_DisplayArrayInTable(Scope3_SourceData.Scope3_InorganicFertilisers_Data(), Table_SourceData_Scope3_InorganicFertiliser[[#Headers],[Category]], 0, 2)</f>
        <v>Urea, China</v>
      </c>
      <c r="F196" s="30" t="str" cm="1">
        <f t="array" ref="F196">Common_InputFunctions.Utility_DisplayArrayInTable(Scope3_SourceData.Scope3_InorganicFertilisers_Data(), Table_SourceData_Scope3_InorganicFertiliser[[#Headers],[Category]], 0, 2)</f>
        <v>China</v>
      </c>
      <c r="G196" s="30" t="str">
        <f>'Constants - Fertiliser'!$D$22</f>
        <v>Urea</v>
      </c>
      <c r="H196" s="30" t="str">
        <f>'Constants - Fertiliser'!$V$22</f>
        <v>China</v>
      </c>
      <c r="I196" s="30"/>
      <c r="J196" s="30"/>
      <c r="K196" s="30" t="str" cm="1">
        <f t="array" ref="K196">Common_InputFunctions.Utility_DisplayArrayInTable(Scope3_SourceData.Scope3_InorganicFertilisers_Data(), Table_SourceData_Scope3_InorganicFertiliser[[#Headers],[Category]], 0, -2)</f>
        <v>kg</v>
      </c>
      <c r="L196" s="30" cm="1">
        <f t="array" ref="L196">Common_InputFunctions.Utility_DisplayArrayInTable(Scope3_SourceData.Scope3_InorganicFertilisers_Data(), Table_SourceData_Scope3_InorganicFertiliser[[#Headers],[Category]], 0, -2)</f>
        <v>2.09</v>
      </c>
      <c r="M196" s="30" t="str" cm="1">
        <f t="array" ref="M196">Common_InputFunctions.Utility_DisplayArrayInTable(Scope3_SourceData.Scope3_InorganicFertilisers_Data(), Table_SourceData_Scope3_InorganicFertiliser[[#Headers],[Category]], 0, -2)</f>
        <v>at market</v>
      </c>
      <c r="N196" s="30"/>
      <c r="O196" s="30"/>
      <c r="P196" s="30"/>
    </row>
    <row r="197" spans="4:16" ht="20.100000000000001" customHeight="1" x14ac:dyDescent="0.25">
      <c r="D197" s="30" t="str" cm="1">
        <f t="array" ref="D197">Common_InputFunctions.Utility_DisplayArrayInTable(Scope3_SourceData.Scope3_InorganicFertilisers_Data(), Table_SourceData_Scope3_InorganicFertiliser[[#Headers],[Category]], 0, 2)</f>
        <v>Inorganic fertilisers</v>
      </c>
      <c r="E197" s="30" t="str" cm="1">
        <f t="array" ref="E197">Common_InputFunctions.Utility_DisplayArrayInTable(Scope3_SourceData.Scope3_InorganicFertilisers_Data(), Table_SourceData_Scope3_InorganicFertiliser[[#Headers],[Category]], 0, 2)</f>
        <v>Urea, Yemen</v>
      </c>
      <c r="F197" s="30" t="str" cm="1">
        <f t="array" ref="F197">Common_InputFunctions.Utility_DisplayArrayInTable(Scope3_SourceData.Scope3_InorganicFertilisers_Data(), Table_SourceData_Scope3_InorganicFertiliser[[#Headers],[Category]], 0, 2)</f>
        <v>Yemen</v>
      </c>
      <c r="G197" s="30" t="str">
        <f>'Constants - Fertiliser'!$D$22</f>
        <v>Urea</v>
      </c>
      <c r="H197" s="30" t="str">
        <f>'Constants - Fertiliser'!$V$23</f>
        <v>Yemen</v>
      </c>
      <c r="I197" s="30"/>
      <c r="J197" s="30"/>
      <c r="K197" s="30" t="str" cm="1">
        <f t="array" ref="K197">Common_InputFunctions.Utility_DisplayArrayInTable(Scope3_SourceData.Scope3_InorganicFertilisers_Data(), Table_SourceData_Scope3_InorganicFertiliser[[#Headers],[Category]], 0, -2)</f>
        <v>kg</v>
      </c>
      <c r="L197" s="30" cm="1">
        <f t="array" ref="L197">Common_InputFunctions.Utility_DisplayArrayInTable(Scope3_SourceData.Scope3_InorganicFertilisers_Data(), Table_SourceData_Scope3_InorganicFertiliser[[#Headers],[Category]], 0, -2)</f>
        <v>0.96299999999999997</v>
      </c>
      <c r="M197" s="30" t="str" cm="1">
        <f t="array" ref="M197">Common_InputFunctions.Utility_DisplayArrayInTable(Scope3_SourceData.Scope3_InorganicFertilisers_Data(), Table_SourceData_Scope3_InorganicFertiliser[[#Headers],[Category]], 0, -2)</f>
        <v>at market</v>
      </c>
      <c r="N197" s="30"/>
      <c r="O197" s="30"/>
      <c r="P197" s="30"/>
    </row>
    <row r="198" spans="4:16" ht="20.100000000000001" customHeight="1" x14ac:dyDescent="0.25">
      <c r="D198" s="30" t="str" cm="1">
        <f t="array" ref="D198">Common_InputFunctions.Utility_DisplayArrayInTable(Scope3_SourceData.Scope3_InorganicFertilisers_Data(), Table_SourceData_Scope3_InorganicFertiliser[[#Headers],[Category]], 0, 2)</f>
        <v>Inorganic fertilisers</v>
      </c>
      <c r="E198" s="30" t="str" cm="1">
        <f t="array" ref="E198">Common_InputFunctions.Utility_DisplayArrayInTable(Scope3_SourceData.Scope3_InorganicFertilisers_Data(), Table_SourceData_Scope3_InorganicFertiliser[[#Headers],[Category]], 0, 2)</f>
        <v>Zinc from fertilizer</v>
      </c>
      <c r="F198" s="30" t="str" cm="1">
        <f t="array" ref="F198">Common_InputFunctions.Utility_DisplayArrayInTable(Scope3_SourceData.Scope3_InorganicFertilisers_Data(), Table_SourceData_Scope3_InorganicFertiliser[[#Headers],[Category]], 0, 2)</f>
        <v>Global</v>
      </c>
      <c r="G198" s="30" t="str">
        <f>'Constants - Fertiliser'!$D$33</f>
        <v>Zinc - Generic</v>
      </c>
      <c r="H198" s="30"/>
      <c r="I198" s="30"/>
      <c r="J198" s="30"/>
      <c r="K198" s="30" t="str" cm="1">
        <f t="array" ref="K198">Common_InputFunctions.Utility_DisplayArrayInTable(Scope3_SourceData.Scope3_InorganicFertilisers_Data(), Table_SourceData_Scope3_InorganicFertiliser[[#Headers],[Category]], 0, -2)</f>
        <v>kg Zn</v>
      </c>
      <c r="L198" s="30" cm="1">
        <f t="array" ref="L198">Common_InputFunctions.Utility_DisplayArrayInTable(Scope3_SourceData.Scope3_InorganicFertilisers_Data(), Table_SourceData_Scope3_InorganicFertiliser[[#Headers],[Category]], 0, -2)</f>
        <v>4.82</v>
      </c>
      <c r="M198" s="30" t="str" cm="1">
        <f t="array" ref="M198">Common_InputFunctions.Utility_DisplayArrayInTable(Scope3_SourceData.Scope3_InorganicFertilisers_Data(), Table_SourceData_Scope3_InorganicFertiliser[[#Headers],[Category]], 0, -2)</f>
        <v>at market</v>
      </c>
      <c r="N198" s="30"/>
      <c r="O198" s="30"/>
      <c r="P198" s="30"/>
    </row>
    <row r="199" spans="4:16" ht="20.100000000000001" customHeight="1" x14ac:dyDescent="0.25">
      <c r="N199" s="30"/>
      <c r="O199" s="30"/>
      <c r="P199" s="30"/>
    </row>
    <row r="200" spans="4:16" ht="20.100000000000001" customHeight="1" x14ac:dyDescent="0.25">
      <c r="D200" s="2" t="s">
        <v>1188</v>
      </c>
      <c r="N200" s="30"/>
      <c r="O200" s="30"/>
      <c r="P200" s="30"/>
    </row>
    <row r="201" spans="4:16" ht="20.100000000000001" customHeight="1" x14ac:dyDescent="0.25">
      <c r="D201" s="30" t="s">
        <v>452</v>
      </c>
      <c r="E201" s="30" t="s">
        <v>152</v>
      </c>
      <c r="F201" s="30" t="s">
        <v>453</v>
      </c>
      <c r="G201" s="30" t="s">
        <v>454</v>
      </c>
      <c r="H201" s="30" t="s">
        <v>455</v>
      </c>
      <c r="I201" s="30" t="s">
        <v>456</v>
      </c>
      <c r="N201" s="30"/>
      <c r="O201" s="30"/>
      <c r="P201" s="30"/>
    </row>
    <row r="202" spans="4:16" ht="20.100000000000001" customHeight="1" x14ac:dyDescent="0.25">
      <c r="D202" s="30" t="str" cm="1">
        <f t="array" ref="D202">Common_InputFunctions.Utility_DisplayArrayInTable(Scope3_SourceData.Scope3_Other_Data(), Table_SourceData_Scope3_Other[[#Headers],[Category]], 0, 2)</f>
        <v>Other</v>
      </c>
      <c r="E202" s="30" t="str" cm="1">
        <f t="array" ref="E202">Common_InputFunctions.Utility_DisplayArrayInTable(Scope3_SourceData.Scope3_Other_Data(), Table_SourceData_Scope3_Other[[#Headers],[Category]], 0, 2)</f>
        <v>Animal ear tags (large)</v>
      </c>
      <c r="F202" s="30" t="str" cm="1">
        <f t="array" ref="F202">Common_InputFunctions.Utility_DisplayArrayInTable(Scope3_SourceData.Scope3_Other_Data(), Table_SourceData_Scope3_Other[[#Headers],[Category]], 0, 2)</f>
        <v>Australia</v>
      </c>
      <c r="G202" s="30" t="str" cm="1">
        <f t="array" ref="G202">Common_InputFunctions.Utility_DisplayArrayInTable(Scope3_SourceData.Scope3_Other_Data(), Table_SourceData_Scope3_Other[[#Headers],[Category]], 0, 2)</f>
        <v>p</v>
      </c>
      <c r="H202" s="30" cm="1">
        <f t="array" ref="H202">Common_InputFunctions.Utility_DisplayArrayInTable(Scope3_SourceData.Scope3_Other_Data(), Table_SourceData_Scope3_Other[[#Headers],[Category]], 0, 2)</f>
        <v>4.24E-2</v>
      </c>
      <c r="I202" s="30" t="str" cm="1">
        <f t="array" ref="I202">Common_InputFunctions.Utility_DisplayArrayInTable(Scope3_SourceData.Scope3_Other_Data(), Table_SourceData_Scope3_Other[[#Headers],[Category]], 0, 2)</f>
        <v>at market</v>
      </c>
      <c r="N202" s="30"/>
      <c r="O202" s="30"/>
      <c r="P202" s="30"/>
    </row>
    <row r="203" spans="4:16" ht="20.100000000000001" customHeight="1" x14ac:dyDescent="0.25">
      <c r="D203" s="30" t="str" cm="1">
        <f t="array" ref="D203">Common_InputFunctions.Utility_DisplayArrayInTable(Scope3_SourceData.Scope3_Other_Data(), Table_SourceData_Scope3_Other[[#Headers],[Category]], 0, 2)</f>
        <v>Other</v>
      </c>
      <c r="E203" s="30" t="str" cm="1">
        <f t="array" ref="E203">Common_InputFunctions.Utility_DisplayArrayInTable(Scope3_SourceData.Scope3_Other_Data(), Table_SourceData_Scope3_Other[[#Headers],[Category]], 0, 2)</f>
        <v>Animal ear tags (small)</v>
      </c>
      <c r="F203" s="30" t="str" cm="1">
        <f t="array" ref="F203">Common_InputFunctions.Utility_DisplayArrayInTable(Scope3_SourceData.Scope3_Other_Data(), Table_SourceData_Scope3_Other[[#Headers],[Category]], 0, 2)</f>
        <v>Australia</v>
      </c>
      <c r="G203" s="30" t="str" cm="1">
        <f t="array" ref="G203">Common_InputFunctions.Utility_DisplayArrayInTable(Scope3_SourceData.Scope3_Other_Data(), Table_SourceData_Scope3_Other[[#Headers],[Category]], 0, 2)</f>
        <v>p</v>
      </c>
      <c r="H203" s="30" cm="1">
        <f t="array" ref="H203">Common_InputFunctions.Utility_DisplayArrayInTable(Scope3_SourceData.Scope3_Other_Data(), Table_SourceData_Scope3_Other[[#Headers],[Category]], 0, 2)</f>
        <v>2.93E-2</v>
      </c>
      <c r="I203" s="30" t="str" cm="1">
        <f t="array" ref="I203">Common_InputFunctions.Utility_DisplayArrayInTable(Scope3_SourceData.Scope3_Other_Data(), Table_SourceData_Scope3_Other[[#Headers],[Category]], 0, 2)</f>
        <v>at market</v>
      </c>
      <c r="N203" s="30"/>
      <c r="O203" s="30"/>
      <c r="P203" s="30"/>
    </row>
    <row r="204" spans="4:16" ht="20.100000000000001" customHeight="1" x14ac:dyDescent="0.25">
      <c r="D204" s="30" t="str" cm="1">
        <f t="array" ref="D204">Common_InputFunctions.Utility_DisplayArrayInTable(Scope3_SourceData.Scope3_Other_Data(), Table_SourceData_Scope3_Other[[#Headers],[Category]], 0, 2)</f>
        <v>Other</v>
      </c>
      <c r="E204" s="30" t="str" cm="1">
        <f t="array" ref="E204">Common_InputFunctions.Utility_DisplayArrayInTable(Scope3_SourceData.Scope3_Other_Data(), Table_SourceData_Scope3_Other[[#Headers],[Category]], 0, 2)</f>
        <v>Barley grain (for seed)</v>
      </c>
      <c r="F204" s="30" t="str" cm="1">
        <f t="array" ref="F204">Common_InputFunctions.Utility_DisplayArrayInTable(Scope3_SourceData.Scope3_Other_Data(), Table_SourceData_Scope3_Other[[#Headers],[Category]], 0, 2)</f>
        <v>Australia</v>
      </c>
      <c r="G204" s="30" t="str" cm="1">
        <f t="array" ref="G204">Common_InputFunctions.Utility_DisplayArrayInTable(Scope3_SourceData.Scope3_Other_Data(), Table_SourceData_Scope3_Other[[#Headers],[Category]], 0, 2)</f>
        <v>kg</v>
      </c>
      <c r="H204" s="30" cm="1">
        <f t="array" ref="H204">Common_InputFunctions.Utility_DisplayArrayInTable(Scope3_SourceData.Scope3_Other_Data(), Table_SourceData_Scope3_Other[[#Headers],[Category]], 0, 2)</f>
        <v>0.23899999999999999</v>
      </c>
      <c r="I204" s="30" t="str" cm="1">
        <f t="array" ref="I204">Common_InputFunctions.Utility_DisplayArrayInTable(Scope3_SourceData.Scope3_Other_Data(), Table_SourceData_Scope3_Other[[#Headers],[Category]], 0, 2)</f>
        <v>at market</v>
      </c>
      <c r="N204" s="30"/>
      <c r="O204" s="30"/>
      <c r="P204" s="30"/>
    </row>
    <row r="205" spans="4:16" ht="20.100000000000001" customHeight="1" x14ac:dyDescent="0.25">
      <c r="D205" s="30" t="str" cm="1">
        <f t="array" ref="D205">Common_InputFunctions.Utility_DisplayArrayInTable(Scope3_SourceData.Scope3_Other_Data(), Table_SourceData_Scope3_Other[[#Headers],[Category]], 0, 2)</f>
        <v>Other</v>
      </c>
      <c r="E205" s="30" t="str" cm="1">
        <f t="array" ref="E205">Common_InputFunctions.Utility_DisplayArrayInTable(Scope3_SourceData.Scope3_Other_Data(), Table_SourceData_Scope3_Other[[#Headers],[Category]], 0, 2)</f>
        <v>Maize grain (for seed)</v>
      </c>
      <c r="F205" s="30" t="str" cm="1">
        <f t="array" ref="F205">Common_InputFunctions.Utility_DisplayArrayInTable(Scope3_SourceData.Scope3_Other_Data(), Table_SourceData_Scope3_Other[[#Headers],[Category]], 0, 2)</f>
        <v>Australia</v>
      </c>
      <c r="G205" s="30" t="str" cm="1">
        <f t="array" ref="G205">Common_InputFunctions.Utility_DisplayArrayInTable(Scope3_SourceData.Scope3_Other_Data(), Table_SourceData_Scope3_Other[[#Headers],[Category]], 0, 2)</f>
        <v>kg</v>
      </c>
      <c r="H205" s="30" cm="1">
        <f t="array" ref="H205">Common_InputFunctions.Utility_DisplayArrayInTable(Scope3_SourceData.Scope3_Other_Data(), Table_SourceData_Scope3_Other[[#Headers],[Category]], 0, 2)</f>
        <v>0.18099999999999999</v>
      </c>
      <c r="I205" s="30" t="str" cm="1">
        <f t="array" ref="I205">Common_InputFunctions.Utility_DisplayArrayInTable(Scope3_SourceData.Scope3_Other_Data(), Table_SourceData_Scope3_Other[[#Headers],[Category]], 0, 2)</f>
        <v>at market</v>
      </c>
      <c r="N205" s="30"/>
      <c r="O205" s="30"/>
      <c r="P205" s="30"/>
    </row>
    <row r="206" spans="4:16" ht="20.100000000000001" customHeight="1" x14ac:dyDescent="0.25">
      <c r="D206" s="30" t="str" cm="1">
        <f t="array" ref="D206">Common_InputFunctions.Utility_DisplayArrayInTable(Scope3_SourceData.Scope3_Other_Data(), Table_SourceData_Scope3_Other[[#Headers],[Category]], 0, 2)</f>
        <v>Other</v>
      </c>
      <c r="E206" s="30" t="str" cm="1">
        <f t="array" ref="E206">Common_InputFunctions.Utility_DisplayArrayInTable(Scope3_SourceData.Scope3_Other_Data(), Table_SourceData_Scope3_Other[[#Headers],[Category]], 0, 2)</f>
        <v>Nylon netting</v>
      </c>
      <c r="F206" s="30" t="str" cm="1">
        <f t="array" ref="F206">Common_InputFunctions.Utility_DisplayArrayInTable(Scope3_SourceData.Scope3_Other_Data(), Table_SourceData_Scope3_Other[[#Headers],[Category]], 0, 2)</f>
        <v>Global</v>
      </c>
      <c r="G206" s="30" t="str" cm="1">
        <f t="array" ref="G206">Common_InputFunctions.Utility_DisplayArrayInTable(Scope3_SourceData.Scope3_Other_Data(), Table_SourceData_Scope3_Other[[#Headers],[Category]], 0, 2)</f>
        <v>kg</v>
      </c>
      <c r="H206" s="30" cm="1">
        <f t="array" ref="H206">Common_InputFunctions.Utility_DisplayArrayInTable(Scope3_SourceData.Scope3_Other_Data(), Table_SourceData_Scope3_Other[[#Headers],[Category]], 0, 2)</f>
        <v>9.81</v>
      </c>
      <c r="I206" s="30" t="str" cm="1">
        <f t="array" ref="I206">Common_InputFunctions.Utility_DisplayArrayInTable(Scope3_SourceData.Scope3_Other_Data(), Table_SourceData_Scope3_Other[[#Headers],[Category]], 0, 2)</f>
        <v>at market</v>
      </c>
      <c r="N206" s="30"/>
      <c r="O206" s="30"/>
      <c r="P206" s="30"/>
    </row>
    <row r="207" spans="4:16" ht="20.100000000000001" customHeight="1" x14ac:dyDescent="0.25">
      <c r="D207" s="30" t="str" cm="1">
        <f t="array" ref="D207">Common_InputFunctions.Utility_DisplayArrayInTable(Scope3_SourceData.Scope3_Other_Data(), Table_SourceData_Scope3_Other[[#Headers],[Category]], 0, 2)</f>
        <v>Other</v>
      </c>
      <c r="E207" s="30" t="str" cm="1">
        <f t="array" ref="E207">Common_InputFunctions.Utility_DisplayArrayInTable(Scope3_SourceData.Scope3_Other_Data(), Table_SourceData_Scope3_Other[[#Headers],[Category]], 0, 2)</f>
        <v>Oat grain (for seed)</v>
      </c>
      <c r="F207" s="30" t="str" cm="1">
        <f t="array" ref="F207">Common_InputFunctions.Utility_DisplayArrayInTable(Scope3_SourceData.Scope3_Other_Data(), Table_SourceData_Scope3_Other[[#Headers],[Category]], 0, 2)</f>
        <v>Australia</v>
      </c>
      <c r="G207" s="30" t="str" cm="1">
        <f t="array" ref="G207">Common_InputFunctions.Utility_DisplayArrayInTable(Scope3_SourceData.Scope3_Other_Data(), Table_SourceData_Scope3_Other[[#Headers],[Category]], 0, 2)</f>
        <v>kg</v>
      </c>
      <c r="H207" s="30" cm="1">
        <f t="array" ref="H207">Common_InputFunctions.Utility_DisplayArrayInTable(Scope3_SourceData.Scope3_Other_Data(), Table_SourceData_Scope3_Other[[#Headers],[Category]], 0, 2)</f>
        <v>0.27</v>
      </c>
      <c r="I207" s="30" t="str" cm="1">
        <f t="array" ref="I207">Common_InputFunctions.Utility_DisplayArrayInTable(Scope3_SourceData.Scope3_Other_Data(), Table_SourceData_Scope3_Other[[#Headers],[Category]], 0, 2)</f>
        <v>at market</v>
      </c>
      <c r="N207" s="30"/>
      <c r="O207" s="30"/>
      <c r="P207" s="30"/>
    </row>
    <row r="208" spans="4:16" ht="20.100000000000001" customHeight="1" x14ac:dyDescent="0.25">
      <c r="D208" s="30" t="str" cm="1">
        <f t="array" ref="D208">Common_InputFunctions.Utility_DisplayArrayInTable(Scope3_SourceData.Scope3_Other_Data(), Table_SourceData_Scope3_Other[[#Headers],[Category]], 0, 2)</f>
        <v>Other</v>
      </c>
      <c r="E208" s="30" t="str" cm="1">
        <f t="array" ref="E208">Common_InputFunctions.Utility_DisplayArrayInTable(Scope3_SourceData.Scope3_Other_Data(), Table_SourceData_Scope3_Other[[#Headers],[Category]], 0, 2)</f>
        <v>Sorghum grain (for seed)</v>
      </c>
      <c r="F208" s="30" t="str" cm="1">
        <f t="array" ref="F208">Common_InputFunctions.Utility_DisplayArrayInTable(Scope3_SourceData.Scope3_Other_Data(), Table_SourceData_Scope3_Other[[#Headers],[Category]], 0, 2)</f>
        <v>Australia</v>
      </c>
      <c r="G208" s="30" t="str" cm="1">
        <f t="array" ref="G208">Common_InputFunctions.Utility_DisplayArrayInTable(Scope3_SourceData.Scope3_Other_Data(), Table_SourceData_Scope3_Other[[#Headers],[Category]], 0, 2)</f>
        <v>kg</v>
      </c>
      <c r="H208" s="30" cm="1">
        <f t="array" ref="H208">Common_InputFunctions.Utility_DisplayArrayInTable(Scope3_SourceData.Scope3_Other_Data(), Table_SourceData_Scope3_Other[[#Headers],[Category]], 0, 2)</f>
        <v>0.23200000000000001</v>
      </c>
      <c r="I208" s="30" t="str" cm="1">
        <f t="array" ref="I208">Common_InputFunctions.Utility_DisplayArrayInTable(Scope3_SourceData.Scope3_Other_Data(), Table_SourceData_Scope3_Other[[#Headers],[Category]], 0, 2)</f>
        <v>at market</v>
      </c>
      <c r="N208" s="30"/>
      <c r="O208" s="30"/>
      <c r="P208" s="30"/>
    </row>
    <row r="209" spans="4:16" ht="20.100000000000001" customHeight="1" x14ac:dyDescent="0.25">
      <c r="D209" s="30" t="str" cm="1">
        <f t="array" ref="D209">Common_InputFunctions.Utility_DisplayArrayInTable(Scope3_SourceData.Scope3_Other_Data(), Table_SourceData_Scope3_Other[[#Headers],[Category]], 0, 2)</f>
        <v>Other</v>
      </c>
      <c r="E209" s="30" t="str" cm="1">
        <f t="array" ref="E209">Common_InputFunctions.Utility_DisplayArrayInTable(Scope3_SourceData.Scope3_Other_Data(), Table_SourceData_Scope3_Other[[#Headers],[Category]], 0, 2)</f>
        <v>Wheat grain (for seed)</v>
      </c>
      <c r="F209" s="30" t="str" cm="1">
        <f t="array" ref="F209">Common_InputFunctions.Utility_DisplayArrayInTable(Scope3_SourceData.Scope3_Other_Data(), Table_SourceData_Scope3_Other[[#Headers],[Category]], 0, 2)</f>
        <v>Australia</v>
      </c>
      <c r="G209" s="30" t="str" cm="1">
        <f t="array" ref="G209">Common_InputFunctions.Utility_DisplayArrayInTable(Scope3_SourceData.Scope3_Other_Data(), Table_SourceData_Scope3_Other[[#Headers],[Category]], 0, 2)</f>
        <v>kg</v>
      </c>
      <c r="H209" s="30" cm="1">
        <f t="array" ref="H209">Common_InputFunctions.Utility_DisplayArrayInTable(Scope3_SourceData.Scope3_Other_Data(), Table_SourceData_Scope3_Other[[#Headers],[Category]], 0, 2)</f>
        <v>0.26800000000000002</v>
      </c>
      <c r="I209" s="30" t="str" cm="1">
        <f t="array" ref="I209">Common_InputFunctions.Utility_DisplayArrayInTable(Scope3_SourceData.Scope3_Other_Data(), Table_SourceData_Scope3_Other[[#Headers],[Category]], 0, 2)</f>
        <v>at market</v>
      </c>
      <c r="N209" s="30"/>
      <c r="O209" s="30"/>
      <c r="P209" s="30"/>
    </row>
    <row r="210" spans="4:16" ht="20.100000000000001" customHeight="1" x14ac:dyDescent="0.25">
      <c r="N210" s="30"/>
      <c r="O210" s="30"/>
      <c r="P210" s="30"/>
    </row>
    <row r="211" spans="4:16" ht="20.100000000000001" customHeight="1" x14ac:dyDescent="0.25">
      <c r="D211" s="2" t="s">
        <v>1019</v>
      </c>
    </row>
    <row r="212" spans="4:16" ht="20.100000000000001" customHeight="1" x14ac:dyDescent="0.25">
      <c r="D212" s="30" t="s">
        <v>452</v>
      </c>
      <c r="E212" s="30" t="s">
        <v>152</v>
      </c>
      <c r="F212" s="30" t="s">
        <v>453</v>
      </c>
      <c r="G212" s="30" t="s">
        <v>454</v>
      </c>
      <c r="H212" s="30" t="s">
        <v>455</v>
      </c>
      <c r="I212" s="30" t="s">
        <v>456</v>
      </c>
    </row>
    <row r="213" spans="4:16" ht="20.100000000000001" customHeight="1" x14ac:dyDescent="0.25">
      <c r="D213" s="30" t="str" cm="1">
        <f t="array" ref="D213">Common_InputFunctions.Utility_DisplayArrayInTable(Scope3_SourceData.Scope3_Packaging_Data(), Table_SourceData_Scope3_Packaging[[#Headers],[Category]], 0, 2)</f>
        <v>Packaging</v>
      </c>
      <c r="E213" s="30" t="str" cm="1">
        <f t="array" ref="E213">Common_InputFunctions.Utility_DisplayArrayInTable(Scope3_SourceData.Scope3_Packaging_Data(), Table_SourceData_Scope3_Packaging[[#Headers],[Category]], 0, 2)</f>
        <v>Corrugated board</v>
      </c>
      <c r="F213" s="30" t="str" cm="1">
        <f t="array" ref="F213">Common_InputFunctions.Utility_DisplayArrayInTable(Scope3_SourceData.Scope3_Packaging_Data(), Table_SourceData_Scope3_Packaging[[#Headers],[Category]], 0, 2)</f>
        <v>Global</v>
      </c>
      <c r="G213" s="30" t="str" cm="1">
        <f t="array" ref="G213">Common_InputFunctions.Utility_DisplayArrayInTable(Scope3_SourceData.Scope3_Packaging_Data(), Table_SourceData_Scope3_Packaging[[#Headers],[Category]], 0, 2)</f>
        <v>kg</v>
      </c>
      <c r="H213" s="30" cm="1">
        <f t="array" ref="H213">Common_InputFunctions.Utility_DisplayArrayInTable(Scope3_SourceData.Scope3_Packaging_Data(), Table_SourceData_Scope3_Packaging[[#Headers],[Category]], 0, 2)</f>
        <v>1.05</v>
      </c>
      <c r="I213" s="30" t="str" cm="1">
        <f t="array" ref="I213">Common_InputFunctions.Utility_DisplayArrayInTable(Scope3_SourceData.Scope3_Packaging_Data(), Table_SourceData_Scope3_Packaging[[#Headers],[Category]], 0, 2)</f>
        <v>at manufacturer</v>
      </c>
    </row>
    <row r="214" spans="4:16" ht="20.100000000000001" customHeight="1" x14ac:dyDescent="0.25">
      <c r="D214" s="30" t="str" cm="1">
        <f t="array" ref="D214">Common_InputFunctions.Utility_DisplayArrayInTable(Scope3_SourceData.Scope3_Packaging_Data(), Table_SourceData_Scope3_Packaging[[#Headers],[Category]], 0, 2)</f>
        <v>Packaging</v>
      </c>
      <c r="E214" s="30" t="str" cm="1">
        <f t="array" ref="E214">Common_InputFunctions.Utility_DisplayArrayInTable(Scope3_SourceData.Scope3_Packaging_Data(), Table_SourceData_Scope3_Packaging[[#Headers],[Category]], 0, 2)</f>
        <v>Plastic crate polypropylene</v>
      </c>
      <c r="F214" s="30" t="str" cm="1">
        <f t="array" ref="F214">Common_InputFunctions.Utility_DisplayArrayInTable(Scope3_SourceData.Scope3_Packaging_Data(), Table_SourceData_Scope3_Packaging[[#Headers],[Category]], 0, 2)</f>
        <v>Global</v>
      </c>
      <c r="G214" s="30" t="str" cm="1">
        <f t="array" ref="G214">Common_InputFunctions.Utility_DisplayArrayInTable(Scope3_SourceData.Scope3_Packaging_Data(), Table_SourceData_Scope3_Packaging[[#Headers],[Category]], 0, 2)</f>
        <v>p</v>
      </c>
      <c r="H214" s="30" cm="1">
        <f t="array" ref="H214">Common_InputFunctions.Utility_DisplayArrayInTable(Scope3_SourceData.Scope3_Packaging_Data(), Table_SourceData_Scope3_Packaging[[#Headers],[Category]], 0, 2)</f>
        <v>3.99</v>
      </c>
      <c r="I214" s="30" t="str" cm="1">
        <f t="array" ref="I214">Common_InputFunctions.Utility_DisplayArrayInTable(Scope3_SourceData.Scope3_Packaging_Data(), Table_SourceData_Scope3_Packaging[[#Headers],[Category]], 0, 2)</f>
        <v>at manufacturer</v>
      </c>
    </row>
    <row r="215" spans="4:16" ht="20.100000000000001" customHeight="1" x14ac:dyDescent="0.25">
      <c r="D215" s="30" t="str" cm="1">
        <f t="array" ref="D215">Common_InputFunctions.Utility_DisplayArrayInTable(Scope3_SourceData.Scope3_Packaging_Data(), Table_SourceData_Scope3_Packaging[[#Headers],[Category]], 0, 2)</f>
        <v>Packaging</v>
      </c>
      <c r="E215" s="30" t="str" cm="1">
        <f t="array" ref="E215">Common_InputFunctions.Utility_DisplayArrayInTable(Scope3_SourceData.Scope3_Packaging_Data(), Table_SourceData_Scope3_Packaging[[#Headers],[Category]], 0, 2)</f>
        <v>Plastic film LDPE</v>
      </c>
      <c r="F215" s="30" t="str" cm="1">
        <f t="array" ref="F215">Common_InputFunctions.Utility_DisplayArrayInTable(Scope3_SourceData.Scope3_Packaging_Data(), Table_SourceData_Scope3_Packaging[[#Headers],[Category]], 0, 2)</f>
        <v>Global</v>
      </c>
      <c r="G215" s="30" t="str" cm="1">
        <f t="array" ref="G215">Common_InputFunctions.Utility_DisplayArrayInTable(Scope3_SourceData.Scope3_Packaging_Data(), Table_SourceData_Scope3_Packaging[[#Headers],[Category]], 0, 2)</f>
        <v>kg</v>
      </c>
      <c r="H215" s="30" cm="1">
        <f t="array" ref="H215">Common_InputFunctions.Utility_DisplayArrayInTable(Scope3_SourceData.Scope3_Packaging_Data(), Table_SourceData_Scope3_Packaging[[#Headers],[Category]], 0, 2)</f>
        <v>3.44</v>
      </c>
      <c r="I215" s="30" t="str" cm="1">
        <f t="array" ref="I215">Common_InputFunctions.Utility_DisplayArrayInTable(Scope3_SourceData.Scope3_Packaging_Data(), Table_SourceData_Scope3_Packaging[[#Headers],[Category]], 0, 2)</f>
        <v>at manufacturer</v>
      </c>
    </row>
    <row r="216" spans="4:16" ht="20.100000000000001" customHeight="1" x14ac:dyDescent="0.25">
      <c r="D216" s="30" t="str" cm="1">
        <f t="array" ref="D216">Common_InputFunctions.Utility_DisplayArrayInTable(Scope3_SourceData.Scope3_Packaging_Data(), Table_SourceData_Scope3_Packaging[[#Headers],[Category]], 0, 2)</f>
        <v>Packaging</v>
      </c>
      <c r="E216" s="30" t="str" cm="1">
        <f t="array" ref="E216">Common_InputFunctions.Utility_DisplayArrayInTable(Scope3_SourceData.Scope3_Packaging_Data(), Table_SourceData_Scope3_Packaging[[#Headers],[Category]], 0, 2)</f>
        <v>Plastic sheet HDPE</v>
      </c>
      <c r="F216" s="30" t="str" cm="1">
        <f t="array" ref="F216">Common_InputFunctions.Utility_DisplayArrayInTable(Scope3_SourceData.Scope3_Packaging_Data(), Table_SourceData_Scope3_Packaging[[#Headers],[Category]], 0, 2)</f>
        <v>Global</v>
      </c>
      <c r="G216" s="30" t="str" cm="1">
        <f t="array" ref="G216">Common_InputFunctions.Utility_DisplayArrayInTable(Scope3_SourceData.Scope3_Packaging_Data(), Table_SourceData_Scope3_Packaging[[#Headers],[Category]], 0, 2)</f>
        <v>kg</v>
      </c>
      <c r="H216" s="30" cm="1">
        <f t="array" ref="H216">Common_InputFunctions.Utility_DisplayArrayInTable(Scope3_SourceData.Scope3_Packaging_Data(), Table_SourceData_Scope3_Packaging[[#Headers],[Category]], 0, 2)</f>
        <v>3.72</v>
      </c>
      <c r="I216" s="3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2" t="s">
        <v>940</v>
      </c>
    </row>
    <row r="219" spans="4:16" ht="20.100000000000001" customHeight="1" x14ac:dyDescent="0.25">
      <c r="D219" s="30" t="s">
        <v>452</v>
      </c>
      <c r="E219" s="30" t="s">
        <v>152</v>
      </c>
      <c r="F219" s="30" t="s">
        <v>453</v>
      </c>
      <c r="G219" s="30" t="s">
        <v>454</v>
      </c>
      <c r="H219" s="30" t="s">
        <v>455</v>
      </c>
      <c r="I219" s="30" t="s">
        <v>456</v>
      </c>
    </row>
    <row r="220" spans="4:16" ht="20.100000000000001" customHeight="1" x14ac:dyDescent="0.25">
      <c r="D220" s="30" t="str" cm="1">
        <f t="array" ref="D220">Common_InputFunctions.Utility_DisplayArrayInTable(Scope3_SourceData.Scope3_Pesticides_Data(), Table_SourceData_Scope3_Pesticides[[#Headers],[Category]], 0, 2)</f>
        <v>Pesticides</v>
      </c>
      <c r="E220" s="30" t="str" cm="1">
        <f t="array" ref="E220">Common_InputFunctions.Utility_DisplayArrayInTable(Scope3_SourceData.Scope3_Pesticides_Data(), Table_SourceData_Scope3_Pesticides[[#Headers],[Category]], 0, 2)</f>
        <v>2,4-D</v>
      </c>
      <c r="F220" s="30" t="str" cm="1">
        <f t="array" ref="F220">Common_InputFunctions.Utility_DisplayArrayInTable(Scope3_SourceData.Scope3_Pesticides_Data(), Table_SourceData_Scope3_Pesticides[[#Headers],[Category]], 0, 2)</f>
        <v>Global</v>
      </c>
      <c r="G220" s="30" t="str" cm="1">
        <f t="array" ref="G220">Common_InputFunctions.Utility_DisplayArrayInTable(Scope3_SourceData.Scope3_Pesticides_Data(), Table_SourceData_Scope3_Pesticides[[#Headers],[Category]], 0, 2)</f>
        <v>kg AI</v>
      </c>
      <c r="H220" s="30" cm="1">
        <f t="array" ref="H220">Common_InputFunctions.Utility_DisplayArrayInTable(Scope3_SourceData.Scope3_Pesticides_Data(), Table_SourceData_Scope3_Pesticides[[#Headers],[Category]], 0, 2)</f>
        <v>5.2</v>
      </c>
      <c r="I220" s="30" t="str" cm="1">
        <f t="array" ref="I220">Common_InputFunctions.Utility_DisplayArrayInTable(Scope3_SourceData.Scope3_Pesticides_Data(), Table_SourceData_Scope3_Pesticides[[#Headers],[Category]], 0, 2)</f>
        <v>at market</v>
      </c>
    </row>
    <row r="221" spans="4:16" ht="20.100000000000001" customHeight="1" x14ac:dyDescent="0.25">
      <c r="D221" s="30" t="str" cm="1">
        <f t="array" ref="D221">Common_InputFunctions.Utility_DisplayArrayInTable(Scope3_SourceData.Scope3_Pesticides_Data(), Table_SourceData_Scope3_Pesticides[[#Headers],[Category]], 0, 2)</f>
        <v>Pesticides</v>
      </c>
      <c r="E221" s="30" t="str" cm="1">
        <f t="array" ref="E221">Common_InputFunctions.Utility_DisplayArrayInTable(Scope3_SourceData.Scope3_Pesticides_Data(), Table_SourceData_Scope3_Pesticides[[#Headers],[Category]], 0, 2)</f>
        <v>Atrazine</v>
      </c>
      <c r="F221" s="30" t="str" cm="1">
        <f t="array" ref="F221">Common_InputFunctions.Utility_DisplayArrayInTable(Scope3_SourceData.Scope3_Pesticides_Data(), Table_SourceData_Scope3_Pesticides[[#Headers],[Category]], 0, 2)</f>
        <v>Global</v>
      </c>
      <c r="G221" s="30" t="str" cm="1">
        <f t="array" ref="G221">Common_InputFunctions.Utility_DisplayArrayInTable(Scope3_SourceData.Scope3_Pesticides_Data(), Table_SourceData_Scope3_Pesticides[[#Headers],[Category]], 0, 2)</f>
        <v>kg AI</v>
      </c>
      <c r="H221" s="30" cm="1">
        <f t="array" ref="H221">Common_InputFunctions.Utility_DisplayArrayInTable(Scope3_SourceData.Scope3_Pesticides_Data(), Table_SourceData_Scope3_Pesticides[[#Headers],[Category]], 0, 2)</f>
        <v>8.3800000000000008</v>
      </c>
      <c r="I221" s="30" t="str" cm="1">
        <f t="array" ref="I221">Common_InputFunctions.Utility_DisplayArrayInTable(Scope3_SourceData.Scope3_Pesticides_Data(), Table_SourceData_Scope3_Pesticides[[#Headers],[Category]], 0, 2)</f>
        <v>at market</v>
      </c>
    </row>
    <row r="222" spans="4:16" ht="20.100000000000001" customHeight="1" x14ac:dyDescent="0.25">
      <c r="D222" s="30" t="str" cm="1">
        <f t="array" ref="D222">Common_InputFunctions.Utility_DisplayArrayInTable(Scope3_SourceData.Scope3_Pesticides_Data(), Table_SourceData_Scope3_Pesticides[[#Headers],[Category]], 0, 2)</f>
        <v>Pesticides</v>
      </c>
      <c r="E222" s="30" t="str" cm="1">
        <f t="array" ref="E222">Common_InputFunctions.Utility_DisplayArrayInTable(Scope3_SourceData.Scope3_Pesticides_Data(), Table_SourceData_Scope3_Pesticides[[#Headers],[Category]], 0, 2)</f>
        <v>Diuron</v>
      </c>
      <c r="F222" s="30" t="str" cm="1">
        <f t="array" ref="F222">Common_InputFunctions.Utility_DisplayArrayInTable(Scope3_SourceData.Scope3_Pesticides_Data(), Table_SourceData_Scope3_Pesticides[[#Headers],[Category]], 0, 2)</f>
        <v>Global</v>
      </c>
      <c r="G222" s="30" t="str" cm="1">
        <f t="array" ref="G222">Common_InputFunctions.Utility_DisplayArrayInTable(Scope3_SourceData.Scope3_Pesticides_Data(), Table_SourceData_Scope3_Pesticides[[#Headers],[Category]], 0, 2)</f>
        <v>kg AI</v>
      </c>
      <c r="H222" s="30" cm="1">
        <f t="array" ref="H222">Common_InputFunctions.Utility_DisplayArrayInTable(Scope3_SourceData.Scope3_Pesticides_Data(), Table_SourceData_Scope3_Pesticides[[#Headers],[Category]], 0, 2)</f>
        <v>8.8000000000000007</v>
      </c>
      <c r="I222" s="30" t="str" cm="1">
        <f t="array" ref="I222">Common_InputFunctions.Utility_DisplayArrayInTable(Scope3_SourceData.Scope3_Pesticides_Data(), Table_SourceData_Scope3_Pesticides[[#Headers],[Category]], 0, 2)</f>
        <v>at market</v>
      </c>
    </row>
    <row r="223" spans="4:16" ht="20.100000000000001" customHeight="1" x14ac:dyDescent="0.25">
      <c r="D223" s="30" t="str" cm="1">
        <f t="array" ref="D223">Common_InputFunctions.Utility_DisplayArrayInTable(Scope3_SourceData.Scope3_Pesticides_Data(), Table_SourceData_Scope3_Pesticides[[#Headers],[Category]], 0, 2)</f>
        <v>Pesticides</v>
      </c>
      <c r="E223" s="30" t="str" cm="1">
        <f t="array" ref="E223">Common_InputFunctions.Utility_DisplayArrayInTable(Scope3_SourceData.Scope3_Pesticides_Data(), Table_SourceData_Scope3_Pesticides[[#Headers],[Category]], 0, 2)</f>
        <v>Glyphosate</v>
      </c>
      <c r="F223" s="30" t="str" cm="1">
        <f t="array" ref="F223">Common_InputFunctions.Utility_DisplayArrayInTable(Scope3_SourceData.Scope3_Pesticides_Data(), Table_SourceData_Scope3_Pesticides[[#Headers],[Category]], 0, 2)</f>
        <v>Global</v>
      </c>
      <c r="G223" s="30" t="str" cm="1">
        <f t="array" ref="G223">Common_InputFunctions.Utility_DisplayArrayInTable(Scope3_SourceData.Scope3_Pesticides_Data(), Table_SourceData_Scope3_Pesticides[[#Headers],[Category]], 0, 2)</f>
        <v>kg AI</v>
      </c>
      <c r="H223" s="30" cm="1">
        <f t="array" ref="H223">Common_InputFunctions.Utility_DisplayArrayInTable(Scope3_SourceData.Scope3_Pesticides_Data(), Table_SourceData_Scope3_Pesticides[[#Headers],[Category]], 0, 2)</f>
        <v>10.3</v>
      </c>
      <c r="I223" s="30" t="str" cm="1">
        <f t="array" ref="I223">Common_InputFunctions.Utility_DisplayArrayInTable(Scope3_SourceData.Scope3_Pesticides_Data(), Table_SourceData_Scope3_Pesticides[[#Headers],[Category]], 0, 2)</f>
        <v>at market</v>
      </c>
    </row>
    <row r="224" spans="4:16" ht="20.100000000000001" customHeight="1" x14ac:dyDescent="0.25">
      <c r="D224" s="30" t="str" cm="1">
        <f t="array" ref="D224">Common_InputFunctions.Utility_DisplayArrayInTable(Scope3_SourceData.Scope3_Pesticides_Data(), Table_SourceData_Scope3_Pesticides[[#Headers],[Category]], 0, 2)</f>
        <v>Pesticides</v>
      </c>
      <c r="E224" s="30" t="str" cm="1">
        <f t="array" ref="E224">Common_InputFunctions.Utility_DisplayArrayInTable(Scope3_SourceData.Scope3_Pesticides_Data(), Table_SourceData_Scope3_Pesticides[[#Headers],[Category]], 0, 2)</f>
        <v>Mancozeb</v>
      </c>
      <c r="F224" s="30" t="str" cm="1">
        <f t="array" ref="F224">Common_InputFunctions.Utility_DisplayArrayInTable(Scope3_SourceData.Scope3_Pesticides_Data(), Table_SourceData_Scope3_Pesticides[[#Headers],[Category]], 0, 2)</f>
        <v>Global</v>
      </c>
      <c r="G224" s="30" t="str" cm="1">
        <f t="array" ref="G224">Common_InputFunctions.Utility_DisplayArrayInTable(Scope3_SourceData.Scope3_Pesticides_Data(), Table_SourceData_Scope3_Pesticides[[#Headers],[Category]], 0, 2)</f>
        <v>kg AI</v>
      </c>
      <c r="H224" s="30" cm="1">
        <f t="array" ref="H224">Common_InputFunctions.Utility_DisplayArrayInTable(Scope3_SourceData.Scope3_Pesticides_Data(), Table_SourceData_Scope3_Pesticides[[#Headers],[Category]], 0, 2)</f>
        <v>4.55</v>
      </c>
      <c r="I224" s="30" t="str" cm="1">
        <f t="array" ref="I224">Common_InputFunctions.Utility_DisplayArrayInTable(Scope3_SourceData.Scope3_Pesticides_Data(), Table_SourceData_Scope3_Pesticides[[#Headers],[Category]], 0, 2)</f>
        <v>at market</v>
      </c>
    </row>
    <row r="225" spans="4:9" ht="20.100000000000001" customHeight="1" x14ac:dyDescent="0.25">
      <c r="D225" s="30" t="str" cm="1">
        <f t="array" ref="D225">Common_InputFunctions.Utility_DisplayArrayInTable(Scope3_SourceData.Scope3_Pesticides_Data(), Table_SourceData_Scope3_Pesticides[[#Headers],[Category]], 0, 2)</f>
        <v>Pesticides</v>
      </c>
      <c r="E225" s="30" t="str" cm="1">
        <f t="array" ref="E225">Common_InputFunctions.Utility_DisplayArrayInTable(Scope3_SourceData.Scope3_Pesticides_Data(), Table_SourceData_Scope3_Pesticides[[#Headers],[Category]], 0, 2)</f>
        <v>MCPA</v>
      </c>
      <c r="F225" s="30" t="str" cm="1">
        <f t="array" ref="F225">Common_InputFunctions.Utility_DisplayArrayInTable(Scope3_SourceData.Scope3_Pesticides_Data(), Table_SourceData_Scope3_Pesticides[[#Headers],[Category]], 0, 2)</f>
        <v>Global</v>
      </c>
      <c r="G225" s="30" t="str" cm="1">
        <f t="array" ref="G225">Common_InputFunctions.Utility_DisplayArrayInTable(Scope3_SourceData.Scope3_Pesticides_Data(), Table_SourceData_Scope3_Pesticides[[#Headers],[Category]], 0, 2)</f>
        <v>kg AI</v>
      </c>
      <c r="H225" s="30" cm="1">
        <f t="array" ref="H225">Common_InputFunctions.Utility_DisplayArrayInTable(Scope3_SourceData.Scope3_Pesticides_Data(), Table_SourceData_Scope3_Pesticides[[#Headers],[Category]], 0, 2)</f>
        <v>5.6</v>
      </c>
      <c r="I225" s="30" t="str" cm="1">
        <f t="array" ref="I225">Common_InputFunctions.Utility_DisplayArrayInTable(Scope3_SourceData.Scope3_Pesticides_Data(), Table_SourceData_Scope3_Pesticides[[#Headers],[Category]], 0, 2)</f>
        <v>at market</v>
      </c>
    </row>
    <row r="226" spans="4:9" ht="20.100000000000001" customHeight="1" x14ac:dyDescent="0.25">
      <c r="D226" s="30" t="str" cm="1">
        <f t="array" ref="D226">Common_InputFunctions.Utility_DisplayArrayInTable(Scope3_SourceData.Scope3_Pesticides_Data(), Table_SourceData_Scope3_Pesticides[[#Headers],[Category]], 0, 2)</f>
        <v>Pesticides</v>
      </c>
      <c r="E226" s="30" t="str" cm="1">
        <f t="array" ref="E226">Common_InputFunctions.Utility_DisplayArrayInTable(Scope3_SourceData.Scope3_Pesticides_Data(), Table_SourceData_Scope3_Pesticides[[#Headers],[Category]], 0, 2)</f>
        <v>Metolachlor</v>
      </c>
      <c r="F226" s="30" t="str" cm="1">
        <f t="array" ref="F226">Common_InputFunctions.Utility_DisplayArrayInTable(Scope3_SourceData.Scope3_Pesticides_Data(), Table_SourceData_Scope3_Pesticides[[#Headers],[Category]], 0, 2)</f>
        <v>Global</v>
      </c>
      <c r="G226" s="30" t="str" cm="1">
        <f t="array" ref="G226">Common_InputFunctions.Utility_DisplayArrayInTable(Scope3_SourceData.Scope3_Pesticides_Data(), Table_SourceData_Scope3_Pesticides[[#Headers],[Category]], 0, 2)</f>
        <v>kg AI</v>
      </c>
      <c r="H226" s="30" cm="1">
        <f t="array" ref="H226">Common_InputFunctions.Utility_DisplayArrayInTable(Scope3_SourceData.Scope3_Pesticides_Data(), Table_SourceData_Scope3_Pesticides[[#Headers],[Category]], 0, 2)</f>
        <v>8.06</v>
      </c>
      <c r="I226" s="30" t="str" cm="1">
        <f t="array" ref="I226">Common_InputFunctions.Utility_DisplayArrayInTable(Scope3_SourceData.Scope3_Pesticides_Data(), Table_SourceData_Scope3_Pesticides[[#Headers],[Category]], 0, 2)</f>
        <v>at market</v>
      </c>
    </row>
    <row r="227" spans="4:9" ht="20.100000000000001" customHeight="1" x14ac:dyDescent="0.25">
      <c r="D227" s="30" t="str" cm="1">
        <f t="array" ref="D227">Common_InputFunctions.Utility_DisplayArrayInTable(Scope3_SourceData.Scope3_Pesticides_Data(), Table_SourceData_Scope3_Pesticides[[#Headers],[Category]], 0, 2)</f>
        <v>Pesticides</v>
      </c>
      <c r="E227" s="30" t="str" cm="1">
        <f t="array" ref="E227">Common_InputFunctions.Utility_DisplayArrayInTable(Scope3_SourceData.Scope3_Pesticides_Data(), Table_SourceData_Scope3_Pesticides[[#Headers],[Category]], 0, 2)</f>
        <v>Metsulfuron-methyl</v>
      </c>
      <c r="F227" s="30" t="str" cm="1">
        <f t="array" ref="F227">Common_InputFunctions.Utility_DisplayArrayInTable(Scope3_SourceData.Scope3_Pesticides_Data(), Table_SourceData_Scope3_Pesticides[[#Headers],[Category]], 0, 2)</f>
        <v>Global</v>
      </c>
      <c r="G227" s="30" t="str" cm="1">
        <f t="array" ref="G227">Common_InputFunctions.Utility_DisplayArrayInTable(Scope3_SourceData.Scope3_Pesticides_Data(), Table_SourceData_Scope3_Pesticides[[#Headers],[Category]], 0, 2)</f>
        <v>kg AI</v>
      </c>
      <c r="H227" s="30" cm="1">
        <f t="array" ref="H227">Common_InputFunctions.Utility_DisplayArrayInTable(Scope3_SourceData.Scope3_Pesticides_Data(), Table_SourceData_Scope3_Pesticides[[#Headers],[Category]], 0, 2)</f>
        <v>8.8000000000000007</v>
      </c>
      <c r="I227" s="30" t="str" cm="1">
        <f t="array" ref="I227">Common_InputFunctions.Utility_DisplayArrayInTable(Scope3_SourceData.Scope3_Pesticides_Data(), Table_SourceData_Scope3_Pesticides[[#Headers],[Category]], 0, 2)</f>
        <v>at market</v>
      </c>
    </row>
    <row r="228" spans="4:9" ht="20.100000000000001" customHeight="1" x14ac:dyDescent="0.25">
      <c r="D228" s="30" t="str" cm="1">
        <f t="array" ref="D228">Common_InputFunctions.Utility_DisplayArrayInTable(Scope3_SourceData.Scope3_Pesticides_Data(), Table_SourceData_Scope3_Pesticides[[#Headers],[Category]], 0, 2)</f>
        <v>Pesticides</v>
      </c>
      <c r="E228" s="30" t="str" cm="1">
        <f t="array" ref="E228">Common_InputFunctions.Utility_DisplayArrayInTable(Scope3_SourceData.Scope3_Pesticides_Data(), Table_SourceData_Scope3_Pesticides[[#Headers],[Category]], 0, 2)</f>
        <v>Pesticides (generic)</v>
      </c>
      <c r="F228" s="30" t="str" cm="1">
        <f t="array" ref="F228">Common_InputFunctions.Utility_DisplayArrayInTable(Scope3_SourceData.Scope3_Pesticides_Data(), Table_SourceData_Scope3_Pesticides[[#Headers],[Category]], 0, 2)</f>
        <v>Global</v>
      </c>
      <c r="G228" s="30" t="str" cm="1">
        <f t="array" ref="G228">Common_InputFunctions.Utility_DisplayArrayInTable(Scope3_SourceData.Scope3_Pesticides_Data(), Table_SourceData_Scope3_Pesticides[[#Headers],[Category]], 0, 2)</f>
        <v>kg AI</v>
      </c>
      <c r="H228" s="30" cm="1">
        <f t="array" ref="H228">Common_InputFunctions.Utility_DisplayArrayInTable(Scope3_SourceData.Scope3_Pesticides_Data(), Table_SourceData_Scope3_Pesticides[[#Headers],[Category]], 0, 2)</f>
        <v>9.16</v>
      </c>
      <c r="I228" s="30" t="str" cm="1">
        <f t="array" ref="I228">Common_InputFunctions.Utility_DisplayArrayInTable(Scope3_SourceData.Scope3_Pesticides_Data(), Table_SourceData_Scope3_Pesticides[[#Headers],[Category]], 0, 2)</f>
        <v>at market</v>
      </c>
    </row>
    <row r="229" spans="4:9" ht="20.100000000000001" customHeight="1" x14ac:dyDescent="0.25">
      <c r="D229" s="30" t="str" cm="1">
        <f t="array" ref="D229">Common_InputFunctions.Utility_DisplayArrayInTable(Scope3_SourceData.Scope3_Pesticides_Data(), Table_SourceData_Scope3_Pesticides[[#Headers],[Category]], 0, 2)</f>
        <v>Pesticides</v>
      </c>
      <c r="E229" s="30" t="str" cm="1">
        <f t="array" ref="E229">Common_InputFunctions.Utility_DisplayArrayInTable(Scope3_SourceData.Scope3_Pesticides_Data(), Table_SourceData_Scope3_Pesticides[[#Headers],[Category]], 0, 2)</f>
        <v>Tri-allate</v>
      </c>
      <c r="F229" s="30" t="str" cm="1">
        <f t="array" ref="F229">Common_InputFunctions.Utility_DisplayArrayInTable(Scope3_SourceData.Scope3_Pesticides_Data(), Table_SourceData_Scope3_Pesticides[[#Headers],[Category]], 0, 2)</f>
        <v>Global</v>
      </c>
      <c r="G229" s="30" t="str" cm="1">
        <f t="array" ref="G229">Common_InputFunctions.Utility_DisplayArrayInTable(Scope3_SourceData.Scope3_Pesticides_Data(), Table_SourceData_Scope3_Pesticides[[#Headers],[Category]], 0, 2)</f>
        <v>kg AI</v>
      </c>
      <c r="H229" s="30" cm="1">
        <f t="array" ref="H229">Common_InputFunctions.Utility_DisplayArrayInTable(Scope3_SourceData.Scope3_Pesticides_Data(), Table_SourceData_Scope3_Pesticides[[#Headers],[Category]], 0, 2)</f>
        <v>8.57</v>
      </c>
      <c r="I229" s="30" t="str" cm="1">
        <f t="array" ref="I229">Common_InputFunctions.Utility_DisplayArrayInTable(Scope3_SourceData.Scope3_Pesticides_Data(), Table_SourceData_Scope3_Pesticides[[#Headers],[Category]], 0, 2)</f>
        <v>at market</v>
      </c>
    </row>
    <row r="230" spans="4:9" ht="20.100000000000001" customHeight="1" x14ac:dyDescent="0.25">
      <c r="D230" s="30" t="str" cm="1">
        <f t="array" ref="D230">Common_InputFunctions.Utility_DisplayArrayInTable(Scope3_SourceData.Scope3_Pesticides_Data(), Table_SourceData_Scope3_Pesticides[[#Headers],[Category]], 0, 2)</f>
        <v>Pesticides</v>
      </c>
      <c r="E230" s="30" t="str" cm="1">
        <f t="array" ref="E230">Common_InputFunctions.Utility_DisplayArrayInTable(Scope3_SourceData.Scope3_Pesticides_Data(), Table_SourceData_Scope3_Pesticides[[#Headers],[Category]], 0, 2)</f>
        <v>Tribenuron methyl</v>
      </c>
      <c r="F230" s="30" t="str" cm="1">
        <f t="array" ref="F230">Common_InputFunctions.Utility_DisplayArrayInTable(Scope3_SourceData.Scope3_Pesticides_Data(), Table_SourceData_Scope3_Pesticides[[#Headers],[Category]], 0, 2)</f>
        <v>Global</v>
      </c>
      <c r="G230" s="30" t="str" cm="1">
        <f t="array" ref="G230">Common_InputFunctions.Utility_DisplayArrayInTable(Scope3_SourceData.Scope3_Pesticides_Data(), Table_SourceData_Scope3_Pesticides[[#Headers],[Category]], 0, 2)</f>
        <v>kg AI</v>
      </c>
      <c r="H230" s="30" cm="1">
        <f t="array" ref="H230">Common_InputFunctions.Utility_DisplayArrayInTable(Scope3_SourceData.Scope3_Pesticides_Data(), Table_SourceData_Scope3_Pesticides[[#Headers],[Category]], 0, 2)</f>
        <v>8.8000000000000007</v>
      </c>
      <c r="I230" s="30" t="str" cm="1">
        <f t="array" ref="I230">Common_InputFunctions.Utility_DisplayArrayInTable(Scope3_SourceData.Scope3_Pesticides_Data(), Table_SourceData_Scope3_Pesticides[[#Headers],[Category]], 0, 2)</f>
        <v>at market</v>
      </c>
    </row>
    <row r="231" spans="4:9" ht="20.100000000000001" customHeight="1" x14ac:dyDescent="0.25">
      <c r="D231" s="30" t="str" cm="1">
        <f t="array" ref="D231">Common_InputFunctions.Utility_DisplayArrayInTable(Scope3_SourceData.Scope3_Pesticides_Data(), Table_SourceData_Scope3_Pesticides[[#Headers],[Category]], 0, 2)</f>
        <v>Pesticides</v>
      </c>
      <c r="E231" s="30" t="str" cm="1">
        <f t="array" ref="E231">Common_InputFunctions.Utility_DisplayArrayInTable(Scope3_SourceData.Scope3_Pesticides_Data(), Table_SourceData_Scope3_Pesticides[[#Headers],[Category]], 0, 2)</f>
        <v>Trifluralin</v>
      </c>
      <c r="F231" s="30" t="str" cm="1">
        <f t="array" ref="F231">Common_InputFunctions.Utility_DisplayArrayInTable(Scope3_SourceData.Scope3_Pesticides_Data(), Table_SourceData_Scope3_Pesticides[[#Headers],[Category]], 0, 2)</f>
        <v>Global</v>
      </c>
      <c r="G231" s="30" t="str" cm="1">
        <f t="array" ref="G231">Common_InputFunctions.Utility_DisplayArrayInTable(Scope3_SourceData.Scope3_Pesticides_Data(), Table_SourceData_Scope3_Pesticides[[#Headers],[Category]], 0, 2)</f>
        <v>kg AI</v>
      </c>
      <c r="H231" s="30" cm="1">
        <f t="array" ref="H231">Common_InputFunctions.Utility_DisplayArrayInTable(Scope3_SourceData.Scope3_Pesticides_Data(), Table_SourceData_Scope3_Pesticides[[#Headers],[Category]], 0, 2)</f>
        <v>6.16</v>
      </c>
      <c r="I231" s="3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2" t="s">
        <v>1189</v>
      </c>
    </row>
    <row r="234" spans="4:9" ht="20.100000000000001" customHeight="1" x14ac:dyDescent="0.25">
      <c r="D234" s="30" t="s">
        <v>452</v>
      </c>
      <c r="E234" s="30" t="s">
        <v>152</v>
      </c>
      <c r="F234" s="30" t="s">
        <v>453</v>
      </c>
      <c r="G234" s="30" t="s">
        <v>454</v>
      </c>
      <c r="H234" s="30" t="s">
        <v>455</v>
      </c>
      <c r="I234" s="30" t="s">
        <v>456</v>
      </c>
    </row>
    <row r="235" spans="4:9" ht="20.100000000000001" customHeight="1" x14ac:dyDescent="0.25">
      <c r="D235" s="30" t="str" cm="1">
        <f t="array" ref="D235">Common_InputFunctions.Utility_DisplayArrayInTable(Scope3_SourceData.Scope3_SoilAmendments_Data(), Table_SourceData_Scope3_SoilAmeliorants[[#Headers],[Category]], 0, 2)</f>
        <v>Soil ameliorants</v>
      </c>
      <c r="E235" s="30" t="str" cm="1">
        <f t="array" ref="E235">Common_InputFunctions.Utility_DisplayArrayInTable(Scope3_SourceData.Scope3_SoilAmendments_Data(), Table_SourceData_Scope3_SoilAmeliorants[[#Headers],[Category]], 0, 2)</f>
        <v>Dolomite</v>
      </c>
      <c r="F235" s="30" t="str" cm="1">
        <f t="array" ref="F235">Common_InputFunctions.Utility_DisplayArrayInTable(Scope3_SourceData.Scope3_SoilAmendments_Data(), Table_SourceData_Scope3_SoilAmeliorants[[#Headers],[Category]], 0, 2)</f>
        <v>Australia</v>
      </c>
      <c r="G235" s="30" t="str" cm="1">
        <f t="array" ref="G235">Common_InputFunctions.Utility_DisplayArrayInTable(Scope3_SourceData.Scope3_SoilAmendments_Data(), Table_SourceData_Scope3_SoilAmeliorants[[#Headers],[Category]], 0, 2)</f>
        <v>kg</v>
      </c>
      <c r="H235" s="30" cm="1">
        <f t="array" ref="H235">Common_InputFunctions.Utility_DisplayArrayInTable(Scope3_SourceData.Scope3_SoilAmendments_Data(), Table_SourceData_Scope3_SoilAmeliorants[[#Headers],[Category]], 0, 2)</f>
        <v>6.5199999999999994E-2</v>
      </c>
      <c r="I235" s="30" t="str" cm="1">
        <f t="array" ref="I235">Common_InputFunctions.Utility_DisplayArrayInTable(Scope3_SourceData.Scope3_SoilAmendments_Data(), Table_SourceData_Scope3_SoilAmeliorants[[#Headers],[Category]], 0, 2)</f>
        <v>at market</v>
      </c>
    </row>
    <row r="236" spans="4:9" ht="20.100000000000001" customHeight="1" x14ac:dyDescent="0.25">
      <c r="D236" s="30" t="str" cm="1">
        <f t="array" ref="D236">Common_InputFunctions.Utility_DisplayArrayInTable(Scope3_SourceData.Scope3_SoilAmendments_Data(), Table_SourceData_Scope3_SoilAmeliorants[[#Headers],[Category]], 0, 2)</f>
        <v>Soil ameliorants</v>
      </c>
      <c r="E236" s="30" t="str" cm="1">
        <f t="array" ref="E236">Common_InputFunctions.Utility_DisplayArrayInTable(Scope3_SourceData.Scope3_SoilAmendments_Data(), Table_SourceData_Scope3_SoilAmeliorants[[#Headers],[Category]], 0, 2)</f>
        <v>Gypsum</v>
      </c>
      <c r="F236" s="30" t="str" cm="1">
        <f t="array" ref="F236">Common_InputFunctions.Utility_DisplayArrayInTable(Scope3_SourceData.Scope3_SoilAmendments_Data(), Table_SourceData_Scope3_SoilAmeliorants[[#Headers],[Category]], 0, 2)</f>
        <v>Australia</v>
      </c>
      <c r="G236" s="30" t="str" cm="1">
        <f t="array" ref="G236">Common_InputFunctions.Utility_DisplayArrayInTable(Scope3_SourceData.Scope3_SoilAmendments_Data(), Table_SourceData_Scope3_SoilAmeliorants[[#Headers],[Category]], 0, 2)</f>
        <v>kg</v>
      </c>
      <c r="H236" s="30" cm="1">
        <f t="array" ref="H236">Common_InputFunctions.Utility_DisplayArrayInTable(Scope3_SourceData.Scope3_SoilAmendments_Data(), Table_SourceData_Scope3_SoilAmeliorants[[#Headers],[Category]], 0, 2)</f>
        <v>6.5199999999999994E-2</v>
      </c>
      <c r="I236" s="30" t="str" cm="1">
        <f t="array" ref="I236">Common_InputFunctions.Utility_DisplayArrayInTable(Scope3_SourceData.Scope3_SoilAmendments_Data(), Table_SourceData_Scope3_SoilAmeliorants[[#Headers],[Category]], 0, 2)</f>
        <v>at market</v>
      </c>
    </row>
    <row r="237" spans="4:9" ht="20.100000000000001" customHeight="1" x14ac:dyDescent="0.25">
      <c r="D237" s="30" t="str" cm="1">
        <f t="array" ref="D237">Common_InputFunctions.Utility_DisplayArrayInTable(Scope3_SourceData.Scope3_SoilAmendments_Data(), Table_SourceData_Scope3_SoilAmeliorants[[#Headers],[Category]], 0, 2)</f>
        <v>Soil ameliorants</v>
      </c>
      <c r="E237" s="30" t="str" cm="1">
        <f t="array" ref="E237">Common_InputFunctions.Utility_DisplayArrayInTable(Scope3_SourceData.Scope3_SoilAmendments_Data(), Table_SourceData_Scope3_SoilAmeliorants[[#Headers],[Category]], 0, 2)</f>
        <v>Limestone (crushed)</v>
      </c>
      <c r="F237" s="30" t="str" cm="1">
        <f t="array" ref="F237">Common_InputFunctions.Utility_DisplayArrayInTable(Scope3_SourceData.Scope3_SoilAmendments_Data(), Table_SourceData_Scope3_SoilAmeliorants[[#Headers],[Category]], 0, 2)</f>
        <v>Australia</v>
      </c>
      <c r="G237" s="30" t="str" cm="1">
        <f t="array" ref="G237">Common_InputFunctions.Utility_DisplayArrayInTable(Scope3_SourceData.Scope3_SoilAmendments_Data(), Table_SourceData_Scope3_SoilAmeliorants[[#Headers],[Category]], 0, 2)</f>
        <v>kg</v>
      </c>
      <c r="H237" s="30" cm="1">
        <f t="array" ref="H237">Common_InputFunctions.Utility_DisplayArrayInTable(Scope3_SourceData.Scope3_SoilAmendments_Data(), Table_SourceData_Scope3_SoilAmeliorants[[#Headers],[Category]], 0, 2)</f>
        <v>4.8500000000000001E-2</v>
      </c>
      <c r="I237" s="3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workbookViewId="0" zoomScale="100" zoomScaleNormal="100">
      <selection activeCell="A58" sqref="A58"/>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30</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HYPERLINK("#'Overview'!A1", "Overview")</f>
        <v>Overview</v>
      </c>
      <c r="BM4" s="35"/>
    </row>
    <row r="5" spans="1:65" ht="20.100000000000001" customHeight="1" x14ac:dyDescent="0.25">
      <c r="A5" s="5" t="str">
        <f>HYPERLINK("#'Results'!A1", "Results")</f>
        <v>Results</v>
      </c>
      <c r="D5" s="2" t="str" cm="1">
        <f t="array" ref="D5">Common_SourceData.Common_SourceData_AustralianStatesTerritories_Title()</f>
        <v>Australian states and territories</v>
      </c>
      <c r="BM5" s="35"/>
    </row>
    <row r="6" spans="1:65" ht="20.100000000000001" customHeight="1" x14ac:dyDescent="0.25">
      <c r="A6"/>
      <c r="D6" s="30" t="s">
        <v>31</v>
      </c>
      <c r="E6" s="30" t="s">
        <v>32</v>
      </c>
      <c r="F6" s="30" t="s">
        <v>33</v>
      </c>
    </row>
    <row r="7" spans="1:65" ht="20.100000000000001" customHeight="1" x14ac:dyDescent="0.25">
      <c r="A7"/>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Beef'!A1", "Pasture Beef")</f>
        <v>Pasture Beef</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 Beef (Enteric)'!A1", "Pasture Beef (Enteric)")</f>
        <v>Pasture Beef (Enteric)</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Livestock sales'!A1", "Livestock sales")</f>
        <v>Livestock sales</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Beef cattle purchases'!A1", "Beef cattle purchases")</f>
        <v>Beef cattle purchases</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Pasture'!A1", "Pasture")</f>
        <v>Pasture</v>
      </c>
    </row>
    <row r="16" spans="1:65" ht="20.100000000000001" customHeight="1" x14ac:dyDescent="0.25">
      <c r="A16" s="5" t="str">
        <f>HYPERLINK("#'Input - Fert Prod System'!A1", "Fert Prod System")</f>
        <v>Fert Prod System</v>
      </c>
    </row>
    <row r="17" spans="1:4" ht="20.100000000000001" customHeight="1" x14ac:dyDescent="0.25">
      <c r="A17" s="5" t="str">
        <f>HYPERLINK("#'Input - Fertiliser'!A1", "Fertiliser")</f>
        <v>Fertiliser</v>
      </c>
    </row>
    <row r="18" spans="1:4" ht="20.100000000000001" customHeight="1" x14ac:dyDescent="0.25">
      <c r="A18" s="5" t="str">
        <f>HYPERLINK("#'Input - Fuel'!A1", "Fuel")</f>
        <v>Fuel</v>
      </c>
      <c r="D18" s="2" t="str" cm="1">
        <f t="array" ref="D18">Common_SourceData.Common_SourceData_WASA4Areas_Title()</f>
        <v>ABS Statistcal Areas Level 4 - Western Australia</v>
      </c>
    </row>
    <row r="19" spans="1:4" ht="20.100000000000001" customHeight="1" x14ac:dyDescent="0.25">
      <c r="A19" s="5" t="str">
        <f>HYPERLINK("#'Input - Electricity'!A1", "Electricity")</f>
        <v>Electricity</v>
      </c>
      <c r="D19" s="27" t="str" cm="1">
        <f t="array" ref="D19">Common_SourceData.Common_SourceData_WASA4Areas_Source()</f>
        <v>Australian Bureau of Statistics (ABS) - Statistical Areas Level 2 - 2021 - Shapefile</v>
      </c>
    </row>
    <row r="20" spans="1:4" ht="20.100000000000001" customHeight="1" x14ac:dyDescent="0.25">
      <c r="A20" s="5" t="str">
        <f>HYPERLINK("#'Input - Farm Inputs'!A1", "Farm Inputs")</f>
        <v>Farm Inputs</v>
      </c>
      <c r="D20" s="30" t="s">
        <v>34</v>
      </c>
    </row>
    <row r="21" spans="1:4" ht="20.100000000000001" customHeight="1" x14ac:dyDescent="0.25">
      <c r="A21" s="5" t="str">
        <f>HYPERLINK("#'Input - Freight'!A1", "Freight")</f>
        <v>Freight</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HYPERLINK("#'Input - Manure sent off-site'!A1", "Manure sent off-site")</f>
        <v>Manure sent off-site</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HYPERLINK("#'Input - Solid waste'!A1", "Solid waste")</f>
        <v>Solid waste</v>
      </c>
      <c r="D23" s="30" t="str" cm="1">
        <f t="array" ref="D23">Common_InputFunctions.Utility_DisplayArrayInTable(Common_SourceData.Common_SourceData_WASA4Areas_Data(), Table_WASA4Areas[[#Headers],[SA 4 Name]], 0)</f>
        <v>Perth - Inner</v>
      </c>
    </row>
    <row r="24" spans="1:4" ht="20.100000000000001" customHeight="1" x14ac:dyDescent="0.25">
      <c r="A24"/>
      <c r="D24" s="30" t="str" cm="1">
        <f t="array" ref="D24">Common_InputFunctions.Utility_DisplayArrayInTable(Common_SourceData.Common_SourceData_WASA4Areas_Data(), Table_WASA4Areas[[#Headers],[SA 4 Name]], 0)</f>
        <v>Perth - North East</v>
      </c>
    </row>
    <row r="25" spans="1:4" ht="20.100000000000001" customHeight="1" x14ac:dyDescent="0.25">
      <c r="A25"/>
      <c r="D25" s="30" t="str" cm="1">
        <f t="array" ref="D25">Common_InputFunctions.Utility_DisplayArrayInTable(Common_SourceData.Common_SourceData_WASA4Areas_Data(), Table_WASA4Areas[[#Headers],[SA 4 Name]], 0)</f>
        <v>Perth - North West</v>
      </c>
    </row>
    <row r="26" spans="1:4" ht="20.100000000000001" customHeight="1" x14ac:dyDescent="0.25">
      <c r="A26" s="6" t="s">
        <v>2</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HYPERLINK("#'3.2.1.1-2 Enteric Methane'!A1", "3.2.1.1-2 Enteric methane")</f>
        <v>3.2.1.1-2 Enteric methane</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HYPERLINK("#'4.2.1.1-2 Methane'!A1", "4.2.1.1-2 Manure methane")</f>
        <v>4.2.1.1-2 Manure methane</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HYPERLINK("#'4.2.1.3-4 Soil direct N20'!A1", "4.2.1.3-4 Soil direct N2O")</f>
        <v>4.2.1.3-4 Soil direct N2O</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HYPERLINK("#'4.2.1.5-6 Soil Atmos Dep'!A1", "4.2.1.5-6 Soil atm. deposition")</f>
        <v>4.2.1.5-6 Soil atm. deposition</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HYPERLINK("#'4.2.1.7-8 Soil leach runoff'!A1", "4.2.1.7-8 Soil leach &amp; runoff")</f>
        <v>4.2.1.7-8 Soil leach &amp; runoff</v>
      </c>
    </row>
    <row r="32" spans="1:4" ht="20.100000000000001" customHeight="1" x14ac:dyDescent="0.25">
      <c r="A32" s="5" t="str">
        <f>HYPERLINK("#'5.1.1.1-2 Inorganic fert N2O'!A1", "5.1.1.1-2 Inorganic fert N2O")</f>
        <v>5.1.1.1-2 Inorganic fert N2O</v>
      </c>
    </row>
    <row r="33" spans="1:8" ht="20.100000000000001" customHeight="1" x14ac:dyDescent="0.25">
      <c r="A33" s="5" t="str">
        <f>HYPERLINK("#'5.1.1.3-4 Inorganic fert CO2'!A1", "5.1.1.3-4 Inorganic fert CO2")</f>
        <v>5.1.1.3-4 Inorganic fert CO2</v>
      </c>
    </row>
    <row r="34" spans="1:8" ht="20.100000000000001" customHeight="1" x14ac:dyDescent="0.25">
      <c r="A34" s="5" t="str">
        <f>HYPERLINK("#'5.2.1.1-2 Organic Fert N2O'!A1", "5.2.1.1-2 Organic fert N2O")</f>
        <v>5.2.1.1-2 Organic fert N2O</v>
      </c>
      <c r="D34" s="2" t="str" cm="1">
        <f t="array" ref="D34">Common_SourceData.Common_SourceData_GWP_Title()</f>
        <v>Global warming potential for greenhouse gases</v>
      </c>
    </row>
    <row r="35" spans="1:8" ht="20.100000000000001" customHeight="1" x14ac:dyDescent="0.25">
      <c r="A35" s="5" t="str">
        <f>HYPERLINK("#'5.3.1.1-2 Lime CO2'!A1", "5.3.1.1-2 Lime CO2")</f>
        <v>5.3.1.1-2 Lime CO2</v>
      </c>
      <c r="D35" s="27" t="str" cm="1">
        <f t="array" ref="D35">Common_SourceData.Common_SourceData_GWP_Source()</f>
        <v>XXXXXXX</v>
      </c>
    </row>
    <row r="36" spans="1:8" ht="20.100000000000001" customHeight="1" x14ac:dyDescent="0.25">
      <c r="A36" s="5" t="str">
        <f>HYPERLINK("#'5.4.1.1-4 Atmos deposition'!A1", "5.4.1.1-4 Atmos. deposition")</f>
        <v>5.4.1.1-4 Atmos. deposition</v>
      </c>
      <c r="D36" s="30" t="s">
        <v>35</v>
      </c>
      <c r="E36" s="30" t="s">
        <v>36</v>
      </c>
    </row>
    <row r="37" spans="1:8" ht="20.100000000000001" customHeight="1" x14ac:dyDescent="0.25">
      <c r="A37" s="5" t="str">
        <f>HYPERLINK("#'5.5.1.1-2 Leaching and runoff'!A1", "5.5.1.1-2 Leaching &amp; runoff")</f>
        <v>5.5.1.1-2 Leaching &amp; runoff</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HYPERLINK("#'6.2.1.1-2 Pasture residue N2O'!A1", "6.2.1.1-2 Pasture residue N2O")</f>
        <v>6.2.1.1-2 Pasture residue N2O</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HYPERLINK("#'6.3.1.1-2 Leach runoff pasture'!A1", "6.3.1.1-2 Leach &amp; runoff (pasture)")</f>
        <v>6.3.1.1-2 Leach &amp; runoff (pasture)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HYPERLINK("#'8.1.1.1-2 Transport fuel'!A1", "8.1.1.1-2 Transport fuel")</f>
        <v>8.1.1.1-2 Transport fuel</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HYPERLINK("#'8.2.1.1-2 Stationary fuel'!A1", "8.2.1.1-2 Stationary fuel")</f>
        <v>8.2.1.1-2 Stationary fuel</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HYPERLINK("#'14.1.1-2 Purchased electricity'!A1", "14.1.1-2 Purchased electricity")</f>
        <v>14.1.1-2 Purchased electricity</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HYPERLINK("#'15 Scope 3'!A1", "15 Scope 3")</f>
        <v>15 Scope 3</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5" t="str">
        <f>HYPERLINK("#'Calcs - Manure sent off-site'!A1", "Calcs - Manure sent off-site")</f>
        <v>Calcs - Manure sent off-site</v>
      </c>
    </row>
    <row r="45" spans="1:8" ht="20.100000000000001" customHeight="1" x14ac:dyDescent="0.25">
      <c r="A45" s="5" t="str">
        <f>HYPERLINK("#'10.1.1-2 Solid waste treatment'!A1", "10.1.1-2 Solid waste treatment")</f>
        <v>10.1.1-2 Solid waste treatment</v>
      </c>
      <c r="D45" s="2" t="str" cm="1">
        <f t="array" ref="D45">Common_SourceData.Common_SourceData_ConvertGasElementalToMolecular_Title()</f>
        <v>Factor to convert elemental mass of gas to molecular mass</v>
      </c>
    </row>
    <row r="46" spans="1:8" ht="20.100000000000001" customHeight="1" x14ac:dyDescent="0.25">
      <c r="A46"/>
      <c r="D46" s="27" t="str" cm="1">
        <f t="array" ref="D46">Common_SourceData.Common_SourceData_ConvertGasElementalToMolecular_Source()</f>
        <v>XXXXXXX</v>
      </c>
    </row>
    <row r="47" spans="1:8" ht="20.100000000000001" customHeight="1" x14ac:dyDescent="0.25">
      <c r="A47"/>
      <c r="D47" s="30" t="s">
        <v>35</v>
      </c>
      <c r="E47" s="30" t="s">
        <v>37</v>
      </c>
      <c r="F47" s="30" t="s">
        <v>38</v>
      </c>
      <c r="G47" s="30" t="s">
        <v>39</v>
      </c>
      <c r="H47" s="30" t="s">
        <v>40</v>
      </c>
    </row>
    <row r="48" spans="1:8" ht="20.100000000000001" customHeight="1" x14ac:dyDescent="0.25">
      <c r="A48" s="97" t="s">
        <v>1</v>
      </c>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s="5" t="str">
        <f>HYPERLINK("#'Constants - Pasture Beef'!A1", "Constants - Pasture Beef")</f>
        <v>Constants - Pasture Beef</v>
      </c>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s="5" t="str">
        <f>HYPERLINK("#'Constants - Ag Residue'!A1", "Constants - Ag residue")</f>
        <v>Constants - Ag residue</v>
      </c>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s="5" t="str">
        <f>HYPERLINK("#'Constants - Common Livestock'!A1", "Constants - Common Livestock")</f>
        <v>Constants - Common Livestock</v>
      </c>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s="5" t="str">
        <f>HYPERLINK("#'Constants - Electricity'!A1", "Constants - Electricity")</f>
        <v>Constants - Electricity</v>
      </c>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s="5" t="str">
        <f>HYPERLINK("#'Constants - Fertiliser'!A1", "Constants - Fertiliser")</f>
        <v>Constants - Fertiliser</v>
      </c>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s="5" t="str">
        <f>HYPERLINK("#'Constants - Fuel'!A1", "Constants - Fuel")</f>
        <v>Constants - Fuel</v>
      </c>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s="5" t="str">
        <f>HYPERLINK("#'Constants - Scope 3'!A1", "Constants - Scope 3")</f>
        <v>Constants - Scope 3</v>
      </c>
    </row>
    <row r="56" spans="1:8" ht="20.100000000000001" customHeight="1" x14ac:dyDescent="0.25">
      <c r="A56" s="127" t="str">
        <f>HYPERLINK("#'Constants - Common'!A1", "Constants - Common")</f>
        <v>Constants - Common</v>
      </c>
    </row>
    <row r="57" spans="1:8" ht="20.100000000000001" customHeight="1" x14ac:dyDescent="0.25">
      <c r="A57" s="5" t="str">
        <f>HYPERLINK("#'Acknowledgements'!A1", "Acknowledgements")</f>
        <v>Acknowledgements</v>
      </c>
      <c r="D57" s="2" t="str" cm="1">
        <f t="array" ref="D57">Common_SourceData.Common_SourceData_WetAndDryZones_Title()</f>
        <v>VEERG Australian wet and dry zones</v>
      </c>
    </row>
    <row r="58" spans="1:8" ht="20.100000000000001" customHeight="1" x14ac:dyDescent="0.25">
      <c r="A58" s="5" t="str">
        <f>HYPERLINK("#'Constants - Solid Waste'!A1", "Constants - Solid Waste")</f>
        <v>Constants - Solid Waste</v>
      </c>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41</v>
      </c>
      <c r="E63" s="30" t="s">
        <v>42</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41</v>
      </c>
      <c r="E89" s="30" t="s">
        <v>43</v>
      </c>
      <c r="F89" s="30" t="s">
        <v>44</v>
      </c>
      <c r="G89" s="30" t="s">
        <v>45</v>
      </c>
      <c r="H89" s="30" t="s">
        <v>46</v>
      </c>
      <c r="I89" s="30" t="s">
        <v>47</v>
      </c>
      <c r="J89" s="30" t="s">
        <v>48</v>
      </c>
      <c r="K89" s="30" t="s">
        <v>49</v>
      </c>
      <c r="L89" s="30" t="s">
        <v>50</v>
      </c>
      <c r="M89" s="30" t="s">
        <v>51</v>
      </c>
      <c r="N89" s="30" t="s">
        <v>52</v>
      </c>
      <c r="O89" s="30" t="s">
        <v>53</v>
      </c>
      <c r="P89" s="30" t="s">
        <v>54</v>
      </c>
      <c r="Q89" s="30" t="s">
        <v>55</v>
      </c>
      <c r="R89" s="30" t="s">
        <v>56</v>
      </c>
      <c r="S89" s="30" t="s">
        <v>57</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58</v>
      </c>
      <c r="E109" s="30" t="s">
        <v>43</v>
      </c>
      <c r="F109" s="30" t="s">
        <v>59</v>
      </c>
      <c r="G109" s="30" t="s">
        <v>60</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61</v>
      </c>
      <c r="E119" s="30" t="s">
        <v>62</v>
      </c>
      <c r="F119" s="30" t="s">
        <v>50</v>
      </c>
      <c r="G119" s="30" t="s">
        <v>51</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63</v>
      </c>
      <c r="E127" s="30" t="s">
        <v>64</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65</v>
      </c>
      <c r="E134" t="s">
        <v>66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67</v>
      </c>
      <c r="E142" s="30" t="s">
        <v>66</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68</v>
      </c>
      <c r="E153" s="30" t="s">
        <v>69</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70</v>
      </c>
      <c r="E186" s="30" t="s">
        <v>71</v>
      </c>
      <c r="F186" s="30" t="s">
        <v>72</v>
      </c>
      <c r="G186" s="30" t="s">
        <v>73</v>
      </c>
      <c r="H186" s="30" t="s">
        <v>74</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41</v>
      </c>
      <c r="E206" s="30" t="s">
        <v>75</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76</v>
      </c>
      <c r="E212" s="30" t="s">
        <v>77</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78</v>
      </c>
      <c r="E231" s="30" t="s">
        <v>79</v>
      </c>
      <c r="F231" s="37" t="s">
        <v>80</v>
      </c>
      <c r="G231" s="30" t="s">
        <v>81</v>
      </c>
      <c r="H231" s="30" t="s">
        <v>82</v>
      </c>
      <c r="I231" s="30" t="s">
        <v>83</v>
      </c>
      <c r="J231" s="30" t="s">
        <v>84</v>
      </c>
      <c r="K231" s="30" t="s">
        <v>85</v>
      </c>
      <c r="L231" s="30" t="s">
        <v>86</v>
      </c>
      <c r="M231" s="30" t="s">
        <v>87</v>
      </c>
      <c r="N231" s="30" t="s">
        <v>88</v>
      </c>
      <c r="O231" s="30" t="s">
        <v>89</v>
      </c>
      <c r="P231" s="30" t="s">
        <v>90</v>
      </c>
      <c r="Q231" s="30" t="s">
        <v>91</v>
      </c>
      <c r="R231" s="30" t="s">
        <v>92</v>
      </c>
      <c r="S231" s="30" t="s">
        <v>93</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94</v>
      </c>
      <c r="E257" s="30" t="s">
        <v>95</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5853-006E-4022-BC5A-2108C0E1D38D}">
  <dimension ref="A1:A58"/>
  <sheetViews>
    <sheetView workbookViewId="0" zoomScale="100" zoomScaleNormal="100">
      <selection activeCell="A58" sqref="A58"/>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HYPERLINK("#'Overview'!A1", "Overview")</f>
        <v>Overview</v>
      </c>
    </row>
    <row r="5" spans="1:1" ht="15.75" x14ac:dyDescent="0.25">
      <c r="A5" s="5" t="str">
        <f>HYPERLINK("#'Results'!A1", "Results")</f>
        <v>Results</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Pasture Beef'!A1", "Pasture Beef")</f>
        <v>Pasture Beef</v>
      </c>
    </row>
    <row r="12" spans="1:1" ht="15.75" x14ac:dyDescent="0.25">
      <c r="A12" s="5" t="str">
        <f>HYPERLINK("#'Input - Pasture Beef (Enteric)'!A1", "Pasture Beef (Enteric)")</f>
        <v>Pasture Beef (Enteric)</v>
      </c>
    </row>
    <row r="13" spans="1:1" ht="15.75" x14ac:dyDescent="0.25">
      <c r="A13" s="5" t="str">
        <f>HYPERLINK("#'Input - Livestock sales'!A1", "Livestock sales")</f>
        <v>Livestock sales</v>
      </c>
    </row>
    <row r="14" spans="1:1" ht="15.75" x14ac:dyDescent="0.25">
      <c r="A14" s="5" t="str">
        <f>HYPERLINK("#'Input - Beef cattle purchases'!A1", "Beef cattle purchases")</f>
        <v>Beef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Farm Inputs'!A1", "Farm Inputs")</f>
        <v>Farm Inputs</v>
      </c>
    </row>
    <row r="21" spans="1:1" ht="15.75" x14ac:dyDescent="0.25">
      <c r="A21" s="5" t="str">
        <f>HYPERLINK("#'Input - Freight'!A1", "Freight")</f>
        <v>Freight</v>
      </c>
    </row>
    <row r="22" spans="1:1" ht="15.75" x14ac:dyDescent="0.25">
      <c r="A22" s="5" t="str">
        <f>HYPERLINK("#'Input - Manure sent off-site'!A1", "Manure sent off-site")</f>
        <v>Manure sent off-site</v>
      </c>
    </row>
    <row r="23" spans="1:1" ht="15.75" x14ac:dyDescent="0.25">
      <c r="A23" s="5" t="str">
        <f>HYPERLINK("#'Input - Solid waste'!A1", "Solid waste")</f>
        <v>Solid waste</v>
      </c>
    </row>
    <row r="26" spans="1:1" x14ac:dyDescent="0.25">
      <c r="A26" s="6" t="s">
        <v>2</v>
      </c>
    </row>
    <row r="27" spans="1:1" ht="15.75" x14ac:dyDescent="0.25">
      <c r="A27" s="5" t="str">
        <f>HYPERLINK("#'3.2.1.1-2 Enteric Methane'!A1", "3.2.1.1-2 Enteric methane")</f>
        <v>3.2.1.1-2 Enteric methane</v>
      </c>
    </row>
    <row r="28" spans="1:1" ht="15.75" x14ac:dyDescent="0.25">
      <c r="A28" s="5" t="str">
        <f>HYPERLINK("#'4.2.1.1-2 Methane'!A1", "4.2.1.1-2 Manure methane")</f>
        <v>4.2.1.1-2 Manure methane</v>
      </c>
    </row>
    <row r="29" spans="1:1" ht="15.75" x14ac:dyDescent="0.25">
      <c r="A29" s="5" t="str">
        <f>HYPERLINK("#'4.2.1.3-4 Soil direct N20'!A1", "4.2.1.3-4 Soil direct N2O")</f>
        <v>4.2.1.3-4 Soil direct N2O</v>
      </c>
    </row>
    <row r="30" spans="1:1" ht="15.75" x14ac:dyDescent="0.25">
      <c r="A30" s="5" t="str">
        <f>HYPERLINK("#'4.2.1.5-6 Soil Atmos Dep'!A1", "4.2.1.5-6 Soil atm. deposition")</f>
        <v>4.2.1.5-6 Soil atm. deposition</v>
      </c>
    </row>
    <row r="31" spans="1:1" ht="15.75" x14ac:dyDescent="0.25">
      <c r="A31" s="5" t="str">
        <f>HYPERLINK("#'4.2.1.7-8 Soil leach runoff'!A1", "4.2.1.7-8 Soil leach &amp; runoff")</f>
        <v>4.2.1.7-8 Soil leach &amp; runoff</v>
      </c>
    </row>
    <row r="32" spans="1:1" ht="15.75" x14ac:dyDescent="0.25">
      <c r="A32" s="5" t="str">
        <f>HYPERLINK("#'5.1.1.1-2 Inorganic fert N2O'!A1", "5.1.1.1-2 Inorganic fert N2O")</f>
        <v>5.1.1.1-2 Inorganic fert N2O</v>
      </c>
    </row>
    <row r="33" spans="1:1" ht="15.75" x14ac:dyDescent="0.25">
      <c r="A33" s="5" t="str">
        <f>HYPERLINK("#'5.1.1.3-4 Inorganic fert CO2'!A1", "5.1.1.3-4 Inorganic fert CO2")</f>
        <v>5.1.1.3-4 Inorganic fert CO2</v>
      </c>
    </row>
    <row r="34" spans="1:1" ht="15.75" x14ac:dyDescent="0.25">
      <c r="A34" s="5" t="str">
        <f>HYPERLINK("#'5.2.1.1-2 Organic Fert N2O'!A1", "5.2.1.1-2 Organic fert N2O")</f>
        <v>5.2.1.1-2 Organic fert N2O</v>
      </c>
    </row>
    <row r="35" spans="1:1" ht="15.75" x14ac:dyDescent="0.25">
      <c r="A35" s="5" t="str">
        <f>HYPERLINK("#'5.3.1.1-2 Lime CO2'!A1", "5.3.1.1-2 Lime CO2")</f>
        <v>5.3.1.1-2 Lime CO2</v>
      </c>
    </row>
    <row r="36" spans="1:1" ht="15.75" x14ac:dyDescent="0.25">
      <c r="A36" s="5" t="str">
        <f>HYPERLINK("#'5.4.1.1-4 Atmos deposition'!A1", "5.4.1.1-4 Atmos. deposition")</f>
        <v>5.4.1.1-4 Atmos. deposition</v>
      </c>
    </row>
    <row r="37" spans="1:1" ht="15.75" x14ac:dyDescent="0.25">
      <c r="A37" s="5" t="str">
        <f>HYPERLINK("#'5.5.1.1-2 Leaching and runoff'!A1", "5.5.1.1-2 Leaching &amp; runoff")</f>
        <v>5.5.1.1-2 Leaching &amp; runoff</v>
      </c>
    </row>
    <row r="38" spans="1:1" ht="15.75" x14ac:dyDescent="0.25">
      <c r="A38" s="5" t="str">
        <f>HYPERLINK("#'6.2.1.1-2 Pasture residue N2O'!A1", "6.2.1.1-2 Pasture residue N2O")</f>
        <v>6.2.1.1-2 Pasture residue N2O</v>
      </c>
    </row>
    <row r="39" spans="1:1" ht="15.75" x14ac:dyDescent="0.25">
      <c r="A39" s="5" t="str">
        <f>HYPERLINK("#'6.3.1.1-2 Leach runoff pasture'!A1", "6.3.1.1-2 Leach &amp; runoff (pasture)")</f>
        <v>6.3.1.1-2 Leach &amp; runoff (pasture)</v>
      </c>
    </row>
    <row r="40" spans="1:1" ht="15.75" x14ac:dyDescent="0.25">
      <c r="A40" s="5" t="str">
        <f>HYPERLINK("#'8.1.1.1-2 Transport fuel'!A1", "8.1.1.1-2 Transport fuel")</f>
        <v>8.1.1.1-2 Transport fuel</v>
      </c>
    </row>
    <row r="41" spans="1:1" ht="15.75" x14ac:dyDescent="0.25">
      <c r="A41" s="5" t="str">
        <f>HYPERLINK("#'8.2.1.1-2 Stationary fuel'!A1", "8.2.1.1-2 Stationary fuel")</f>
        <v>8.2.1.1-2 Stationary fuel</v>
      </c>
    </row>
    <row r="42" spans="1:1" ht="15.75" x14ac:dyDescent="0.25">
      <c r="A42" s="5" t="str">
        <f>HYPERLINK("#'14.1.1-2 Purchased electricity'!A1", "14.1.1-2 Purchased electricity")</f>
        <v>14.1.1-2 Purchased electricity</v>
      </c>
    </row>
    <row r="43" spans="1:1" ht="15.75" x14ac:dyDescent="0.25">
      <c r="A43" s="5" t="str">
        <f>HYPERLINK("#'15 Scope 3'!A1", "15 Scope 3")</f>
        <v>15 Scope 3</v>
      </c>
    </row>
    <row r="44" spans="1:1" ht="15.75" x14ac:dyDescent="0.25">
      <c r="A44" s="5" t="str">
        <f>HYPERLINK("#'Calcs - Manure sent off-site'!A1", "Calcs - Manure sent off-site")</f>
        <v>Calcs - Manure sent off-site</v>
      </c>
    </row>
    <row r="45" spans="1:1" ht="15.75" x14ac:dyDescent="0.25">
      <c r="A45" s="5" t="str">
        <f>HYPERLINK("#'10.1.1-2 Solid waste treatment'!A1", "10.1.1-2 Solid waste treatment")</f>
        <v>10.1.1-2 Solid waste treatment</v>
      </c>
    </row>
    <row r="48" spans="1:1" x14ac:dyDescent="0.25">
      <c r="A48" s="97" t="s">
        <v>1</v>
      </c>
    </row>
    <row r="49" spans="1:1" ht="15.75" x14ac:dyDescent="0.25">
      <c r="A49" s="5" t="str">
        <f>HYPERLINK("#'Constants - Pasture Beef'!A1", "Constants - Pasture Beef")</f>
        <v>Constants - Pasture Beef</v>
      </c>
    </row>
    <row r="50" spans="1:1" ht="15.75" x14ac:dyDescent="0.25">
      <c r="A50" s="5" t="str">
        <f>HYPERLINK("#'Constants - Ag Residue'!A1", "Constants - Ag residue")</f>
        <v>Constants - Ag residue</v>
      </c>
    </row>
    <row r="51" spans="1:1" ht="15.75" x14ac:dyDescent="0.25">
      <c r="A51" s="5" t="str">
        <f>HYPERLINK("#'Constants - Common Livestock'!A1", "Constants - Common Livestock")</f>
        <v>Constants - Common Livestock</v>
      </c>
    </row>
    <row r="52" spans="1:1" ht="15.75" x14ac:dyDescent="0.25">
      <c r="A52" s="5" t="str">
        <f>HYPERLINK("#'Constants - Electricity'!A1", "Constants - Electricity")</f>
        <v>Constants - Electricity</v>
      </c>
    </row>
    <row r="53" spans="1:1" ht="15.75" x14ac:dyDescent="0.25">
      <c r="A53" s="5" t="str">
        <f>HYPERLINK("#'Constants - Fertiliser'!A1", "Constants - Fertiliser")</f>
        <v>Constants - Fertiliser</v>
      </c>
    </row>
    <row r="54" spans="1:1" ht="15.75" x14ac:dyDescent="0.25">
      <c r="A54" s="5" t="str">
        <f>HYPERLINK("#'Constants - Fuel'!A1", "Constants - Fuel")</f>
        <v>Constants - Fuel</v>
      </c>
    </row>
    <row r="55" spans="1:1" ht="15.75" x14ac:dyDescent="0.25">
      <c r="A55" s="5" t="str">
        <f>HYPERLINK("#'Constants - Scope 3'!A1", "Constants - Scope 3")</f>
        <v>Constants - Scope 3</v>
      </c>
    </row>
    <row r="56" spans="1:1" ht="15.75" x14ac:dyDescent="0.25">
      <c r="A56" s="5" t="str">
        <f>HYPERLINK("#'Constants - Common'!A1", "Constants - Common")</f>
        <v>Constants - Common</v>
      </c>
    </row>
    <row r="57" spans="1:1" ht="15.75" x14ac:dyDescent="0.25">
      <c r="A57" s="127" t="str">
        <f>HYPERLINK("#'Acknowledgements'!A1", "Acknowledgements")</f>
        <v>Acknowledgements</v>
      </c>
    </row>
    <row r="58" spans="1:1" ht="15.75" x14ac:dyDescent="0.25">
      <c r="A58" s="5" t="str">
        <f>HYPERLINK("#'Constants - Solid Waste'!A1", "Constants - Solid Waste")</f>
        <v>Constants - Solid Waste</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6EA4-AAB8-4AA7-A824-AB1D5269809F}">
  <sheetPr>
    <tabColor theme="5" tint="-0.249977111117893"/>
  </sheetPr>
  <dimension ref="A1:L385"/>
  <sheetViews>
    <sheetView showGridLines="0"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796</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c r="D5" s="2" t="s">
        <v>797</v>
      </c>
    </row>
    <row r="6" spans="1:10" ht="20.100000000000001" customHeight="1" x14ac:dyDescent="0.25"/>
    <row r="7" spans="1:10" ht="20.100000000000001" customHeight="1" x14ac:dyDescent="0.25">
      <c r="D7" s="46" t="s">
        <v>670</v>
      </c>
      <c r="E7" s="49"/>
    </row>
    <row r="8" spans="1:10" ht="20.100000000000001" customHeight="1" x14ac:dyDescent="0.25">
      <c r="A8" s="7" t="s">
        <v>0</v>
      </c>
    </row>
    <row r="9" spans="1:10" ht="20.100000000000001" customHeight="1" x14ac:dyDescent="0.25">
      <c r="A9" s="5" t="str">
        <f>HYPERLINK("#'Input - Enterprise'!A1", "Enterprise")</f>
        <v>Enterprise</v>
      </c>
      <c r="D9" s="112" t="s">
        <v>671</v>
      </c>
      <c r="E9" s="112" t="s">
        <v>798</v>
      </c>
      <c r="F9" s="112" t="s">
        <v>799</v>
      </c>
      <c r="G9" s="112" t="s">
        <v>800</v>
      </c>
      <c r="H9" s="112" t="s">
        <v>801</v>
      </c>
      <c r="I9" s="112" t="s">
        <v>802</v>
      </c>
    </row>
    <row r="10" spans="1:10" ht="20.100000000000001" customHeight="1" x14ac:dyDescent="0.25">
      <c r="A10" s="5" t="str">
        <f>HYPERLINK("#'Input - Site'!A1", "Site")</f>
        <v>Site</v>
      </c>
      <c r="D10" s="30" t="s">
        <v>803</v>
      </c>
      <c r="E10" s="23" t="s">
        <v>804</v>
      </c>
      <c r="F10" s="23" t="s">
        <v>805</v>
      </c>
      <c r="G10" s="23" t="s">
        <v>806</v>
      </c>
      <c r="H10" s="86">
        <v>50</v>
      </c>
      <c r="I10" s="23" t="s">
        <v>29</v>
      </c>
    </row>
    <row r="11" spans="1:10" ht="20.100000000000001" customHeight="1" x14ac:dyDescent="0.25">
      <c r="A11" s="5" t="str">
        <f>HYPERLINK("#'Input - Pasture Beef'!A1", "Pasture Beef")</f>
        <v>Pasture Beef</v>
      </c>
      <c r="D11" s="30" t="s">
        <v>807</v>
      </c>
      <c r="E11" s="23" t="s">
        <v>804</v>
      </c>
      <c r="F11" s="23" t="s">
        <v>805</v>
      </c>
      <c r="G11" s="23" t="s">
        <v>808</v>
      </c>
      <c r="H11" s="86">
        <v>50</v>
      </c>
      <c r="I11" s="23" t="s">
        <v>809</v>
      </c>
    </row>
    <row r="12" spans="1:10" ht="20.100000000000001" customHeight="1" x14ac:dyDescent="0.25">
      <c r="A12" s="5" t="str">
        <f>HYPERLINK("#'Input - Pasture Beef (Enteric)'!A1", "Pasture Beef (Enteric)")</f>
        <v>Pasture Beef (Enteric)</v>
      </c>
      <c r="D12" s="30" t="s">
        <v>810</v>
      </c>
      <c r="E12" s="23" t="s">
        <v>804</v>
      </c>
      <c r="F12" s="23" t="s">
        <v>811</v>
      </c>
      <c r="G12" s="23" t="s">
        <v>806</v>
      </c>
      <c r="H12" s="86">
        <v>50</v>
      </c>
      <c r="I12" s="23" t="s">
        <v>29</v>
      </c>
    </row>
    <row r="13" spans="1:10" ht="20.100000000000001" customHeight="1" x14ac:dyDescent="0.25">
      <c r="A13" s="5" t="str">
        <f>HYPERLINK("#'Input - Livestock sales'!A1", "Livestock sales")</f>
        <v>Livestock sales</v>
      </c>
      <c r="D13" s="30" t="s">
        <v>812</v>
      </c>
      <c r="E13" s="23" t="s">
        <v>804</v>
      </c>
      <c r="F13" s="23" t="s">
        <v>811</v>
      </c>
      <c r="G13" s="23" t="s">
        <v>808</v>
      </c>
      <c r="H13" s="86">
        <v>50</v>
      </c>
      <c r="I13" s="23" t="s">
        <v>809</v>
      </c>
    </row>
    <row r="14" spans="1:10" ht="20.100000000000001" customHeight="1" x14ac:dyDescent="0.25">
      <c r="A14" s="5" t="str">
        <f>HYPERLINK("#'Input - Beef cattle purchases'!A1", "Beef cattle purchases")</f>
        <v>Beef cattle purchases</v>
      </c>
      <c r="D14" s="30" t="s">
        <v>813</v>
      </c>
      <c r="E14" s="23" t="s">
        <v>814</v>
      </c>
      <c r="F14" s="23" t="s">
        <v>811</v>
      </c>
      <c r="G14" s="23" t="s">
        <v>806</v>
      </c>
      <c r="H14" s="86">
        <v>50</v>
      </c>
      <c r="I14" s="23" t="s">
        <v>29</v>
      </c>
    </row>
    <row r="15" spans="1:10" ht="20.100000000000001" customHeight="1" x14ac:dyDescent="0.25">
      <c r="A15" s="5" t="str">
        <f>HYPERLINK("#'Input - Pasture'!A1", "Pasture")</f>
        <v>Pasture</v>
      </c>
      <c r="D15" s="30" t="s">
        <v>815</v>
      </c>
      <c r="E15" s="23" t="s">
        <v>814</v>
      </c>
      <c r="F15" s="23" t="s">
        <v>811</v>
      </c>
      <c r="G15" s="23" t="s">
        <v>806</v>
      </c>
      <c r="H15" s="86">
        <v>50</v>
      </c>
      <c r="I15" s="23" t="s">
        <v>809</v>
      </c>
    </row>
    <row r="16" spans="1:10" ht="20.100000000000001" customHeight="1" x14ac:dyDescent="0.25">
      <c r="A16" s="5" t="str">
        <f>HYPERLINK("#'Input - Fert Prod System'!A1", "Fert Prod System")</f>
        <v>Fert Prod System</v>
      </c>
      <c r="D16" s="30" t="s">
        <v>816</v>
      </c>
      <c r="E16" s="23" t="s">
        <v>814</v>
      </c>
      <c r="F16" s="23" t="s">
        <v>811</v>
      </c>
      <c r="G16" s="23" t="s">
        <v>808</v>
      </c>
      <c r="H16" s="86">
        <v>50</v>
      </c>
      <c r="I16" s="23" t="s">
        <v>29</v>
      </c>
    </row>
    <row r="17" spans="1:11" ht="20.100000000000001" customHeight="1" x14ac:dyDescent="0.25">
      <c r="A17" s="5" t="str">
        <f>HYPERLINK("#'Input - Fertiliser'!A1", "Fertiliser")</f>
        <v>Fertiliser</v>
      </c>
      <c r="D17" s="30" t="s">
        <v>817</v>
      </c>
      <c r="E17" s="23" t="s">
        <v>814</v>
      </c>
      <c r="F17" s="23" t="s">
        <v>811</v>
      </c>
      <c r="G17" s="23" t="s">
        <v>808</v>
      </c>
      <c r="H17" s="86">
        <v>50</v>
      </c>
      <c r="I17" s="23" t="s">
        <v>809</v>
      </c>
    </row>
    <row r="18" spans="1:11" ht="20.100000000000001" customHeight="1" x14ac:dyDescent="0.25">
      <c r="A18" s="5" t="str">
        <f>HYPERLINK("#'Input - Fuel'!A1", "Fuel")</f>
        <v>Fuel</v>
      </c>
      <c r="D18" s="30" t="s">
        <v>818</v>
      </c>
      <c r="E18" s="23" t="s">
        <v>814</v>
      </c>
      <c r="F18" s="23" t="s">
        <v>805</v>
      </c>
      <c r="G18" s="23" t="s">
        <v>806</v>
      </c>
      <c r="H18" s="86">
        <v>50</v>
      </c>
      <c r="I18" s="23" t="s">
        <v>29</v>
      </c>
    </row>
    <row r="19" spans="1:11" ht="20.100000000000001" customHeight="1" x14ac:dyDescent="0.25">
      <c r="A19" s="5" t="str">
        <f>HYPERLINK("#'Input - Electricity'!A1", "Electricity")</f>
        <v>Electricity</v>
      </c>
      <c r="D19" s="30" t="s">
        <v>819</v>
      </c>
      <c r="E19" s="23" t="s">
        <v>814</v>
      </c>
      <c r="F19" s="23" t="s">
        <v>805</v>
      </c>
      <c r="G19" s="23" t="s">
        <v>806</v>
      </c>
      <c r="H19" s="86">
        <v>50</v>
      </c>
      <c r="I19" s="23" t="s">
        <v>809</v>
      </c>
    </row>
    <row r="20" spans="1:11" ht="20.100000000000001" customHeight="1" x14ac:dyDescent="0.25">
      <c r="A20" s="5" t="str">
        <f>HYPERLINK("#'Input - Farm Inputs'!A1", "Farm Inputs")</f>
        <v>Farm Inputs</v>
      </c>
      <c r="D20" s="30" t="s">
        <v>820</v>
      </c>
      <c r="E20" s="23" t="s">
        <v>814</v>
      </c>
      <c r="F20" s="23" t="s">
        <v>805</v>
      </c>
      <c r="G20" s="23" t="s">
        <v>808</v>
      </c>
      <c r="H20" s="86">
        <v>50</v>
      </c>
      <c r="I20" s="23" t="s">
        <v>29</v>
      </c>
    </row>
    <row r="21" spans="1:11" ht="20.100000000000001" customHeight="1" x14ac:dyDescent="0.25">
      <c r="A21" s="5" t="str">
        <f>HYPERLINK("#'Input - Freight'!A1", "Freight")</f>
        <v>Freight</v>
      </c>
      <c r="D21" s="30" t="s">
        <v>821</v>
      </c>
      <c r="E21" s="23" t="s">
        <v>814</v>
      </c>
      <c r="F21" s="23" t="s">
        <v>805</v>
      </c>
      <c r="G21" s="23" t="s">
        <v>808</v>
      </c>
      <c r="H21" s="86">
        <v>50</v>
      </c>
      <c r="I21" s="23" t="s">
        <v>809</v>
      </c>
    </row>
    <row r="22" spans="1:11" ht="20.100000000000001" customHeight="1" x14ac:dyDescent="0.25">
      <c r="A22" s="5" t="str">
        <f>HYPERLINK("#'Input - Manure sent off-site'!A1", "Manure sent off-site")</f>
        <v>Manure sent off-site</v>
      </c>
      <c r="D22" s="30" t="s">
        <v>822</v>
      </c>
      <c r="E22" s="23" t="s">
        <v>814</v>
      </c>
      <c r="F22" s="23" t="s">
        <v>823</v>
      </c>
      <c r="G22" s="23" t="s">
        <v>806</v>
      </c>
      <c r="H22" s="86">
        <v>50</v>
      </c>
      <c r="I22" s="23" t="s">
        <v>29</v>
      </c>
    </row>
    <row r="23" spans="1:11" ht="20.100000000000001" customHeight="1" x14ac:dyDescent="0.25">
      <c r="A23" s="95" t="str">
        <f>HYPERLINK("#'Input - Solid waste'!A1", "Solid waste")</f>
        <v>Solid waste</v>
      </c>
      <c r="D23" s="30" t="s">
        <v>824</v>
      </c>
      <c r="E23" s="23" t="s">
        <v>814</v>
      </c>
      <c r="F23" s="23" t="s">
        <v>823</v>
      </c>
      <c r="G23" s="23" t="s">
        <v>806</v>
      </c>
      <c r="H23" s="86">
        <v>50</v>
      </c>
      <c r="I23" s="23" t="s">
        <v>809</v>
      </c>
    </row>
    <row r="24" spans="1:11" ht="20.100000000000001" customHeight="1" x14ac:dyDescent="0.25">
      <c r="D24" s="30" t="s">
        <v>825</v>
      </c>
      <c r="E24" s="23" t="s">
        <v>814</v>
      </c>
      <c r="F24" s="23" t="s">
        <v>823</v>
      </c>
      <c r="G24" s="23" t="s">
        <v>808</v>
      </c>
      <c r="H24" s="86">
        <v>50</v>
      </c>
      <c r="I24" s="23" t="s">
        <v>29</v>
      </c>
    </row>
    <row r="25" spans="1:11" ht="20.100000000000001" customHeight="1" x14ac:dyDescent="0.25">
      <c r="D25" s="30" t="s">
        <v>826</v>
      </c>
      <c r="E25" s="23" t="s">
        <v>814</v>
      </c>
      <c r="F25" s="23" t="s">
        <v>823</v>
      </c>
      <c r="G25" s="23" t="s">
        <v>808</v>
      </c>
      <c r="H25" s="86">
        <v>50</v>
      </c>
      <c r="I25" s="23" t="s">
        <v>809</v>
      </c>
    </row>
    <row r="26" spans="1:11" ht="20.100000000000001" customHeight="1" x14ac:dyDescent="0.25">
      <c r="A26" s="6" t="s">
        <v>2</v>
      </c>
      <c r="D26" s="30" t="s">
        <v>827</v>
      </c>
      <c r="E26" s="23" t="s">
        <v>828</v>
      </c>
      <c r="F26" s="23" t="s">
        <v>805</v>
      </c>
      <c r="G26" s="23" t="s">
        <v>808</v>
      </c>
      <c r="H26" s="86">
        <v>50</v>
      </c>
      <c r="I26" s="23" t="s">
        <v>29</v>
      </c>
    </row>
    <row r="27" spans="1:11" ht="20.100000000000001" customHeight="1" x14ac:dyDescent="0.25">
      <c r="A27" s="5" t="str">
        <f>HYPERLINK("#'3.2.1.1-2 Enteric Methane'!A1", "3.2.1.1-2 Enteric methane")</f>
        <v>3.2.1.1-2 Enteric methane</v>
      </c>
      <c r="D27" s="30" t="s">
        <v>829</v>
      </c>
      <c r="E27" s="23" t="s">
        <v>828</v>
      </c>
      <c r="F27" s="23" t="s">
        <v>805</v>
      </c>
      <c r="G27" s="23" t="s">
        <v>808</v>
      </c>
      <c r="H27" s="86">
        <v>50</v>
      </c>
      <c r="I27" s="23" t="s">
        <v>809</v>
      </c>
    </row>
    <row r="28" spans="1:11" ht="20.100000000000001" customHeight="1" x14ac:dyDescent="0.25">
      <c r="A28" s="5" t="str">
        <f>HYPERLINK("#'4.2.1.1-2 Methane'!A1", "4.2.1.1-2 Manure methane")</f>
        <v>4.2.1.1-2 Manure methane</v>
      </c>
      <c r="D28" s="30" t="s">
        <v>830</v>
      </c>
      <c r="E28" s="23" t="s">
        <v>828</v>
      </c>
      <c r="F28" s="23" t="s">
        <v>823</v>
      </c>
      <c r="G28" s="23" t="s">
        <v>808</v>
      </c>
      <c r="H28" s="86">
        <v>50</v>
      </c>
      <c r="I28" s="23" t="s">
        <v>29</v>
      </c>
    </row>
    <row r="29" spans="1:11" ht="20.100000000000001" customHeight="1" x14ac:dyDescent="0.25">
      <c r="A29" s="5" t="str">
        <f>HYPERLINK("#'4.2.1.3-4 Soil direct N20'!A1", "4.2.1.3-4 Soil direct N2O")</f>
        <v>4.2.1.3-4 Soil direct N2O</v>
      </c>
      <c r="D29" s="30" t="s">
        <v>831</v>
      </c>
      <c r="E29" s="23" t="s">
        <v>828</v>
      </c>
      <c r="F29" s="23" t="s">
        <v>823</v>
      </c>
      <c r="G29" s="23" t="s">
        <v>808</v>
      </c>
      <c r="H29" s="86">
        <v>50</v>
      </c>
      <c r="I29" s="23" t="s">
        <v>809</v>
      </c>
      <c r="K29" s="164"/>
    </row>
    <row r="30" spans="1:11" ht="20.100000000000001" customHeight="1" x14ac:dyDescent="0.25">
      <c r="A30" s="5" t="str">
        <f>HYPERLINK("#'4.2.1.5-6 Soil Atmos Dep'!A1", "4.2.1.5-6 Soil atm. deposition")</f>
        <v>4.2.1.5-6 Soil atm. deposition</v>
      </c>
      <c r="D30" s="30" t="s">
        <v>832</v>
      </c>
      <c r="E30" s="23" t="s">
        <v>828</v>
      </c>
      <c r="F30" s="23" t="s">
        <v>823</v>
      </c>
      <c r="G30" s="23" t="s">
        <v>806</v>
      </c>
      <c r="H30" s="86">
        <v>50</v>
      </c>
      <c r="I30" s="23" t="s">
        <v>29</v>
      </c>
      <c r="K30" s="164"/>
    </row>
    <row r="31" spans="1:11" ht="20.100000000000001" customHeight="1" x14ac:dyDescent="0.25">
      <c r="A31" s="5" t="str">
        <f>HYPERLINK("#'4.2.1.7-8 Soil leach runoff'!A1", "4.2.1.7-8 Soil leach &amp; runoff")</f>
        <v>4.2.1.7-8 Soil leach &amp; runoff</v>
      </c>
      <c r="D31" s="30" t="s">
        <v>833</v>
      </c>
      <c r="E31" s="23" t="s">
        <v>828</v>
      </c>
      <c r="F31" s="23" t="s">
        <v>823</v>
      </c>
      <c r="G31" s="23" t="s">
        <v>806</v>
      </c>
      <c r="H31" s="86">
        <v>50</v>
      </c>
      <c r="I31" s="23" t="s">
        <v>809</v>
      </c>
      <c r="K31" s="164"/>
    </row>
    <row r="32" spans="1:11" ht="20.100000000000001" customHeight="1" x14ac:dyDescent="0.25">
      <c r="A32" s="5" t="str">
        <f>HYPERLINK("#'5.1.1.1-2 Inorganic fert N2O'!A1", "5.1.1.1-2 Inorganic fert N2O")</f>
        <v>5.1.1.1-2 Inorganic fert N2O</v>
      </c>
      <c r="D32" s="30" t="s">
        <v>831</v>
      </c>
      <c r="E32" s="23" t="s">
        <v>828</v>
      </c>
      <c r="F32" s="23" t="s">
        <v>823</v>
      </c>
      <c r="G32" s="23" t="s">
        <v>808</v>
      </c>
      <c r="H32" s="86">
        <v>50</v>
      </c>
      <c r="I32" s="23" t="s">
        <v>809</v>
      </c>
      <c r="K32" s="164"/>
    </row>
    <row r="33" spans="1:12" ht="20.100000000000001" customHeight="1" x14ac:dyDescent="0.25">
      <c r="A33" s="5" t="str">
        <f>HYPERLINK("#'5.1.1.3-4 Inorganic fert CO2'!A1", "5.1.1.3-4 Inorganic fert CO2")</f>
        <v>5.1.1.3-4 Inorganic fert CO2</v>
      </c>
      <c r="K33" s="164"/>
    </row>
    <row r="34" spans="1:12" ht="20.100000000000001" customHeight="1" x14ac:dyDescent="0.25">
      <c r="A34" s="5" t="str">
        <f>HYPERLINK("#'5.2.1.1-2 Organic Fert N2O'!A1", "5.2.1.1-2 Organic fert N2O")</f>
        <v>5.2.1.1-2 Organic fert N2O</v>
      </c>
      <c r="K34" s="164"/>
    </row>
    <row r="35" spans="1:12" ht="20.100000000000001" customHeight="1" x14ac:dyDescent="0.25">
      <c r="A35" s="5" t="str">
        <f>HYPERLINK("#'5.3.1.1-2 Lime CO2'!A1", "5.3.1.1-2 Lime CO2")</f>
        <v>5.3.1.1-2 Lime CO2</v>
      </c>
    </row>
    <row r="36" spans="1:12" ht="20.100000000000001" customHeight="1" x14ac:dyDescent="0.25">
      <c r="A36" s="5" t="str">
        <f>HYPERLINK("#'5.4.1.1-4 Atmos deposition'!A1", "5.4.1.1-4 Atmos. deposition")</f>
        <v>5.4.1.1-4 Atmos. deposition</v>
      </c>
      <c r="L36" s="164"/>
    </row>
    <row r="37" spans="1:12" ht="20.100000000000001" customHeight="1" x14ac:dyDescent="0.25">
      <c r="A37" s="5" t="str">
        <f>HYPERLINK("#'5.5.1.1-2 Leaching and runoff'!A1", "5.5.1.1-2 Leaching &amp; runoff")</f>
        <v>5.5.1.1-2 Leaching &amp; runoff</v>
      </c>
      <c r="L37" s="164"/>
    </row>
    <row r="38" spans="1:12" ht="20.100000000000001" customHeight="1" x14ac:dyDescent="0.25">
      <c r="A38" s="5" t="str">
        <f>HYPERLINK("#'6.2.1.1-2 Pasture residue N2O'!A1", "6.2.1.1-2 Pasture residue N2O")</f>
        <v>6.2.1.1-2 Pasture residue N2O</v>
      </c>
      <c r="C38" s="149"/>
    </row>
    <row r="39" spans="1:12" ht="20.100000000000001" customHeight="1" x14ac:dyDescent="0.25">
      <c r="A39" s="5" t="str">
        <f>HYPERLINK("#'6.3.1.1-2 Leach runoff pasture'!A1", "6.3.1.1-2 Leach &amp; runoff (pasture)")</f>
        <v>6.3.1.1-2 Leach &amp; runoff (pasture)</v>
      </c>
      <c r="C39" s="149"/>
      <c r="J39" s="149"/>
    </row>
    <row r="40" spans="1:12" s="164" customFormat="1" ht="20.100000000000001" customHeight="1" x14ac:dyDescent="0.25">
      <c r="A40" s="5" t="str">
        <f>HYPERLINK("#'8.1.1.1-2 Transport fuel'!A1", "8.1.1.1-2 Transport fuel")</f>
        <v>8.1.1.1-2 Transport fuel</v>
      </c>
      <c r="C40" s="1"/>
      <c r="D40" s="1"/>
      <c r="E40" s="1"/>
      <c r="F40" s="1"/>
      <c r="G40" s="1"/>
      <c r="H40" s="1"/>
      <c r="I40" s="1"/>
      <c r="J40" s="1"/>
    </row>
    <row r="41" spans="1:12" s="164" customFormat="1" ht="20.100000000000001" customHeight="1" x14ac:dyDescent="0.25">
      <c r="A41" s="5" t="str">
        <f>HYPERLINK("#'8.2.1.1-2 Stationary fuel'!A1", "8.2.1.1-2 Stationary fuel")</f>
        <v>8.2.1.1-2 Stationary fuel</v>
      </c>
      <c r="C41" s="1"/>
      <c r="D41" s="1"/>
      <c r="E41" s="1"/>
      <c r="F41" s="1"/>
      <c r="G41" s="1"/>
      <c r="H41" s="1"/>
      <c r="I41" s="1"/>
      <c r="J41" s="1"/>
      <c r="L41" s="164" t="s">
        <v>683</v>
      </c>
    </row>
    <row r="42" spans="1:12" ht="20.100000000000001" customHeight="1" x14ac:dyDescent="0.25">
      <c r="A42" s="5" t="str">
        <f>HYPERLINK("#'14.1.1-2 Purchased electricity'!A1", "14.1.1-2 Purchased electricity")</f>
        <v>14.1.1-2 Purchased electricity</v>
      </c>
    </row>
    <row r="43" spans="1:12" ht="20.100000000000001" customHeight="1" x14ac:dyDescent="0.25">
      <c r="A43" s="5" t="str">
        <f>HYPERLINK("#'15 Scope 3'!A1", "15 Scope 3")</f>
        <v>15 Scope 3</v>
      </c>
    </row>
    <row r="44" spans="1:12" ht="20.100000000000001" customHeight="1" x14ac:dyDescent="0.25">
      <c r="A44" s="5" t="str">
        <f>HYPERLINK("#'Calcs - Manure sent off-site'!A1", "Calcs - Manure sent off-site")</f>
        <v>Calcs - Manure sent off-site</v>
      </c>
    </row>
    <row r="45" spans="1:12" ht="20.100000000000001" customHeight="1" x14ac:dyDescent="0.25">
      <c r="A45" s="5" t="str">
        <f>HYPERLINK("#'10.1.1-2 Solid waste treatment'!A1", "10.1.1-2 Solid waste treatment")</f>
        <v>10.1.1-2 Solid waste treatment</v>
      </c>
    </row>
    <row r="46" spans="1:12" ht="20.100000000000001" customHeight="1" x14ac:dyDescent="0.25"/>
    <row r="47" spans="1:12" ht="20.100000000000001" customHeight="1" x14ac:dyDescent="0.25"/>
    <row r="48" spans="1:12" ht="20.100000000000001" customHeight="1" x14ac:dyDescent="0.25">
      <c r="A48" s="97" t="s">
        <v>1</v>
      </c>
    </row>
    <row r="49" spans="1:1" ht="20.100000000000001" customHeight="1" x14ac:dyDescent="0.25">
      <c r="A49" s="5" t="str">
        <f>HYPERLINK("#'Constants - Pasture Beef'!A1", "Constants - Pasture Beef")</f>
        <v>Constants - Pasture Beef</v>
      </c>
    </row>
    <row r="50" spans="1:1" ht="20.100000000000001" customHeight="1" x14ac:dyDescent="0.25">
      <c r="A50" s="5" t="str">
        <f>HYPERLINK("#'Constants - Ag Residue'!A1", "Constants - Ag residue")</f>
        <v>Constants - Ag residue</v>
      </c>
    </row>
    <row r="51" spans="1:1" ht="20.100000000000001" customHeight="1" x14ac:dyDescent="0.25">
      <c r="A51" s="5" t="str">
        <f>HYPERLINK("#'Constants - Common Livestock'!A1", "Constants - Common Livestock")</f>
        <v>Constants - Common Livestock</v>
      </c>
    </row>
    <row r="52" spans="1:1" ht="20.100000000000001" customHeight="1" x14ac:dyDescent="0.25">
      <c r="A52" s="5" t="str">
        <f>HYPERLINK("#'Constants - Electricity'!A1", "Constants - Electricity")</f>
        <v>Constants - Electricity</v>
      </c>
    </row>
    <row r="53" spans="1:1" ht="20.100000000000001" customHeight="1" x14ac:dyDescent="0.25">
      <c r="A53" s="5" t="str">
        <f>HYPERLINK("#'Constants - Fertiliser'!A1", "Constants - Fertiliser")</f>
        <v>Constants - Fertiliser</v>
      </c>
    </row>
    <row r="54" spans="1:1" ht="20.100000000000001" customHeight="1" x14ac:dyDescent="0.25">
      <c r="A54" s="5" t="str">
        <f>HYPERLINK("#'Constants - Fuel'!A1", "Constants - Fuel")</f>
        <v>Constants - Fuel</v>
      </c>
    </row>
    <row r="55" spans="1:1" ht="20.100000000000001" customHeight="1" x14ac:dyDescent="0.25">
      <c r="A55" s="5" t="str">
        <f>HYPERLINK("#'Constants - Scope 3'!A1", "Constants - Scope 3")</f>
        <v>Constants - Scope 3</v>
      </c>
    </row>
    <row r="56" spans="1:1" ht="20.100000000000001" customHeight="1" x14ac:dyDescent="0.25">
      <c r="A56" s="5" t="str">
        <f>HYPERLINK("#'Constants - Common'!A1", "Constants - Common")</f>
        <v>Constants - Common</v>
      </c>
    </row>
    <row r="57" spans="1:1" ht="20.100000000000001" customHeight="1" x14ac:dyDescent="0.25">
      <c r="A57" s="5" t="str">
        <f>HYPERLINK("#'Acknowledgements'!A1", "Acknowledgements")</f>
        <v>Acknowledgements</v>
      </c>
    </row>
    <row r="58" spans="1:1" ht="20.100000000000001" customHeight="1" x14ac:dyDescent="0.25">
      <c r="A58" s="5" t="str">
        <f>HYPERLINK("#'Constants - Solid Waste'!A1", "Constants - Solid Waste")</f>
        <v>Constants - Solid Waste</v>
      </c>
    </row>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89"/>
    </row>
    <row r="74" spans="4:4" ht="20.100000000000001" customHeight="1" x14ac:dyDescent="0.25"/>
    <row r="75" spans="4:4" ht="20.100000000000001" customHeight="1" x14ac:dyDescent="0.25">
      <c r="D75" s="189"/>
    </row>
    <row r="76" spans="4:4" ht="20.100000000000001" customHeight="1" x14ac:dyDescent="0.25">
      <c r="D76" s="189"/>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92"/>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A0889CED-4F95-400E-9CD4-55AFDEE3E3CC}">
      <formula1>INDIRECT("Table_WasteTypes_" &amp; SUBSTITUTE(E10, " ", "") &amp; "[Waste type w]")</formula1>
    </dataValidation>
    <dataValidation type="list" allowBlank="1" showInputMessage="1" showErrorMessage="1" sqref="I10:I32" xr:uid="{44CE777B-348F-48BC-887D-B5B6266985E6}">
      <formula1>"tonnes, cubic metres m3"</formula1>
    </dataValidation>
    <dataValidation type="list" allowBlank="1" showInputMessage="1" showErrorMessage="1" sqref="G10:G32" xr:uid="{493D8416-1713-4602-92A5-D24AC48674C7}">
      <formula1>"Treated on-site, Removed and treated off-site"</formula1>
    </dataValidation>
    <dataValidation type="list" allowBlank="1" showInputMessage="1" showErrorMessage="1" sqref="E10:E32" xr:uid="{60F0F436-353D-4E15-A8D3-70AA0393F64B}">
      <formula1>INDIRECT(_xlfn.UNIQUE("Table_SourceData_WasteSolid_WasteTreatmentEFs[Treatment type t]"))</formula1>
    </dataValidation>
    <dataValidation type="list" allowBlank="1" showInputMessage="1" showErrorMessage="1" sqref="E35" xr:uid="{82BF477F-926A-471B-BC1E-FA2C5F18E417}">
      <formula1>INDIRECT("Table_SourceData_ElectricityEFs[State, Territory or grid description]")</formula1>
    </dataValidation>
    <dataValidation type="list" allowBlank="1" showInputMessage="1" showErrorMessage="1" sqref="E89" xr:uid="{55DA82DC-B660-4255-A268-FC272E0CBA05}">
      <formula1>INDIRECT("Table_SourceData_Swine_IrrigationMethods[Irrigation method]")</formula1>
    </dataValidation>
    <dataValidation type="list" allowBlank="1" showInputMessage="1" showErrorMessage="1" sqref="E273 E278 E283 E317 E312 E307 E185 E173 E149 E161" xr:uid="{280910D9-945A-4A3D-AF6F-06A380666C59}">
      <formula1>"Yes, No"</formula1>
    </dataValidation>
    <dataValidation type="list" allowBlank="1" showInputMessage="1" showErrorMessage="1" sqref="E249" xr:uid="{9A1B100E-FB0D-4F30-BB61-862A077BB93D}">
      <formula1>INDIRECT("Table_SourceData_Dairy_ProductionSystemTemplates[Area]")</formula1>
    </dataValidation>
    <dataValidation type="list" allowBlank="1" showInputMessage="1" showErrorMessage="1" sqref="D301" xr:uid="{05892EA2-ABBD-40FC-BFF5-106ECFF9647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0BAB-9BCA-447E-849D-792F958EA554}">
  <sheetPr>
    <tabColor rgb="FF008000"/>
  </sheetPr>
  <dimension ref="A1:L342"/>
  <sheetViews>
    <sheetView showGridLines="0" topLeftCell="A174"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31" customFormat="1" ht="30" customHeight="1" x14ac:dyDescent="0.35">
      <c r="A1" s="16" t="e" vm="1">
        <v>#VALUE!</v>
      </c>
      <c r="C1" s="31" t="s">
        <v>834</v>
      </c>
    </row>
    <row r="2" spans="1:12" s="3" customFormat="1" ht="20.100000000000001" customHeight="1" x14ac:dyDescent="0.25">
      <c r="A2"/>
    </row>
    <row r="3" spans="1:12" ht="20.100000000000001" customHeight="1" x14ac:dyDescent="0.25">
      <c r="A3" s="5" t="str">
        <f>HYPERLINK("#'Home'!A1", "Home")</f>
        <v>Home</v>
      </c>
      <c r="C3" s="33"/>
      <c r="D3" s="33" t="s">
        <v>148</v>
      </c>
      <c r="E3" s="33"/>
      <c r="F3" s="33"/>
      <c r="G3" s="33"/>
      <c r="H3" s="33"/>
      <c r="I3" s="33"/>
      <c r="J3" s="33"/>
      <c r="K3" s="33"/>
      <c r="L3" s="33"/>
    </row>
    <row r="4" spans="1:12" ht="20.100000000000001" customHeight="1" x14ac:dyDescent="0.25">
      <c r="A4" s="5" t="str">
        <f>HYPERLINK("#'Overview'!A1", "Overview")</f>
        <v>Overview</v>
      </c>
    </row>
    <row r="5" spans="1:12" ht="20.100000000000001" customHeight="1" x14ac:dyDescent="0.25">
      <c r="A5" s="5" t="str">
        <f>HYPERLINK("#'Results'!A1", "Results")</f>
        <v>Results</v>
      </c>
      <c r="D5" s="2" t="str" cm="1">
        <f t="array" ref="D5">WasteSolid_Equations.VEERG_10_1_1_1__2_MassOfWasteFromVolume_Title()</f>
        <v>Mass of waste from waste volume</v>
      </c>
    </row>
    <row r="6" spans="1:12" ht="20.100000000000001" customHeight="1" x14ac:dyDescent="0.25">
      <c r="D6" s="27" t="str" cm="1">
        <f t="array" ref="D6">WasteSolid_Equations.VEERG_10_1_1_1__2_MassOfWasteFromVolume_Source()</f>
        <v>VEERG 2026: 10.1.1.1, Equation (2)</v>
      </c>
    </row>
    <row r="7" spans="1:12" ht="20.100000000000001" customHeight="1" x14ac:dyDescent="0.25">
      <c r="D7" s="100" t="s">
        <v>259</v>
      </c>
      <c r="E7" s="100"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88" t="s">
        <v>261</v>
      </c>
      <c r="E10" s="1" t="str" cm="1">
        <f t="array" ref="E10">WasteSolid_Equations.VEERG_10_1_1_1__2_MassOfWasteFromVolume_Variable()</f>
        <v>Q_wt</v>
      </c>
    </row>
    <row r="11" spans="1:12" ht="20.100000000000001" customHeight="1" x14ac:dyDescent="0.25">
      <c r="A11" s="5" t="str">
        <f>HYPERLINK("#'Input - Pasture Beef'!A1", "Pasture Beef")</f>
        <v>Pasture Beef</v>
      </c>
      <c r="D11" s="88" t="s">
        <v>131</v>
      </c>
      <c r="E11" s="15" t="str" cm="1">
        <f t="array" ref="E11">WasteSolid_Equations.VEERG_10_1_1_1__2_MassOfWasteFromVolume_Unit()</f>
        <v>t</v>
      </c>
    </row>
    <row r="12" spans="1:12" ht="20.100000000000001" customHeight="1" x14ac:dyDescent="0.25">
      <c r="A12" s="5" t="str">
        <f>HYPERLINK("#'Input - Pasture Beef (Enteric)'!A1", "Pasture Beef (Enteric)")</f>
        <v>Pasture Beef (Enteric)</v>
      </c>
    </row>
    <row r="13" spans="1:12" ht="20.100000000000001" customHeight="1" x14ac:dyDescent="0.25">
      <c r="A13" s="5" t="str">
        <f>HYPERLINK("#'Input - Livestock sales'!A1", "Livestock sales")</f>
        <v>Livestock sales</v>
      </c>
      <c r="D13" s="102" t="str" cm="1">
        <f t="array" ref="D13:E16">_xlfn.CHOOSECOLS(WasteSolid_Equations.VEERG_10_1_1_1__2_MassOfWasteFromVolume_Arguments(),1,2)</f>
        <v>V_wt</v>
      </c>
      <c r="E13" s="103" t="str">
        <v>volume of solid waste type w being sent to treatment facility t</v>
      </c>
      <c r="F13" s="105"/>
      <c r="G13" s="102" t="str" cm="1">
        <f t="array" ref="G13:H16">_xlfn.CHOOSECOLS(WasteSolid_Equations.VEERG_10_1_1_1__2_MassOfWasteFromVolume_Arguments(),3,4)</f>
        <v>m3</v>
      </c>
      <c r="H13" s="106" t="str">
        <v>Input</v>
      </c>
      <c r="I13" s="108" t="str" cm="1">
        <f t="array" aca="1" ref="I13" ca="1">HYPERLINK(Common_InputFunctions.Utility_SourceHyperlink($D$18),$D$18)</f>
        <v>Table_V_w_t_onsite</v>
      </c>
      <c r="J13" s="108" t="str" cm="1">
        <f t="array" aca="1" ref="J13" ca="1">HYPERLINK(Common_InputFunctions.Utility_SourceHyperlink($D$56),$D$56)</f>
        <v>Table_V_w_t_offsite</v>
      </c>
    </row>
    <row r="14" spans="1:12" ht="20.100000000000001" customHeight="1" x14ac:dyDescent="0.25">
      <c r="A14" s="5" t="str">
        <f>HYPERLINK("#'Input - Beef cattle purchases'!A1", "Beef cattle purchases")</f>
        <v>Beef cattle purchases</v>
      </c>
      <c r="D14" s="102" t="str">
        <v>VTM_w</v>
      </c>
      <c r="E14" s="103" t="str">
        <v>conversion factor of volume to mass for waste type w</v>
      </c>
      <c r="F14" s="105"/>
      <c r="G14" s="102" t="str">
        <v>t/m3</v>
      </c>
      <c r="H14" s="107" t="str">
        <v>Constant</v>
      </c>
      <c r="I14" s="108" t="str" cm="1">
        <f t="array" aca="1" ref="I14" ca="1">HYPERLINK(Common_InputFunctions.Utility_SourceHyperlink($D$18),$D$18)</f>
        <v>Table_V_w_t_onsite</v>
      </c>
      <c r="J14" s="108" t="str" cm="1">
        <f t="array" aca="1" ref="J14" ca="1">HYPERLINK(Common_InputFunctions.Utility_SourceHyperlink($D$56),$D$56)</f>
        <v>Table_V_w_t_offsite</v>
      </c>
    </row>
    <row r="15" spans="1:12" ht="20.100000000000001" customHeight="1" x14ac:dyDescent="0.25">
      <c r="A15" s="5" t="str">
        <f>HYPERLINK("#'Input - Pasture'!A1", "Pasture")</f>
        <v>Pasture</v>
      </c>
      <c r="D15" s="102" t="str">
        <v>w</v>
      </c>
      <c r="E15" s="103" t="str">
        <v>waste type</v>
      </c>
      <c r="F15" s="105"/>
      <c r="G15" s="102" t="str">
        <v/>
      </c>
      <c r="H15" s="106" t="str">
        <v>Input</v>
      </c>
      <c r="I15" s="108" t="str" cm="1">
        <f t="array" aca="1" ref="I15" ca="1">HYPERLINK(Common_InputFunctions.Utility_SourceHyperlink($D$18),$D$18)</f>
        <v>Table_V_w_t_onsite</v>
      </c>
      <c r="J15" s="108" t="str" cm="1">
        <f t="array" aca="1" ref="J15" ca="1">HYPERLINK(Common_InputFunctions.Utility_SourceHyperlink($D$56),$D$56)</f>
        <v>Table_V_w_t_offsite</v>
      </c>
    </row>
    <row r="16" spans="1:12" ht="20.100000000000001" customHeight="1" x14ac:dyDescent="0.25">
      <c r="A16" s="5" t="str">
        <f>HYPERLINK("#'Input - Fert Prod System'!A1", "Fert Prod System")</f>
        <v>Fert Prod System</v>
      </c>
      <c r="D16" s="102" t="str">
        <v>t</v>
      </c>
      <c r="E16" s="103" t="str">
        <v>treatment facility</v>
      </c>
      <c r="F16" s="105"/>
      <c r="G16" s="102" t="str">
        <v/>
      </c>
      <c r="H16" s="106" t="str">
        <v>Input</v>
      </c>
      <c r="I16" s="108" t="str" cm="1">
        <f t="array" aca="1" ref="I16" ca="1">HYPERLINK(Common_InputFunctions.Utility_SourceHyperlink($D$18),$D$18)</f>
        <v>Table_V_w_t_onsite</v>
      </c>
      <c r="J16" s="108" t="str" cm="1">
        <f t="array" aca="1" ref="J16" ca="1">HYPERLINK(Common_InputFunctions.Utility_SourceHyperlink($D$56),$D$56)</f>
        <v>Table_V_w_t_offsite</v>
      </c>
    </row>
    <row r="17" spans="1:9" ht="20.100000000000001" customHeight="1" x14ac:dyDescent="0.25">
      <c r="A17" s="5" t="str">
        <f>HYPERLINK("#'Input - Fertiliser'!A1", "Fertiliser")</f>
        <v>Fertiliser</v>
      </c>
    </row>
    <row r="18" spans="1:9" ht="20.100000000000001" customHeight="1" x14ac:dyDescent="0.25">
      <c r="A18" s="5" t="str">
        <f>HYPERLINK("#'Input - Fuel'!A1", "Fuel")</f>
        <v>Fuel</v>
      </c>
      <c r="D18" s="109" t="s">
        <v>835</v>
      </c>
    </row>
    <row r="19" spans="1:9" ht="20.100000000000001" customHeight="1" x14ac:dyDescent="0.25">
      <c r="A19" s="5" t="str">
        <f>HYPERLINK("#'Input - Electricity'!A1", "Electricity")</f>
        <v>Electricity</v>
      </c>
      <c r="D19" s="110" t="s">
        <v>836</v>
      </c>
    </row>
    <row r="20" spans="1:9" ht="20.100000000000001" customHeight="1" x14ac:dyDescent="0.25">
      <c r="A20" s="5" t="str">
        <f>HYPERLINK("#'Input - Farm Inputs'!A1", "Farm Inputs")</f>
        <v>Farm Inputs</v>
      </c>
      <c r="D20" s="112" t="s">
        <v>837</v>
      </c>
      <c r="E20" s="112" t="s">
        <v>838</v>
      </c>
      <c r="F20" s="112"/>
      <c r="G20" s="112" t="s">
        <v>839</v>
      </c>
      <c r="H20" s="111" t="s">
        <v>840</v>
      </c>
      <c r="I20" s="111" t="s">
        <v>841</v>
      </c>
    </row>
    <row r="21" spans="1:9" ht="20.100000000000001" customHeight="1" x14ac:dyDescent="0.25">
      <c r="A21" s="5" t="str">
        <f>HYPERLINK("#'Input - Freight'!A1", "Freight")</f>
        <v>Freight</v>
      </c>
      <c r="D21" s="102" t="str" cm="1">
        <f t="array" ref="D21:D54">Table_SourceData_WasteSolid_WasteTreatmentEFs[Treatment type t]</f>
        <v>Landfill</v>
      </c>
      <c r="E21" s="103" t="str" cm="1">
        <f t="array" ref="E21:E54">Table_SourceData_WasteSolid_WasteTreatmentEFs[Waste type w]</f>
        <v>Food waste (including animal carcasses, spoiled animal feed or crop)</v>
      </c>
      <c r="F21" s="167"/>
      <c r="G21" s="2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5" cm="1">
        <f t="array" ref="H21">Common_InputFunctions.Utility_LookupValueInTableNumber(E21,Table_SourceData_WasteSolid_VolumeToMassConversion[Waste type w],Table_SourceData_WasteSolid_VolumeToMassConversion[VTMw])</f>
        <v>0.5</v>
      </c>
      <c r="I21" s="25" cm="1">
        <f t="array" ref="I21">WasteSolid_Equations.VEERG_10_1_1_1__2_MassOfWasteFromVolume(G21,H21)</f>
        <v>25</v>
      </c>
    </row>
    <row r="22" spans="1:9" ht="20.100000000000001" customHeight="1" x14ac:dyDescent="0.25">
      <c r="A22" s="5" t="str">
        <f>HYPERLINK("#'Input - Manure sent off-site'!A1", "Manure sent off-site")</f>
        <v>Manure sent off-site</v>
      </c>
      <c r="D22" s="102" t="str">
        <v>Landfill</v>
      </c>
      <c r="E22" s="103" t="str">
        <v>Paper and cardboard</v>
      </c>
      <c r="F22" s="167"/>
      <c r="G22" s="2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5" cm="1">
        <f t="array" ref="H22">Common_InputFunctions.Utility_LookupValueInTableNumber(E22,Table_SourceData_WasteSolid_VolumeToMassConversion[Waste type w],Table_SourceData_WasteSolid_VolumeToMassConversion[VTMw])</f>
        <v>0.09</v>
      </c>
      <c r="I22" s="25" cm="1">
        <f t="array" ref="I22">WasteSolid_Equations.VEERG_10_1_1_1__2_MassOfWasteFromVolume(G22,H22)</f>
        <v>4.5</v>
      </c>
    </row>
    <row r="23" spans="1:9" ht="20.100000000000001" customHeight="1" x14ac:dyDescent="0.25">
      <c r="A23" s="5" t="str">
        <f>HYPERLINK("#'Input - Solid waste'!A1", "Solid waste")</f>
        <v>Solid waste</v>
      </c>
      <c r="D23" s="102" t="str">
        <v>Landfill</v>
      </c>
      <c r="E23" s="103" t="str">
        <v>Green waste (including crop residues or prunings)</v>
      </c>
      <c r="F23" s="167"/>
      <c r="G23" s="2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5" cm="1">
        <f t="array" ref="H23">Common_InputFunctions.Utility_LookupValueInTableNumber(E23,Table_SourceData_WasteSolid_VolumeToMassConversion[Waste type w],Table_SourceData_WasteSolid_VolumeToMassConversion[VTMw])</f>
        <v>0.24</v>
      </c>
      <c r="I23" s="25" cm="1">
        <f t="array" ref="I23">WasteSolid_Equations.VEERG_10_1_1_1__2_MassOfWasteFromVolume(G23,H23)</f>
        <v>12</v>
      </c>
    </row>
    <row r="24" spans="1:9" ht="20.100000000000001" customHeight="1" x14ac:dyDescent="0.25">
      <c r="D24" s="102" t="str">
        <v>Landfill</v>
      </c>
      <c r="E24" s="103" t="str">
        <v>Wood</v>
      </c>
      <c r="F24" s="167"/>
      <c r="G24" s="2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5" cm="1">
        <f t="array" ref="H24">Common_InputFunctions.Utility_LookupValueInTableNumber(E24,Table_SourceData_WasteSolid_VolumeToMassConversion[Waste type w],Table_SourceData_WasteSolid_VolumeToMassConversion[VTMw])</f>
        <v>0.15</v>
      </c>
      <c r="I24" s="25" cm="1">
        <f t="array" ref="I24">WasteSolid_Equations.VEERG_10_1_1_1__2_MassOfWasteFromVolume(G24,H24)</f>
        <v>0</v>
      </c>
    </row>
    <row r="25" spans="1:9" ht="20.100000000000001" customHeight="1" x14ac:dyDescent="0.25">
      <c r="D25" s="102" t="str">
        <v>Landfill</v>
      </c>
      <c r="E25" s="103" t="str">
        <v>Textiles</v>
      </c>
      <c r="F25" s="167"/>
      <c r="G25" s="2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5" cm="1">
        <f t="array" ref="H25">Common_InputFunctions.Utility_LookupValueInTableNumber(E25,Table_SourceData_WasteSolid_VolumeToMassConversion[Waste type w],Table_SourceData_WasteSolid_VolumeToMassConversion[VTMw])</f>
        <v>0.14000000000000001</v>
      </c>
      <c r="I25" s="25" cm="1">
        <f t="array" ref="I25">WasteSolid_Equations.VEERG_10_1_1_1__2_MassOfWasteFromVolume(G25,H25)</f>
        <v>0</v>
      </c>
    </row>
    <row r="26" spans="1:9" ht="20.100000000000001" customHeight="1" x14ac:dyDescent="0.25">
      <c r="A26" s="6" t="s">
        <v>2</v>
      </c>
      <c r="D26" s="102" t="str">
        <v>Landfill</v>
      </c>
      <c r="E26" s="103" t="str">
        <v>Sludge</v>
      </c>
      <c r="F26" s="167"/>
      <c r="G26" s="2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5" cm="1">
        <f t="array" ref="H26">Common_InputFunctions.Utility_LookupValueInTableNumber(E26,Table_SourceData_WasteSolid_VolumeToMassConversion[Waste type w],Table_SourceData_WasteSolid_VolumeToMassConversion[VTMw])</f>
        <v>0.72</v>
      </c>
      <c r="I26" s="25" cm="1">
        <f t="array" ref="I26">WasteSolid_Equations.VEERG_10_1_1_1__2_MassOfWasteFromVolume(G26,H26)</f>
        <v>0</v>
      </c>
    </row>
    <row r="27" spans="1:9" ht="20.100000000000001" customHeight="1" x14ac:dyDescent="0.25">
      <c r="A27" s="5" t="str">
        <f>HYPERLINK("#'3.2.1.1-2 Enteric Methane'!A1", "3.2.1.1-2 Enteric methane")</f>
        <v>3.2.1.1-2 Enteric methane</v>
      </c>
      <c r="D27" s="102" t="str">
        <v>Landfill</v>
      </c>
      <c r="E27" s="103" t="str">
        <v>Rubber and leather</v>
      </c>
      <c r="F27" s="167"/>
      <c r="G27" s="2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5" cm="1">
        <f t="array" ref="H27">Common_InputFunctions.Utility_LookupValueInTableNumber(E27,Table_SourceData_WasteSolid_VolumeToMassConversion[Waste type w],Table_SourceData_WasteSolid_VolumeToMassConversion[VTMw])</f>
        <v>0.14000000000000001</v>
      </c>
      <c r="I27" s="25" cm="1">
        <f t="array" ref="I27">WasteSolid_Equations.VEERG_10_1_1_1__2_MassOfWasteFromVolume(G27,H27)</f>
        <v>0</v>
      </c>
    </row>
    <row r="28" spans="1:9" ht="20.100000000000001" customHeight="1" x14ac:dyDescent="0.25">
      <c r="A28" s="5" t="str">
        <f>HYPERLINK("#'4.2.1.1-2 Methane'!A1", "4.2.1.1-2 Manure methane")</f>
        <v>4.2.1.1-2 Manure methane</v>
      </c>
      <c r="D28" s="102" t="str">
        <v>Landfill</v>
      </c>
      <c r="E28" s="103" t="str">
        <v>Inert waste (including concrete, metal, plastic or glass)</v>
      </c>
      <c r="F28" s="167"/>
      <c r="G28" s="2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5" cm="1">
        <f t="array" ref="H28">Common_InputFunctions.Utility_LookupValueInTableNumber(E28,Table_SourceData_WasteSolid_VolumeToMassConversion[Waste type w],Table_SourceData_WasteSolid_VolumeToMassConversion[VTMw])</f>
        <v>0.42</v>
      </c>
      <c r="I28" s="25" cm="1">
        <f t="array" ref="I28">WasteSolid_Equations.VEERG_10_1_1_1__2_MassOfWasteFromVolume(G28,H28)</f>
        <v>0</v>
      </c>
    </row>
    <row r="29" spans="1:9" ht="20.100000000000001" customHeight="1" x14ac:dyDescent="0.25">
      <c r="A29" s="5" t="str">
        <f>HYPERLINK("#'4.2.1.3-4 Soil direct N20'!A1", "4.2.1.3-4 Soil direct N2O")</f>
        <v>4.2.1.3-4 Soil direct N2O</v>
      </c>
      <c r="D29" s="102" t="str">
        <v>Landfill</v>
      </c>
      <c r="E29" s="103" t="str">
        <v>Municipal solid waste</v>
      </c>
      <c r="F29" s="167"/>
      <c r="G29" s="2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5" cm="1">
        <f t="array" ref="H29">Common_InputFunctions.Utility_LookupValueInTableNumber(E29,Table_SourceData_WasteSolid_VolumeToMassConversion[Waste type w],Table_SourceData_WasteSolid_VolumeToMassConversion[VTMw])</f>
        <v>0.36</v>
      </c>
      <c r="I29" s="25" cm="1">
        <f t="array" ref="I29">WasteSolid_Equations.VEERG_10_1_1_1__2_MassOfWasteFromVolume(G29,H29)</f>
        <v>0</v>
      </c>
    </row>
    <row r="30" spans="1:9" ht="20.100000000000001" customHeight="1" x14ac:dyDescent="0.25">
      <c r="A30" s="5" t="str">
        <f>HYPERLINK("#'4.2.1.5-6 Soil Atmos Dep'!A1", "4.2.1.5-6 Soil atm. deposition")</f>
        <v>4.2.1.5-6 Soil atm. deposition</v>
      </c>
      <c r="D30" s="102" t="str">
        <v>Landfill</v>
      </c>
      <c r="E30" s="103" t="str">
        <v>Commercial and industrial waste</v>
      </c>
      <c r="F30" s="167"/>
      <c r="G30" s="2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5" cm="1">
        <f t="array" ref="H30">Common_InputFunctions.Utility_LookupValueInTableNumber(E30,Table_SourceData_WasteSolid_VolumeToMassConversion[Waste type w],Table_SourceData_WasteSolid_VolumeToMassConversion[VTMw])</f>
        <v>0.33</v>
      </c>
      <c r="I30" s="25" cm="1">
        <f t="array" ref="I30">WasteSolid_Equations.VEERG_10_1_1_1__2_MassOfWasteFromVolume(G30,H30)</f>
        <v>0</v>
      </c>
    </row>
    <row r="31" spans="1:9" ht="20.100000000000001" customHeight="1" x14ac:dyDescent="0.25">
      <c r="A31" s="5" t="str">
        <f>HYPERLINK("#'4.2.1.7-8 Soil leach runoff'!A1", "4.2.1.7-8 Soil leach &amp; runoff")</f>
        <v>4.2.1.7-8 Soil leach &amp; runoff</v>
      </c>
      <c r="D31" s="102" t="str">
        <v>Landfill</v>
      </c>
      <c r="E31" s="103" t="str">
        <v>Construction and demolition waste</v>
      </c>
      <c r="F31" s="167"/>
      <c r="G31" s="2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5" cm="1">
        <f t="array" ref="H31">Common_InputFunctions.Utility_LookupValueInTableNumber(E31,Table_SourceData_WasteSolid_VolumeToMassConversion[Waste type w],Table_SourceData_WasteSolid_VolumeToMassConversion[VTMw])</f>
        <v>0.39</v>
      </c>
      <c r="I31" s="25" cm="1">
        <f t="array" ref="I31">WasteSolid_Equations.VEERG_10_1_1_1__2_MassOfWasteFromVolume(G31,H31)</f>
        <v>0</v>
      </c>
    </row>
    <row r="32" spans="1:9" ht="20.100000000000001" customHeight="1" x14ac:dyDescent="0.25">
      <c r="A32" s="5" t="str">
        <f>HYPERLINK("#'5.1.1.1-2 Inorganic fert N2O'!A1", "5.1.1.1-2 Inorganic fert N2O")</f>
        <v>5.1.1.1-2 Inorganic fert N2O</v>
      </c>
      <c r="D32" s="102" t="str">
        <v>Incineration</v>
      </c>
      <c r="E32" s="103" t="str">
        <v>Food waste, green waste, wood, sludge</v>
      </c>
      <c r="F32" s="167"/>
      <c r="G32" s="25" t="s">
        <v>560</v>
      </c>
      <c r="H32" s="25" t="s">
        <v>560</v>
      </c>
      <c r="I32" s="25" t="s">
        <v>560</v>
      </c>
    </row>
    <row r="33" spans="1:9" ht="20.100000000000001" customHeight="1" x14ac:dyDescent="0.25">
      <c r="A33" s="5" t="str">
        <f>HYPERLINK("#'5.1.1.3-4 Inorganic fert CO2'!A1", "5.1.1.3-4 Inorganic fert CO2")</f>
        <v>5.1.1.3-4 Inorganic fert CO2</v>
      </c>
      <c r="D33" s="102" t="str">
        <v>Incineration</v>
      </c>
      <c r="E33" s="103" t="str">
        <v>Food waste (including animal carcasses, spoiled animal feed or crop)</v>
      </c>
      <c r="F33" s="167"/>
      <c r="G33" s="2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5" cm="1">
        <f t="array" ref="H33">Common_InputFunctions.Utility_LookupValueInTableNumber(E33,Table_SourceData_WasteSolid_VolumeToMassConversion[Waste type w],Table_SourceData_WasteSolid_VolumeToMassConversion[VTMw])</f>
        <v>0.5</v>
      </c>
      <c r="I33" s="25" cm="1">
        <f t="array" ref="I33">WasteSolid_Equations.VEERG_10_1_1_1__2_MassOfWasteFromVolume(G33,H33)</f>
        <v>0</v>
      </c>
    </row>
    <row r="34" spans="1:9" ht="20.100000000000001" customHeight="1" x14ac:dyDescent="0.25">
      <c r="A34" s="5" t="str">
        <f>HYPERLINK("#'5.2.1.1-2 Organic Fert N2O'!A1", "5.2.1.1-2 Organic fert N2O")</f>
        <v>5.2.1.1-2 Organic fert N2O</v>
      </c>
      <c r="D34" s="102" t="str">
        <v>Incineration</v>
      </c>
      <c r="E34" s="103" t="str">
        <v>Green waste (including crop residues or prunings)</v>
      </c>
      <c r="F34" s="167"/>
      <c r="G34" s="2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5" cm="1">
        <f t="array" ref="H34">Common_InputFunctions.Utility_LookupValueInTableNumber(E34,Table_SourceData_WasteSolid_VolumeToMassConversion[Waste type w],Table_SourceData_WasteSolid_VolumeToMassConversion[VTMw])</f>
        <v>0.24</v>
      </c>
      <c r="I34" s="25" cm="1">
        <f t="array" ref="I34">WasteSolid_Equations.VEERG_10_1_1_1__2_MassOfWasteFromVolume(G34,H34)</f>
        <v>24</v>
      </c>
    </row>
    <row r="35" spans="1:9" ht="20.100000000000001" customHeight="1" x14ac:dyDescent="0.25">
      <c r="A35" s="5" t="str">
        <f>HYPERLINK("#'5.3.1.1-2 Lime CO2'!A1", "5.3.1.1-2 Lime CO2")</f>
        <v>5.3.1.1-2 Lime CO2</v>
      </c>
      <c r="D35" s="102" t="str">
        <v>Incineration</v>
      </c>
      <c r="E35" s="103" t="str">
        <v>Wood</v>
      </c>
      <c r="F35" s="167"/>
      <c r="G35" s="2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5" cm="1">
        <f t="array" ref="H35">Common_InputFunctions.Utility_LookupValueInTableNumber(E35,Table_SourceData_WasteSolid_VolumeToMassConversion[Waste type w],Table_SourceData_WasteSolid_VolumeToMassConversion[VTMw])</f>
        <v>0.15</v>
      </c>
      <c r="I35" s="25" cm="1">
        <f t="array" ref="I35">WasteSolid_Equations.VEERG_10_1_1_1__2_MassOfWasteFromVolume(G35,H35)</f>
        <v>0</v>
      </c>
    </row>
    <row r="36" spans="1:9" ht="20.100000000000001" customHeight="1" x14ac:dyDescent="0.25">
      <c r="A36" s="5" t="str">
        <f>HYPERLINK("#'5.4.1.1-4 Atmos deposition'!A1", "5.4.1.1-4 Atmos. deposition")</f>
        <v>5.4.1.1-4 Atmos. deposition</v>
      </c>
      <c r="D36" s="102" t="str">
        <v>Incineration</v>
      </c>
      <c r="E36" s="103" t="str">
        <v>Sludge</v>
      </c>
      <c r="F36" s="167"/>
      <c r="G36" s="2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5" cm="1">
        <f t="array" ref="H36">Common_InputFunctions.Utility_LookupValueInTableNumber(E36,Table_SourceData_WasteSolid_VolumeToMassConversion[Waste type w],Table_SourceData_WasteSolid_VolumeToMassConversion[VTMw])</f>
        <v>0.72</v>
      </c>
      <c r="I36" s="25" cm="1">
        <f t="array" ref="I36">WasteSolid_Equations.VEERG_10_1_1_1__2_MassOfWasteFromVolume(G36,H36)</f>
        <v>0</v>
      </c>
    </row>
    <row r="37" spans="1:9" ht="20.100000000000001" customHeight="1" x14ac:dyDescent="0.25">
      <c r="A37" s="5" t="str">
        <f>HYPERLINK("#'5.5.1.1-2 Leaching and runoff'!A1", "5.5.1.1-2 Leaching &amp; runoff")</f>
        <v>5.5.1.1-2 Leaching &amp; runoff</v>
      </c>
      <c r="D37" s="102" t="str">
        <v>Incineration</v>
      </c>
      <c r="E37" s="103" t="str">
        <v>Paper and cardboard</v>
      </c>
      <c r="F37" s="167"/>
      <c r="G37" s="2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5" cm="1">
        <f t="array" ref="H37">Common_InputFunctions.Utility_LookupValueInTableNumber(E37,Table_SourceData_WasteSolid_VolumeToMassConversion[Waste type w],Table_SourceData_WasteSolid_VolumeToMassConversion[VTMw])</f>
        <v>0.09</v>
      </c>
      <c r="I37" s="25" cm="1">
        <f t="array" ref="I37">WasteSolid_Equations.VEERG_10_1_1_1__2_MassOfWasteFromVolume(G37,H37)</f>
        <v>4.5</v>
      </c>
    </row>
    <row r="38" spans="1:9" ht="20.100000000000001" customHeight="1" x14ac:dyDescent="0.25">
      <c r="A38" s="5" t="str">
        <f>HYPERLINK("#'6.2.1.1-2 Pasture residue N2O'!A1", "6.2.1.1-2 Pasture residue N2O")</f>
        <v>6.2.1.1-2 Pasture residue N2O</v>
      </c>
      <c r="D38" s="102" t="str">
        <v>Incineration</v>
      </c>
      <c r="E38" s="103" t="str">
        <v>Textiles</v>
      </c>
      <c r="F38" s="167"/>
      <c r="G38" s="2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5" cm="1">
        <f t="array" ref="H38">Common_InputFunctions.Utility_LookupValueInTableNumber(E38,Table_SourceData_WasteSolid_VolumeToMassConversion[Waste type w],Table_SourceData_WasteSolid_VolumeToMassConversion[VTMw])</f>
        <v>0.14000000000000001</v>
      </c>
      <c r="I38" s="25" cm="1">
        <f t="array" ref="I38">WasteSolid_Equations.VEERG_10_1_1_1__2_MassOfWasteFromVolume(G38,H38)</f>
        <v>0</v>
      </c>
    </row>
    <row r="39" spans="1:9" ht="20.100000000000001" customHeight="1" x14ac:dyDescent="0.25">
      <c r="A39" s="5" t="str">
        <f>HYPERLINK("#'6.3.1.1-2 Leach runoff pasture'!A1", "6.3.1.1-2 Leach &amp; runoff (pasture)")</f>
        <v>6.3.1.1-2 Leach &amp; runoff (pasture)</v>
      </c>
      <c r="D39" s="102" t="str">
        <v>Incineration</v>
      </c>
      <c r="E39" s="103" t="str">
        <v>Rubber and leather</v>
      </c>
      <c r="F39" s="167"/>
      <c r="G39" s="2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5" cm="1">
        <f t="array" ref="H39">Common_InputFunctions.Utility_LookupValueInTableNumber(E39,Table_SourceData_WasteSolid_VolumeToMassConversion[Waste type w],Table_SourceData_WasteSolid_VolumeToMassConversion[VTMw])</f>
        <v>0.14000000000000001</v>
      </c>
      <c r="I39" s="25" cm="1">
        <f t="array" ref="I39">WasteSolid_Equations.VEERG_10_1_1_1__2_MassOfWasteFromVolume(G39,H39)</f>
        <v>0</v>
      </c>
    </row>
    <row r="40" spans="1:9" ht="20.100000000000001" customHeight="1" x14ac:dyDescent="0.25">
      <c r="A40" s="5" t="str">
        <f>HYPERLINK("#'8.1.1.1-2 Transport fuel'!A1", "8.1.1.1-2 Transport fuel")</f>
        <v>8.1.1.1-2 Transport fuel</v>
      </c>
      <c r="D40" s="102" t="str">
        <v>Incineration</v>
      </c>
      <c r="E40" s="102" t="str">
        <v>Inert waste (including concrete, metal, plastic or glass)</v>
      </c>
      <c r="F40" s="102"/>
      <c r="G40" s="2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5" cm="1">
        <f t="array" ref="H40">Common_InputFunctions.Utility_LookupValueInTableNumber(E40,Table_SourceData_WasteSolid_VolumeToMassConversion[Waste type w],Table_SourceData_WasteSolid_VolumeToMassConversion[VTMw])</f>
        <v>0.42</v>
      </c>
      <c r="I40" s="25" cm="1">
        <f t="array" ref="I40">WasteSolid_Equations.VEERG_10_1_1_1__2_MassOfWasteFromVolume(G40,H40)</f>
        <v>0</v>
      </c>
    </row>
    <row r="41" spans="1:9" ht="20.100000000000001" customHeight="1" x14ac:dyDescent="0.25">
      <c r="A41" s="5" t="str">
        <f>HYPERLINK("#'8.2.1.1-2 Stationary fuel'!A1", "8.2.1.1-2 Stationary fuel")</f>
        <v>8.2.1.1-2 Stationary fuel</v>
      </c>
      <c r="D41" s="102" t="str">
        <v>Incineration</v>
      </c>
      <c r="E41" s="103" t="str">
        <v>Municipal solid waste</v>
      </c>
      <c r="F41" s="105"/>
      <c r="G41" s="2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5" cm="1">
        <f t="array" ref="H41">Common_InputFunctions.Utility_LookupValueInTableNumber(E41,Table_SourceData_WasteSolid_VolumeToMassConversion[Waste type w],Table_SourceData_WasteSolid_VolumeToMassConversion[VTMw])</f>
        <v>0.36</v>
      </c>
      <c r="I41" s="25" cm="1">
        <f t="array" ref="I41">WasteSolid_Equations.VEERG_10_1_1_1__2_MassOfWasteFromVolume(G41,H41)</f>
        <v>0</v>
      </c>
    </row>
    <row r="42" spans="1:9" ht="20.100000000000001" customHeight="1" x14ac:dyDescent="0.25">
      <c r="A42" s="5" t="str">
        <f>HYPERLINK("#'14.1.1-2 Purchased electricity'!A1", "14.1.1-2 Purchased electricity")</f>
        <v>14.1.1-2 Purchased electricity</v>
      </c>
      <c r="D42" s="102" t="str">
        <v>Incineration</v>
      </c>
      <c r="E42" s="103" t="str">
        <v>Commercial and industrial waste</v>
      </c>
      <c r="F42" s="105"/>
      <c r="G42" s="2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5" cm="1">
        <f t="array" ref="H42">Common_InputFunctions.Utility_LookupValueInTableNumber(E42,Table_SourceData_WasteSolid_VolumeToMassConversion[Waste type w],Table_SourceData_WasteSolid_VolumeToMassConversion[VTMw])</f>
        <v>0.33</v>
      </c>
      <c r="I42" s="25" cm="1">
        <f t="array" ref="I42">WasteSolid_Equations.VEERG_10_1_1_1__2_MassOfWasteFromVolume(G42,H42)</f>
        <v>0</v>
      </c>
    </row>
    <row r="43" spans="1:9" ht="20.100000000000001" customHeight="1" x14ac:dyDescent="0.25">
      <c r="A43" s="5" t="str">
        <f>HYPERLINK("#'15 Scope 3'!A1", "15 Scope 3")</f>
        <v>15 Scope 3</v>
      </c>
      <c r="D43" s="102" t="str">
        <v>Composting</v>
      </c>
      <c r="E43" s="103" t="str">
        <v>All organic waste</v>
      </c>
      <c r="F43" s="105"/>
      <c r="G43" s="25" t="s">
        <v>560</v>
      </c>
      <c r="H43" s="25" t="s">
        <v>560</v>
      </c>
      <c r="I43" s="25" t="s">
        <v>560</v>
      </c>
    </row>
    <row r="44" spans="1:9" ht="20.100000000000001" customHeight="1" x14ac:dyDescent="0.25">
      <c r="A44" s="5" t="str">
        <f>HYPERLINK("#'Calcs - Manure sent off-site'!A1", "Calcs - Manure sent off-site")</f>
        <v>Calcs - Manure sent off-site</v>
      </c>
      <c r="D44" s="102" t="str">
        <v>Composting</v>
      </c>
      <c r="E44" s="103" t="str">
        <v>Food waste (including animal carcasses, spoiled animal feed or crop)</v>
      </c>
      <c r="F44" s="105"/>
      <c r="G44" s="2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5" cm="1">
        <f t="array" ref="H44">Common_InputFunctions.Utility_LookupValueInTableNumber(E44,Table_SourceData_WasteSolid_VolumeToMassConversion[Waste type w],Table_SourceData_WasteSolid_VolumeToMassConversion[VTMw])</f>
        <v>0.5</v>
      </c>
      <c r="I44" s="25" cm="1">
        <f t="array" ref="I44">WasteSolid_Equations.VEERG_10_1_1_1__2_MassOfWasteFromVolume(G44,H44)</f>
        <v>25</v>
      </c>
    </row>
    <row r="45" spans="1:9" ht="20.100000000000001" customHeight="1" x14ac:dyDescent="0.25">
      <c r="A45" s="101" t="str">
        <f>HYPERLINK("#'10.1.1-2 Solid waste treatment'!A1", "10.1.1-2 Solid waste treatment")</f>
        <v>10.1.1-2 Solid waste treatment</v>
      </c>
      <c r="D45" s="102" t="str">
        <v>Composting</v>
      </c>
      <c r="E45" s="103" t="str">
        <v>Green waste (including crop residues or prunings)</v>
      </c>
      <c r="F45" s="105"/>
      <c r="G45" s="2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5" cm="1">
        <f t="array" ref="H45">Common_InputFunctions.Utility_LookupValueInTableNumber(E45,Table_SourceData_WasteSolid_VolumeToMassConversion[Waste type w],Table_SourceData_WasteSolid_VolumeToMassConversion[VTMw])</f>
        <v>0.24</v>
      </c>
      <c r="I45" s="25" cm="1">
        <f t="array" ref="I45">WasteSolid_Equations.VEERG_10_1_1_1__2_MassOfWasteFromVolume(G45,H45)</f>
        <v>0</v>
      </c>
    </row>
    <row r="46" spans="1:9" ht="20.100000000000001" customHeight="1" x14ac:dyDescent="0.25">
      <c r="D46" s="102" t="str">
        <v>Composting</v>
      </c>
      <c r="E46" s="103" t="str">
        <v>Wood</v>
      </c>
      <c r="F46" s="105"/>
      <c r="G46" s="2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5" cm="1">
        <f t="array" ref="H46">Common_InputFunctions.Utility_LookupValueInTableNumber(E46,Table_SourceData_WasteSolid_VolumeToMassConversion[Waste type w],Table_SourceData_WasteSolid_VolumeToMassConversion[VTMw])</f>
        <v>0.15</v>
      </c>
      <c r="I46" s="25" cm="1">
        <f t="array" ref="I46">WasteSolid_Equations.VEERG_10_1_1_1__2_MassOfWasteFromVolume(G46,H46)</f>
        <v>0</v>
      </c>
    </row>
    <row r="47" spans="1:9" ht="20.100000000000001" customHeight="1" x14ac:dyDescent="0.25">
      <c r="D47" s="102" t="str">
        <v>Composting</v>
      </c>
      <c r="E47" s="103" t="str">
        <v>Sludge</v>
      </c>
      <c r="F47" s="105"/>
      <c r="G47" s="2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5" cm="1">
        <f t="array" ref="H47">Common_InputFunctions.Utility_LookupValueInTableNumber(E47,Table_SourceData_WasteSolid_VolumeToMassConversion[Waste type w],Table_SourceData_WasteSolid_VolumeToMassConversion[VTMw])</f>
        <v>0.72</v>
      </c>
      <c r="I47" s="25" cm="1">
        <f t="array" ref="I47">WasteSolid_Equations.VEERG_10_1_1_1__2_MassOfWasteFromVolume(G47,H47)</f>
        <v>0</v>
      </c>
    </row>
    <row r="48" spans="1:9" ht="20.100000000000001" customHeight="1" x14ac:dyDescent="0.25">
      <c r="A48" s="97" t="s">
        <v>1</v>
      </c>
      <c r="D48" s="102" t="str">
        <v>Composting</v>
      </c>
      <c r="E48" s="103" t="str">
        <v>Paper and cardboard</v>
      </c>
      <c r="F48" s="105"/>
      <c r="G48" s="2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5" cm="1">
        <f t="array" ref="H48">Common_InputFunctions.Utility_LookupValueInTableNumber(E48,Table_SourceData_WasteSolid_VolumeToMassConversion[Waste type w],Table_SourceData_WasteSolid_VolumeToMassConversion[VTMw])</f>
        <v>0.09</v>
      </c>
      <c r="I48" s="25" cm="1">
        <f t="array" ref="I48">WasteSolid_Equations.VEERG_10_1_1_1__2_MassOfWasteFromVolume(G48,H48)</f>
        <v>4.5</v>
      </c>
    </row>
    <row r="49" spans="1:9" ht="20.100000000000001" customHeight="1" x14ac:dyDescent="0.25">
      <c r="A49" s="5" t="str">
        <f>HYPERLINK("#'Constants - Pasture Beef'!A1", "Constants - Pasture Beef")</f>
        <v>Constants - Pasture Beef</v>
      </c>
      <c r="D49" s="102" t="str">
        <v>Anaerobic digestion</v>
      </c>
      <c r="E49" s="103" t="str">
        <v>All organic waste</v>
      </c>
      <c r="F49" s="105"/>
      <c r="G49" s="25" t="s">
        <v>560</v>
      </c>
      <c r="H49" s="25" t="s">
        <v>560</v>
      </c>
      <c r="I49" s="25" t="s">
        <v>560</v>
      </c>
    </row>
    <row r="50" spans="1:9" ht="20.100000000000001" customHeight="1" x14ac:dyDescent="0.25">
      <c r="A50" s="5" t="str">
        <f>HYPERLINK("#'Constants - Ag Residue'!A1", "Constants - Ag residue")</f>
        <v>Constants - Ag residue</v>
      </c>
      <c r="D50" s="102" t="str">
        <v>Anaerobic digestion</v>
      </c>
      <c r="E50" s="103" t="str">
        <v>Food waste (including animal carcasses, spoiled animal feed or crop)</v>
      </c>
      <c r="F50" s="105"/>
      <c r="G50" s="2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5" cm="1">
        <f t="array" ref="H50">Common_InputFunctions.Utility_LookupValueInTableNumber(E50,Table_SourceData_WasteSolid_VolumeToMassConversion[Waste type w],Table_SourceData_WasteSolid_VolumeToMassConversion[VTMw])</f>
        <v>0.5</v>
      </c>
      <c r="I50" s="25" cm="1">
        <f t="array" ref="I50">WasteSolid_Equations.VEERG_10_1_1_1__2_MassOfWasteFromVolume(G50,H50)</f>
        <v>0</v>
      </c>
    </row>
    <row r="51" spans="1:9" ht="20.100000000000001" customHeight="1" x14ac:dyDescent="0.25">
      <c r="A51" s="5" t="str">
        <f>HYPERLINK("#'Constants - Common Livestock'!A1", "Constants - Common Livestock")</f>
        <v>Constants - Common Livestock</v>
      </c>
      <c r="D51" s="102" t="str">
        <v>Anaerobic digestion</v>
      </c>
      <c r="E51" s="103" t="str">
        <v>Green waste (including crop residues or prunings)</v>
      </c>
      <c r="F51" s="105"/>
      <c r="G51" s="2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5" cm="1">
        <f t="array" ref="H51">Common_InputFunctions.Utility_LookupValueInTableNumber(E51,Table_SourceData_WasteSolid_VolumeToMassConversion[Waste type w],Table_SourceData_WasteSolid_VolumeToMassConversion[VTMw])</f>
        <v>0.24</v>
      </c>
      <c r="I51" s="25" cm="1">
        <f t="array" ref="I51">WasteSolid_Equations.VEERG_10_1_1_1__2_MassOfWasteFromVolume(G51,H51)</f>
        <v>0</v>
      </c>
    </row>
    <row r="52" spans="1:9" ht="20.100000000000001" customHeight="1" x14ac:dyDescent="0.25">
      <c r="A52" s="5" t="str">
        <f>HYPERLINK("#'Constants - Electricity'!A1", "Constants - Electricity")</f>
        <v>Constants - Electricity</v>
      </c>
      <c r="D52" s="102" t="str">
        <v>Anaerobic digestion</v>
      </c>
      <c r="E52" s="103" t="str">
        <v>Wood</v>
      </c>
      <c r="F52" s="105"/>
      <c r="G52" s="2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5" cm="1">
        <f t="array" ref="H52">Common_InputFunctions.Utility_LookupValueInTableNumber(E52,Table_SourceData_WasteSolid_VolumeToMassConversion[Waste type w],Table_SourceData_WasteSolid_VolumeToMassConversion[VTMw])</f>
        <v>0.15</v>
      </c>
      <c r="I52" s="25" cm="1">
        <f t="array" ref="I52">WasteSolid_Equations.VEERG_10_1_1_1__2_MassOfWasteFromVolume(G52,H52)</f>
        <v>0</v>
      </c>
    </row>
    <row r="53" spans="1:9" ht="20.100000000000001" customHeight="1" x14ac:dyDescent="0.25">
      <c r="A53" s="5" t="str">
        <f>HYPERLINK("#'Constants - Fertiliser'!A1", "Constants - Fertiliser")</f>
        <v>Constants - Fertiliser</v>
      </c>
      <c r="D53" s="102" t="str">
        <v>Anaerobic digestion</v>
      </c>
      <c r="E53" s="103" t="str">
        <v>Sludge</v>
      </c>
      <c r="F53" s="105"/>
      <c r="G53" s="2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5" cm="1">
        <f t="array" ref="H53">Common_InputFunctions.Utility_LookupValueInTableNumber(E53,Table_SourceData_WasteSolid_VolumeToMassConversion[Waste type w],Table_SourceData_WasteSolid_VolumeToMassConversion[VTMw])</f>
        <v>0.72</v>
      </c>
      <c r="I53" s="25" cm="1">
        <f t="array" ref="I53">WasteSolid_Equations.VEERG_10_1_1_1__2_MassOfWasteFromVolume(G53,H53)</f>
        <v>0</v>
      </c>
    </row>
    <row r="54" spans="1:9" ht="20.100000000000001" customHeight="1" x14ac:dyDescent="0.25">
      <c r="A54" s="5" t="str">
        <f>HYPERLINK("#'Constants - Fuel'!A1", "Constants - Fuel")</f>
        <v>Constants - Fuel</v>
      </c>
      <c r="D54" s="102" t="str">
        <v>Anaerobic digestion</v>
      </c>
      <c r="E54" s="103" t="str">
        <v>Paper and cardboard</v>
      </c>
      <c r="F54" s="105"/>
      <c r="G54" s="2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5" cm="1">
        <f t="array" ref="H54">Common_InputFunctions.Utility_LookupValueInTableNumber(E54,Table_SourceData_WasteSolid_VolumeToMassConversion[Waste type w],Table_SourceData_WasteSolid_VolumeToMassConversion[VTMw])</f>
        <v>0.09</v>
      </c>
      <c r="I54" s="25" cm="1">
        <f t="array" ref="I54">WasteSolid_Equations.VEERG_10_1_1_1__2_MassOfWasteFromVolume(G54,H54)</f>
        <v>0</v>
      </c>
    </row>
    <row r="55" spans="1:9" ht="20.100000000000001" customHeight="1" x14ac:dyDescent="0.25">
      <c r="A55" s="5" t="str">
        <f>HYPERLINK("#'Constants - Scope 3'!A1", "Constants - Scope 3")</f>
        <v>Constants - Scope 3</v>
      </c>
    </row>
    <row r="56" spans="1:9" ht="20.100000000000001" customHeight="1" x14ac:dyDescent="0.25">
      <c r="A56" s="5" t="str">
        <f>HYPERLINK("#'Constants - Common'!A1", "Constants - Common")</f>
        <v>Constants - Common</v>
      </c>
      <c r="D56" s="109" t="s">
        <v>842</v>
      </c>
    </row>
    <row r="57" spans="1:9" ht="20.100000000000001" customHeight="1" x14ac:dyDescent="0.25">
      <c r="A57" s="5" t="str">
        <f>HYPERLINK("#'Acknowledgements'!A1", "Acknowledgements")</f>
        <v>Acknowledgements</v>
      </c>
      <c r="D57" s="110" t="s">
        <v>843</v>
      </c>
    </row>
    <row r="58" spans="1:9" ht="20.100000000000001" customHeight="1" x14ac:dyDescent="0.25">
      <c r="A58" s="5" t="str">
        <f>HYPERLINK("#'Constants - Solid Waste'!A1", "Constants - Solid Waste")</f>
        <v>Constants - Solid Waste</v>
      </c>
      <c r="D58" s="112" t="s">
        <v>837</v>
      </c>
      <c r="E58" s="112" t="s">
        <v>838</v>
      </c>
      <c r="F58" s="112"/>
      <c r="G58" s="112" t="s">
        <v>839</v>
      </c>
      <c r="H58" s="111" t="s">
        <v>840</v>
      </c>
      <c r="I58" s="111" t="s">
        <v>841</v>
      </c>
    </row>
    <row r="59" spans="1:9" ht="20.100000000000001" customHeight="1" x14ac:dyDescent="0.25">
      <c r="D59" s="102" t="str" cm="1">
        <f t="array" ref="D59:D92">Table_SourceData_WasteSolid_WasteTreatmentEFs[Treatment type t]</f>
        <v>Landfill</v>
      </c>
      <c r="E59" s="103" t="str" cm="1">
        <f t="array" ref="E59:E92">Table_SourceData_WasteSolid_WasteTreatmentEFs[Waste type w]</f>
        <v>Food waste (including animal carcasses, spoiled animal feed or crop)</v>
      </c>
      <c r="F59" s="167"/>
      <c r="G59" s="2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5" cm="1">
        <f t="array" ref="H59">Common_InputFunctions.Utility_LookupValueInTableNumber(E59,Table_SourceData_WasteSolid_VolumeToMassConversion[Waste type w],Table_SourceData_WasteSolid_VolumeToMassConversion[VTMw])</f>
        <v>0.5</v>
      </c>
      <c r="I59" s="25" cm="1">
        <f t="array" ref="I59">WasteSolid_Equations.VEERG_10_1_1_1__2_MassOfWasteFromVolume(G59,H59)</f>
        <v>25</v>
      </c>
    </row>
    <row r="60" spans="1:9" ht="20.100000000000001" customHeight="1" x14ac:dyDescent="0.25">
      <c r="D60" s="102" t="str">
        <v>Landfill</v>
      </c>
      <c r="E60" s="103" t="str">
        <v>Paper and cardboard</v>
      </c>
      <c r="F60" s="167"/>
      <c r="G60" s="2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5" cm="1">
        <f t="array" ref="H60">Common_InputFunctions.Utility_LookupValueInTableNumber(E60,Table_SourceData_WasteSolid_VolumeToMassConversion[Waste type w],Table_SourceData_WasteSolid_VolumeToMassConversion[VTMw])</f>
        <v>0.09</v>
      </c>
      <c r="I60" s="25" cm="1">
        <f t="array" ref="I60">WasteSolid_Equations.VEERG_10_1_1_1__2_MassOfWasteFromVolume(G60,H60)</f>
        <v>4.5</v>
      </c>
    </row>
    <row r="61" spans="1:9" ht="20.100000000000001" customHeight="1" x14ac:dyDescent="0.25">
      <c r="D61" s="102" t="str">
        <v>Landfill</v>
      </c>
      <c r="E61" s="103" t="str">
        <v>Green waste (including crop residues or prunings)</v>
      </c>
      <c r="F61" s="167"/>
      <c r="G61" s="2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5" cm="1">
        <f t="array" ref="H61">Common_InputFunctions.Utility_LookupValueInTableNumber(E61,Table_SourceData_WasteSolid_VolumeToMassConversion[Waste type w],Table_SourceData_WasteSolid_VolumeToMassConversion[VTMw])</f>
        <v>0.24</v>
      </c>
      <c r="I61" s="25" cm="1">
        <f t="array" ref="I61">WasteSolid_Equations.VEERG_10_1_1_1__2_MassOfWasteFromVolume(G61,H61)</f>
        <v>12</v>
      </c>
    </row>
    <row r="62" spans="1:9" ht="20.100000000000001" customHeight="1" x14ac:dyDescent="0.25">
      <c r="D62" s="102" t="str">
        <v>Landfill</v>
      </c>
      <c r="E62" s="103" t="str">
        <v>Wood</v>
      </c>
      <c r="F62" s="167"/>
      <c r="G62" s="2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5" cm="1">
        <f t="array" ref="H62">Common_InputFunctions.Utility_LookupValueInTableNumber(E62,Table_SourceData_WasteSolid_VolumeToMassConversion[Waste type w],Table_SourceData_WasteSolid_VolumeToMassConversion[VTMw])</f>
        <v>0.15</v>
      </c>
      <c r="I62" s="25" cm="1">
        <f t="array" ref="I62">WasteSolid_Equations.VEERG_10_1_1_1__2_MassOfWasteFromVolume(G62,H62)</f>
        <v>0</v>
      </c>
    </row>
    <row r="63" spans="1:9" ht="20.100000000000001" customHeight="1" x14ac:dyDescent="0.25">
      <c r="D63" s="102" t="str">
        <v>Landfill</v>
      </c>
      <c r="E63" s="103" t="str">
        <v>Textiles</v>
      </c>
      <c r="F63" s="167"/>
      <c r="G63" s="2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5" cm="1">
        <f t="array" ref="H63">Common_InputFunctions.Utility_LookupValueInTableNumber(E63,Table_SourceData_WasteSolid_VolumeToMassConversion[Waste type w],Table_SourceData_WasteSolid_VolumeToMassConversion[VTMw])</f>
        <v>0.14000000000000001</v>
      </c>
      <c r="I63" s="25" cm="1">
        <f t="array" ref="I63">WasteSolid_Equations.VEERG_10_1_1_1__2_MassOfWasteFromVolume(G63,H63)</f>
        <v>0</v>
      </c>
    </row>
    <row r="64" spans="1:9" ht="20.100000000000001" customHeight="1" x14ac:dyDescent="0.25">
      <c r="D64" s="102" t="str">
        <v>Landfill</v>
      </c>
      <c r="E64" s="103" t="str">
        <v>Sludge</v>
      </c>
      <c r="F64" s="167"/>
      <c r="G64" s="2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5" cm="1">
        <f t="array" ref="H64">Common_InputFunctions.Utility_LookupValueInTableNumber(E64,Table_SourceData_WasteSolid_VolumeToMassConversion[Waste type w],Table_SourceData_WasteSolid_VolumeToMassConversion[VTMw])</f>
        <v>0.72</v>
      </c>
      <c r="I64" s="25" cm="1">
        <f t="array" ref="I64">WasteSolid_Equations.VEERG_10_1_1_1__2_MassOfWasteFromVolume(G64,H64)</f>
        <v>0</v>
      </c>
    </row>
    <row r="65" spans="4:9" ht="20.100000000000001" customHeight="1" x14ac:dyDescent="0.25">
      <c r="D65" s="102" t="str">
        <v>Landfill</v>
      </c>
      <c r="E65" s="103" t="str">
        <v>Rubber and leather</v>
      </c>
      <c r="F65" s="167"/>
      <c r="G65" s="2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5" cm="1">
        <f t="array" ref="H65">Common_InputFunctions.Utility_LookupValueInTableNumber(E65,Table_SourceData_WasteSolid_VolumeToMassConversion[Waste type w],Table_SourceData_WasteSolid_VolumeToMassConversion[VTMw])</f>
        <v>0.14000000000000001</v>
      </c>
      <c r="I65" s="25" cm="1">
        <f t="array" ref="I65">WasteSolid_Equations.VEERG_10_1_1_1__2_MassOfWasteFromVolume(G65,H65)</f>
        <v>0</v>
      </c>
    </row>
    <row r="66" spans="4:9" ht="20.100000000000001" customHeight="1" x14ac:dyDescent="0.25">
      <c r="D66" s="102" t="str">
        <v>Landfill</v>
      </c>
      <c r="E66" s="103" t="str">
        <v>Inert waste (including concrete, metal, plastic or glass)</v>
      </c>
      <c r="F66" s="167"/>
      <c r="G66" s="2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5" cm="1">
        <f t="array" ref="H66">Common_InputFunctions.Utility_LookupValueInTableNumber(E66,Table_SourceData_WasteSolid_VolumeToMassConversion[Waste type w],Table_SourceData_WasteSolid_VolumeToMassConversion[VTMw])</f>
        <v>0.42</v>
      </c>
      <c r="I66" s="25" cm="1">
        <f t="array" ref="I66">WasteSolid_Equations.VEERG_10_1_1_1__2_MassOfWasteFromVolume(G66,H66)</f>
        <v>0</v>
      </c>
    </row>
    <row r="67" spans="4:9" ht="20.100000000000001" customHeight="1" x14ac:dyDescent="0.25">
      <c r="D67" s="102" t="str">
        <v>Landfill</v>
      </c>
      <c r="E67" s="103" t="str">
        <v>Municipal solid waste</v>
      </c>
      <c r="F67" s="167"/>
      <c r="G67" s="2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5" cm="1">
        <f t="array" ref="H67">Common_InputFunctions.Utility_LookupValueInTableNumber(E67,Table_SourceData_WasteSolid_VolumeToMassConversion[Waste type w],Table_SourceData_WasteSolid_VolumeToMassConversion[VTMw])</f>
        <v>0.36</v>
      </c>
      <c r="I67" s="25" cm="1">
        <f t="array" ref="I67">WasteSolid_Equations.VEERG_10_1_1_1__2_MassOfWasteFromVolume(G67,H67)</f>
        <v>0</v>
      </c>
    </row>
    <row r="68" spans="4:9" ht="20.100000000000001" customHeight="1" x14ac:dyDescent="0.25">
      <c r="D68" s="102" t="str">
        <v>Landfill</v>
      </c>
      <c r="E68" s="103" t="str">
        <v>Commercial and industrial waste</v>
      </c>
      <c r="F68" s="167"/>
      <c r="G68" s="2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5" cm="1">
        <f t="array" ref="H68">Common_InputFunctions.Utility_LookupValueInTableNumber(E68,Table_SourceData_WasteSolid_VolumeToMassConversion[Waste type w],Table_SourceData_WasteSolid_VolumeToMassConversion[VTMw])</f>
        <v>0.33</v>
      </c>
      <c r="I68" s="25" cm="1">
        <f t="array" ref="I68">WasteSolid_Equations.VEERG_10_1_1_1__2_MassOfWasteFromVolume(G68,H68)</f>
        <v>0</v>
      </c>
    </row>
    <row r="69" spans="4:9" ht="20.100000000000001" customHeight="1" x14ac:dyDescent="0.25">
      <c r="D69" s="102" t="str">
        <v>Landfill</v>
      </c>
      <c r="E69" s="103" t="str">
        <v>Construction and demolition waste</v>
      </c>
      <c r="F69" s="167"/>
      <c r="G69" s="2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5" cm="1">
        <f t="array" ref="H69">Common_InputFunctions.Utility_LookupValueInTableNumber(E69,Table_SourceData_WasteSolid_VolumeToMassConversion[Waste type w],Table_SourceData_WasteSolid_VolumeToMassConversion[VTMw])</f>
        <v>0.39</v>
      </c>
      <c r="I69" s="25" cm="1">
        <f t="array" ref="I69">WasteSolid_Equations.VEERG_10_1_1_1__2_MassOfWasteFromVolume(G69,H69)</f>
        <v>0</v>
      </c>
    </row>
    <row r="70" spans="4:9" ht="20.100000000000001" customHeight="1" x14ac:dyDescent="0.25">
      <c r="D70" s="102" t="str">
        <v>Incineration</v>
      </c>
      <c r="E70" s="103" t="str">
        <v>Food waste, green waste, wood, sludge</v>
      </c>
      <c r="F70" s="167"/>
      <c r="G70" s="25" t="s">
        <v>560</v>
      </c>
      <c r="H70" s="25" t="s">
        <v>560</v>
      </c>
      <c r="I70" s="25" t="s">
        <v>560</v>
      </c>
    </row>
    <row r="71" spans="4:9" ht="20.100000000000001" customHeight="1" x14ac:dyDescent="0.25">
      <c r="D71" s="102" t="str">
        <v>Incineration</v>
      </c>
      <c r="E71" s="103" t="str">
        <v>Food waste (including animal carcasses, spoiled animal feed or crop)</v>
      </c>
      <c r="F71" s="167"/>
      <c r="G71" s="2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5" cm="1">
        <f t="array" ref="H71">Common_InputFunctions.Utility_LookupValueInTableNumber(E71,Table_SourceData_WasteSolid_VolumeToMassConversion[Waste type w],Table_SourceData_WasteSolid_VolumeToMassConversion[VTMw])</f>
        <v>0.5</v>
      </c>
      <c r="I71" s="25" cm="1">
        <f t="array" ref="I71">WasteSolid_Equations.VEERG_10_1_1_1__2_MassOfWasteFromVolume(G71,H71)</f>
        <v>0</v>
      </c>
    </row>
    <row r="72" spans="4:9" ht="20.100000000000001" customHeight="1" x14ac:dyDescent="0.25">
      <c r="D72" s="102" t="str">
        <v>Incineration</v>
      </c>
      <c r="E72" s="103" t="str">
        <v>Green waste (including crop residues or prunings)</v>
      </c>
      <c r="F72" s="167"/>
      <c r="G72" s="2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5" cm="1">
        <f t="array" ref="H72">Common_InputFunctions.Utility_LookupValueInTableNumber(E72,Table_SourceData_WasteSolid_VolumeToMassConversion[Waste type w],Table_SourceData_WasteSolid_VolumeToMassConversion[VTMw])</f>
        <v>0.24</v>
      </c>
      <c r="I72" s="25" cm="1">
        <f t="array" ref="I72">WasteSolid_Equations.VEERG_10_1_1_1__2_MassOfWasteFromVolume(G72,H72)</f>
        <v>12</v>
      </c>
    </row>
    <row r="73" spans="4:9" ht="20.100000000000001" customHeight="1" x14ac:dyDescent="0.25">
      <c r="D73" s="102" t="str">
        <v>Incineration</v>
      </c>
      <c r="E73" s="103" t="str">
        <v>Wood</v>
      </c>
      <c r="F73" s="167"/>
      <c r="G73" s="2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5" cm="1">
        <f t="array" ref="H73">Common_InputFunctions.Utility_LookupValueInTableNumber(E73,Table_SourceData_WasteSolid_VolumeToMassConversion[Waste type w],Table_SourceData_WasteSolid_VolumeToMassConversion[VTMw])</f>
        <v>0.15</v>
      </c>
      <c r="I73" s="25" cm="1">
        <f t="array" ref="I73">WasteSolid_Equations.VEERG_10_1_1_1__2_MassOfWasteFromVolume(G73,H73)</f>
        <v>0</v>
      </c>
    </row>
    <row r="74" spans="4:9" ht="20.100000000000001" customHeight="1" x14ac:dyDescent="0.25">
      <c r="D74" s="102" t="str">
        <v>Incineration</v>
      </c>
      <c r="E74" s="103" t="str">
        <v>Sludge</v>
      </c>
      <c r="F74" s="167"/>
      <c r="G74" s="2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5" cm="1">
        <f t="array" ref="H74">Common_InputFunctions.Utility_LookupValueInTableNumber(E74,Table_SourceData_WasteSolid_VolumeToMassConversion[Waste type w],Table_SourceData_WasteSolid_VolumeToMassConversion[VTMw])</f>
        <v>0.72</v>
      </c>
      <c r="I74" s="25" cm="1">
        <f t="array" ref="I74">WasteSolid_Equations.VEERG_10_1_1_1__2_MassOfWasteFromVolume(G74,H74)</f>
        <v>0</v>
      </c>
    </row>
    <row r="75" spans="4:9" ht="20.100000000000001" customHeight="1" x14ac:dyDescent="0.25">
      <c r="D75" s="102" t="str">
        <v>Incineration</v>
      </c>
      <c r="E75" s="103" t="str">
        <v>Paper and cardboard</v>
      </c>
      <c r="F75" s="167"/>
      <c r="G75" s="2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5" cm="1">
        <f t="array" ref="H75">Common_InputFunctions.Utility_LookupValueInTableNumber(E75,Table_SourceData_WasteSolid_VolumeToMassConversion[Waste type w],Table_SourceData_WasteSolid_VolumeToMassConversion[VTMw])</f>
        <v>0.09</v>
      </c>
      <c r="I75" s="25" cm="1">
        <f t="array" ref="I75">WasteSolid_Equations.VEERG_10_1_1_1__2_MassOfWasteFromVolume(G75,H75)</f>
        <v>0</v>
      </c>
    </row>
    <row r="76" spans="4:9" ht="20.100000000000001" customHeight="1" x14ac:dyDescent="0.25">
      <c r="D76" s="102" t="str">
        <v>Incineration</v>
      </c>
      <c r="E76" s="103" t="str">
        <v>Textiles</v>
      </c>
      <c r="F76" s="167"/>
      <c r="G76" s="2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5" cm="1">
        <f t="array" ref="H76">Common_InputFunctions.Utility_LookupValueInTableNumber(E76,Table_SourceData_WasteSolid_VolumeToMassConversion[Waste type w],Table_SourceData_WasteSolid_VolumeToMassConversion[VTMw])</f>
        <v>0.14000000000000001</v>
      </c>
      <c r="I76" s="25" cm="1">
        <f t="array" ref="I76">WasteSolid_Equations.VEERG_10_1_1_1__2_MassOfWasteFromVolume(G76,H76)</f>
        <v>0</v>
      </c>
    </row>
    <row r="77" spans="4:9" ht="20.100000000000001" customHeight="1" x14ac:dyDescent="0.25">
      <c r="D77" s="102" t="str">
        <v>Incineration</v>
      </c>
      <c r="E77" s="103" t="str">
        <v>Rubber and leather</v>
      </c>
      <c r="F77" s="167"/>
      <c r="G77" s="2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5" cm="1">
        <f t="array" ref="H77">Common_InputFunctions.Utility_LookupValueInTableNumber(E77,Table_SourceData_WasteSolid_VolumeToMassConversion[Waste type w],Table_SourceData_WasteSolid_VolumeToMassConversion[VTMw])</f>
        <v>0.14000000000000001</v>
      </c>
      <c r="I77" s="25" cm="1">
        <f t="array" ref="I77">WasteSolid_Equations.VEERG_10_1_1_1__2_MassOfWasteFromVolume(G77,H77)</f>
        <v>0</v>
      </c>
    </row>
    <row r="78" spans="4:9" ht="20.100000000000001" customHeight="1" x14ac:dyDescent="0.25">
      <c r="D78" s="102" t="str">
        <v>Incineration</v>
      </c>
      <c r="E78" s="103" t="str">
        <v>Inert waste (including concrete, metal, plastic or glass)</v>
      </c>
      <c r="F78" s="167"/>
      <c r="G78" s="2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5" cm="1">
        <f t="array" ref="H78">Common_InputFunctions.Utility_LookupValueInTableNumber(E78,Table_SourceData_WasteSolid_VolumeToMassConversion[Waste type w],Table_SourceData_WasteSolid_VolumeToMassConversion[VTMw])</f>
        <v>0.42</v>
      </c>
      <c r="I78" s="25" cm="1">
        <f t="array" ref="I78">WasteSolid_Equations.VEERG_10_1_1_1__2_MassOfWasteFromVolume(G78,H78)</f>
        <v>0</v>
      </c>
    </row>
    <row r="79" spans="4:9" ht="20.100000000000001" customHeight="1" x14ac:dyDescent="0.25">
      <c r="D79" s="102" t="str">
        <v>Incineration</v>
      </c>
      <c r="E79" s="103" t="str">
        <v>Municipal solid waste</v>
      </c>
      <c r="F79" s="105"/>
      <c r="G79" s="2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5" cm="1">
        <f t="array" ref="H79">Common_InputFunctions.Utility_LookupValueInTableNumber(E79,Table_SourceData_WasteSolid_VolumeToMassConversion[Waste type w],Table_SourceData_WasteSolid_VolumeToMassConversion[VTMw])</f>
        <v>0.36</v>
      </c>
      <c r="I79" s="25" cm="1">
        <f t="array" ref="I79">WasteSolid_Equations.VEERG_10_1_1_1__2_MassOfWasteFromVolume(G79,H79)</f>
        <v>0</v>
      </c>
    </row>
    <row r="80" spans="4:9" ht="20.100000000000001" customHeight="1" x14ac:dyDescent="0.25">
      <c r="D80" s="102" t="str">
        <v>Incineration</v>
      </c>
      <c r="E80" s="103" t="str">
        <v>Commercial and industrial waste</v>
      </c>
      <c r="F80" s="105"/>
      <c r="G80" s="2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5" cm="1">
        <f t="array" ref="H80">Common_InputFunctions.Utility_LookupValueInTableNumber(E80,Table_SourceData_WasteSolid_VolumeToMassConversion[Waste type w],Table_SourceData_WasteSolid_VolumeToMassConversion[VTMw])</f>
        <v>0.33</v>
      </c>
      <c r="I80" s="25" cm="1">
        <f t="array" ref="I80">WasteSolid_Equations.VEERG_10_1_1_1__2_MassOfWasteFromVolume(G80,H80)</f>
        <v>0</v>
      </c>
    </row>
    <row r="81" spans="3:12" ht="20.100000000000001" customHeight="1" x14ac:dyDescent="0.25">
      <c r="D81" s="102" t="str">
        <v>Composting</v>
      </c>
      <c r="E81" s="103" t="str">
        <v>All organic waste</v>
      </c>
      <c r="F81" s="105"/>
      <c r="G81" s="25" t="s">
        <v>560</v>
      </c>
      <c r="H81" s="25" t="s">
        <v>560</v>
      </c>
      <c r="I81" s="25" t="s">
        <v>560</v>
      </c>
    </row>
    <row r="82" spans="3:12" ht="20.100000000000001" customHeight="1" x14ac:dyDescent="0.25">
      <c r="D82" s="102" t="str">
        <v>Composting</v>
      </c>
      <c r="E82" s="103" t="str">
        <v>Food waste (including animal carcasses, spoiled animal feed or crop)</v>
      </c>
      <c r="F82" s="105"/>
      <c r="G82" s="2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5" cm="1">
        <f t="array" ref="H82">Common_InputFunctions.Utility_LookupValueInTableNumber(E82,Table_SourceData_WasteSolid_VolumeToMassConversion[Waste type w],Table_SourceData_WasteSolid_VolumeToMassConversion[VTMw])</f>
        <v>0.5</v>
      </c>
      <c r="I82" s="25" cm="1">
        <f t="array" ref="I82">WasteSolid_Equations.VEERG_10_1_1_1__2_MassOfWasteFromVolume(G82,H82)</f>
        <v>0</v>
      </c>
    </row>
    <row r="83" spans="3:12" ht="20.100000000000001" customHeight="1" x14ac:dyDescent="0.25">
      <c r="D83" s="102" t="str">
        <v>Composting</v>
      </c>
      <c r="E83" s="103" t="str">
        <v>Green waste (including crop residues or prunings)</v>
      </c>
      <c r="F83" s="105"/>
      <c r="G83" s="2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5" cm="1">
        <f t="array" ref="H83">Common_InputFunctions.Utility_LookupValueInTableNumber(E83,Table_SourceData_WasteSolid_VolumeToMassConversion[Waste type w],Table_SourceData_WasteSolid_VolumeToMassConversion[VTMw])</f>
        <v>0.24</v>
      </c>
      <c r="I83" s="25" cm="1">
        <f t="array" ref="I83">WasteSolid_Equations.VEERG_10_1_1_1__2_MassOfWasteFromVolume(G83,H83)</f>
        <v>0</v>
      </c>
    </row>
    <row r="84" spans="3:12" ht="20.100000000000001" customHeight="1" x14ac:dyDescent="0.25">
      <c r="D84" s="102" t="str">
        <v>Composting</v>
      </c>
      <c r="E84" s="103" t="str">
        <v>Wood</v>
      </c>
      <c r="F84" s="105"/>
      <c r="G84" s="2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5" cm="1">
        <f t="array" ref="H84">Common_InputFunctions.Utility_LookupValueInTableNumber(E84,Table_SourceData_WasteSolid_VolumeToMassConversion[Waste type w],Table_SourceData_WasteSolid_VolumeToMassConversion[VTMw])</f>
        <v>0.15</v>
      </c>
      <c r="I84" s="25" cm="1">
        <f t="array" ref="I84">WasteSolid_Equations.VEERG_10_1_1_1__2_MassOfWasteFromVolume(G84,H84)</f>
        <v>0</v>
      </c>
    </row>
    <row r="85" spans="3:12" ht="20.100000000000001" customHeight="1" x14ac:dyDescent="0.25">
      <c r="D85" s="102" t="str">
        <v>Composting</v>
      </c>
      <c r="E85" s="103" t="str">
        <v>Sludge</v>
      </c>
      <c r="F85" s="105"/>
      <c r="G85" s="2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5" cm="1">
        <f t="array" ref="H85">Common_InputFunctions.Utility_LookupValueInTableNumber(E85,Table_SourceData_WasteSolid_VolumeToMassConversion[Waste type w],Table_SourceData_WasteSolid_VolumeToMassConversion[VTMw])</f>
        <v>0.72</v>
      </c>
      <c r="I85" s="25" cm="1">
        <f t="array" ref="I85">WasteSolid_Equations.VEERG_10_1_1_1__2_MassOfWasteFromVolume(G85,H85)</f>
        <v>0</v>
      </c>
    </row>
    <row r="86" spans="3:12" ht="20.100000000000001" customHeight="1" x14ac:dyDescent="0.25">
      <c r="D86" s="102" t="str">
        <v>Composting</v>
      </c>
      <c r="E86" s="103" t="str">
        <v>Paper and cardboard</v>
      </c>
      <c r="F86" s="105"/>
      <c r="G86" s="2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5" cm="1">
        <f t="array" ref="H86">Common_InputFunctions.Utility_LookupValueInTableNumber(E86,Table_SourceData_WasteSolid_VolumeToMassConversion[Waste type w],Table_SourceData_WasteSolid_VolumeToMassConversion[VTMw])</f>
        <v>0.09</v>
      </c>
      <c r="I86" s="25" cm="1">
        <f t="array" ref="I86">WasteSolid_Equations.VEERG_10_1_1_1__2_MassOfWasteFromVolume(G86,H86)</f>
        <v>0</v>
      </c>
    </row>
    <row r="87" spans="3:12" ht="20.100000000000001" customHeight="1" x14ac:dyDescent="0.25">
      <c r="D87" s="102" t="str">
        <v>Anaerobic digestion</v>
      </c>
      <c r="E87" s="103" t="str">
        <v>All organic waste</v>
      </c>
      <c r="F87" s="105"/>
      <c r="G87" s="25" t="s">
        <v>560</v>
      </c>
      <c r="H87" s="25" t="s">
        <v>560</v>
      </c>
      <c r="I87" s="25" t="s">
        <v>560</v>
      </c>
    </row>
    <row r="88" spans="3:12" ht="20.100000000000001" customHeight="1" x14ac:dyDescent="0.25">
      <c r="D88" s="102" t="str">
        <v>Anaerobic digestion</v>
      </c>
      <c r="E88" s="103" t="str">
        <v>Food waste (including animal carcasses, spoiled animal feed or crop)</v>
      </c>
      <c r="F88" s="105"/>
      <c r="G88" s="2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5" cm="1">
        <f t="array" ref="H88">Common_InputFunctions.Utility_LookupValueInTableNumber(E88,Table_SourceData_WasteSolid_VolumeToMassConversion[Waste type w],Table_SourceData_WasteSolid_VolumeToMassConversion[VTMw])</f>
        <v>0.5</v>
      </c>
      <c r="I88" s="25" cm="1">
        <f t="array" ref="I88">WasteSolid_Equations.VEERG_10_1_1_1__2_MassOfWasteFromVolume(G88,H88)</f>
        <v>0</v>
      </c>
    </row>
    <row r="89" spans="3:12" ht="20.100000000000001" customHeight="1" x14ac:dyDescent="0.25">
      <c r="D89" s="102" t="str">
        <v>Anaerobic digestion</v>
      </c>
      <c r="E89" s="103" t="str">
        <v>Green waste (including crop residues or prunings)</v>
      </c>
      <c r="F89" s="105"/>
      <c r="G89" s="2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5" cm="1">
        <f t="array" ref="H89">Common_InputFunctions.Utility_LookupValueInTableNumber(E89,Table_SourceData_WasteSolid_VolumeToMassConversion[Waste type w],Table_SourceData_WasteSolid_VolumeToMassConversion[VTMw])</f>
        <v>0.24</v>
      </c>
      <c r="I89" s="25" cm="1">
        <f t="array" ref="I89">WasteSolid_Equations.VEERG_10_1_1_1__2_MassOfWasteFromVolume(G89,H89)</f>
        <v>0</v>
      </c>
    </row>
    <row r="90" spans="3:12" ht="20.100000000000001" customHeight="1" x14ac:dyDescent="0.25">
      <c r="D90" s="102" t="str">
        <v>Anaerobic digestion</v>
      </c>
      <c r="E90" s="103" t="str">
        <v>Wood</v>
      </c>
      <c r="F90" s="105"/>
      <c r="G90" s="2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5" cm="1">
        <f t="array" ref="H90">Common_InputFunctions.Utility_LookupValueInTableNumber(E90,Table_SourceData_WasteSolid_VolumeToMassConversion[Waste type w],Table_SourceData_WasteSolid_VolumeToMassConversion[VTMw])</f>
        <v>0.15</v>
      </c>
      <c r="I90" s="25" cm="1">
        <f t="array" ref="I90">WasteSolid_Equations.VEERG_10_1_1_1__2_MassOfWasteFromVolume(G90,H90)</f>
        <v>0</v>
      </c>
    </row>
    <row r="91" spans="3:12" ht="20.100000000000001" customHeight="1" x14ac:dyDescent="0.25">
      <c r="D91" s="102" t="str">
        <v>Anaerobic digestion</v>
      </c>
      <c r="E91" s="103" t="str">
        <v>Sludge</v>
      </c>
      <c r="F91" s="105"/>
      <c r="G91" s="2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5" cm="1">
        <f t="array" ref="H91">Common_InputFunctions.Utility_LookupValueInTableNumber(E91,Table_SourceData_WasteSolid_VolumeToMassConversion[Waste type w],Table_SourceData_WasteSolid_VolumeToMassConversion[VTMw])</f>
        <v>0.72</v>
      </c>
      <c r="I91" s="25" cm="1">
        <f t="array" ref="I91">WasteSolid_Equations.VEERG_10_1_1_1__2_MassOfWasteFromVolume(G91,H91)</f>
        <v>0</v>
      </c>
    </row>
    <row r="92" spans="3:12" ht="20.100000000000001" customHeight="1" x14ac:dyDescent="0.25">
      <c r="D92" s="102" t="str">
        <v>Anaerobic digestion</v>
      </c>
      <c r="E92" s="103" t="str">
        <v>Paper and cardboard</v>
      </c>
      <c r="F92" s="105"/>
      <c r="G92" s="2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5" cm="1">
        <f t="array" ref="H92">Common_InputFunctions.Utility_LookupValueInTableNumber(E92,Table_SourceData_WasteSolid_VolumeToMassConversion[Waste type w],Table_SourceData_WasteSolid_VolumeToMassConversion[VTMw])</f>
        <v>0.09</v>
      </c>
      <c r="I92" s="2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14"/>
      <c r="D95" s="114"/>
      <c r="E95" s="114"/>
      <c r="F95" s="114"/>
      <c r="G95" s="114"/>
      <c r="H95" s="114"/>
      <c r="I95" s="114"/>
      <c r="J95" s="114"/>
      <c r="K95" s="114"/>
      <c r="L95" s="114"/>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27" t="str" cm="1">
        <f t="array" ref="D97">WasteSolid_Equations.VEERG_10_1_1_1__1_EmissionsFromWasteManagement_Source()</f>
        <v>VEERG 2026: 10.1.1.1, Equation (1)</v>
      </c>
    </row>
    <row r="98" spans="4:9" ht="20.100000000000001" customHeight="1" x14ac:dyDescent="0.25">
      <c r="D98" s="3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00" t="s">
        <v>259</v>
      </c>
      <c r="E99" s="100"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88" t="s">
        <v>261</v>
      </c>
      <c r="E102" s="1" t="str" cm="1">
        <f t="array" ref="E102">WasteSolid_Equations.VEERG_10_1_1_1__1_EmissionsFromWasteManagement_Variable()</f>
        <v>E_g</v>
      </c>
    </row>
    <row r="103" spans="4:9" ht="20.100000000000001" customHeight="1" x14ac:dyDescent="0.25">
      <c r="D103" s="88" t="s">
        <v>131</v>
      </c>
      <c r="E103" s="15" t="str" cm="1">
        <f t="array" ref="E103">WasteSolid_Equations.VEERG_10_1_1_1__1_EmissionsFromWasteManagement_Unit()</f>
        <v>t CO2e</v>
      </c>
    </row>
    <row r="104" spans="4:9" ht="20.100000000000001" customHeight="1" x14ac:dyDescent="0.25"/>
    <row r="105" spans="4:9" ht="20.100000000000001" customHeight="1" x14ac:dyDescent="0.25">
      <c r="D105" s="102" t="str" cm="1">
        <f t="array" ref="D105:E111">_xlfn.CHOOSECOLS(WasteSolid_Equations.VEERG_10_1_1_1__1_EmissionsFromWasteManagement_Arguments(),1,2)</f>
        <v>Q_wt</v>
      </c>
      <c r="E105" s="103" t="str">
        <v>quantity of solid waste of type w being sent to treatment facility t, on a wet weight basis</v>
      </c>
      <c r="F105" s="104"/>
      <c r="G105" s="105"/>
      <c r="H105" s="102" t="str" cm="1">
        <f t="array" ref="H105:I111">_xlfn.CHOOSECOLS(WasteSolid_Equations.VEERG_10_1_1_1__1_EmissionsFromWasteManagement_Arguments(),3,4)</f>
        <v>t</v>
      </c>
      <c r="I105" s="107" t="str">
        <v>Sum of Q_volwt and Q_masswt</v>
      </c>
    </row>
    <row r="106" spans="4:9" ht="20.100000000000001" customHeight="1" x14ac:dyDescent="0.25">
      <c r="D106" s="102" t="str">
        <v>EF_wtg</v>
      </c>
      <c r="E106" s="103" t="str">
        <v>emission factor for greenhouse gas g for the management of waste at treatment facility t</v>
      </c>
      <c r="F106" s="104"/>
      <c r="G106" s="105"/>
      <c r="H106" s="102" t="str">
        <v>t CO2e/t</v>
      </c>
      <c r="I106" s="107" t="str">
        <v>Constant</v>
      </c>
    </row>
    <row r="107" spans="4:9" ht="20.100000000000001" customHeight="1" x14ac:dyDescent="0.25">
      <c r="D107" s="102" t="str">
        <v>w</v>
      </c>
      <c r="E107" s="103" t="str">
        <v>waste type</v>
      </c>
      <c r="F107" s="104"/>
      <c r="G107" s="105"/>
      <c r="H107" s="102" t="str">
        <v/>
      </c>
      <c r="I107" s="106" t="str">
        <v>Input</v>
      </c>
    </row>
    <row r="108" spans="4:9" ht="20.100000000000001" customHeight="1" x14ac:dyDescent="0.25">
      <c r="D108" s="102" t="str">
        <v>t</v>
      </c>
      <c r="E108" s="103" t="str">
        <v>treatment facility</v>
      </c>
      <c r="F108" s="104"/>
      <c r="G108" s="105"/>
      <c r="H108" s="102" t="str">
        <v/>
      </c>
      <c r="I108" s="106" t="str">
        <v>Input</v>
      </c>
    </row>
    <row r="109" spans="4:9" ht="20.100000000000001" customHeight="1" x14ac:dyDescent="0.25">
      <c r="D109" s="102" t="str">
        <v>g</v>
      </c>
      <c r="E109" s="103" t="str">
        <v>greenhouse gas</v>
      </c>
      <c r="F109" s="104"/>
      <c r="G109" s="105"/>
      <c r="H109" s="102" t="str">
        <v/>
      </c>
      <c r="I109" s="106" t="str">
        <v>Input</v>
      </c>
    </row>
    <row r="110" spans="4:9" ht="20.100000000000001" customHeight="1" x14ac:dyDescent="0.25">
      <c r="D110" s="102" t="str">
        <v>Q_volwt</v>
      </c>
      <c r="E110" s="103" t="str">
        <v>quantity of sold waste input as volume and converted to tonnes</v>
      </c>
      <c r="F110" s="104"/>
      <c r="G110" s="105"/>
      <c r="H110" s="102" t="str">
        <v>tonnes</v>
      </c>
      <c r="I110" s="107" t="str">
        <v>Calculated from 10.1.1.1 (2)</v>
      </c>
    </row>
    <row r="111" spans="4:9" ht="20.100000000000001" customHeight="1" x14ac:dyDescent="0.25">
      <c r="D111" s="102" t="str">
        <v>Q_masswt</v>
      </c>
      <c r="E111" s="103" t="str">
        <v>quantity of solid waste input as mass</v>
      </c>
      <c r="F111" s="104"/>
      <c r="G111" s="105"/>
      <c r="H111" s="102" t="str">
        <v>tonnes</v>
      </c>
      <c r="I111" s="106" t="str">
        <v>Input</v>
      </c>
    </row>
    <row r="112" spans="4:9" ht="20.100000000000001" customHeight="1" x14ac:dyDescent="0.25"/>
    <row r="113" spans="4:11" ht="20.100000000000001" customHeight="1" x14ac:dyDescent="0.25">
      <c r="D113" s="109" t="s">
        <v>844</v>
      </c>
    </row>
    <row r="114" spans="4:11" ht="20.100000000000001" customHeight="1" x14ac:dyDescent="0.25">
      <c r="D114" s="110" t="s">
        <v>845</v>
      </c>
    </row>
    <row r="115" spans="4:11" ht="20.100000000000001" customHeight="1" x14ac:dyDescent="0.25">
      <c r="D115" s="112" t="s">
        <v>837</v>
      </c>
      <c r="E115" s="112" t="s">
        <v>838</v>
      </c>
      <c r="F115" s="112"/>
      <c r="G115" s="112" t="s">
        <v>846</v>
      </c>
      <c r="H115" s="111" t="s">
        <v>847</v>
      </c>
      <c r="I115" s="111" t="s">
        <v>841</v>
      </c>
      <c r="J115" s="111" t="s">
        <v>848</v>
      </c>
      <c r="K115" s="111" t="s">
        <v>849</v>
      </c>
    </row>
    <row r="116" spans="4:11" ht="20.100000000000001" customHeight="1" x14ac:dyDescent="0.25">
      <c r="D116" s="102" t="str" cm="1">
        <f t="array" ref="D116:D149">Table_SourceData_WasteSolid_WasteTreatmentEFs[Treatment type t]</f>
        <v>Landfill</v>
      </c>
      <c r="E116" s="103" t="str" cm="1">
        <f t="array" ref="E116:E149">Table_SourceData_WasteSolid_WasteTreatmentEFs[Waste type w]</f>
        <v>Food waste (including animal carcasses, spoiled animal feed or crop)</v>
      </c>
      <c r="F116" s="167"/>
      <c r="G116" s="2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5">
        <f t="shared" ref="H116:H149" si="0">I21</f>
        <v>25</v>
      </c>
      <c r="I116" s="25">
        <f>G116+H116</f>
        <v>75</v>
      </c>
      <c r="J116" s="25" cm="1">
        <f t="array" ref="J116">Common_InputFunctions.Utility_LookupValueInTableTwoColumns(D116,E116,Table_SourceData_WasteSolid_WasteTreatmentEFs[Treatment type t],Table_SourceData_WasteSolid_WasteTreatmentEFs[Waste type w],Table_SourceData_WasteSolid_WasteTreatmentEFs[EFwt])</f>
        <v>2.1</v>
      </c>
      <c r="K116" s="25" cm="1">
        <f t="array" ref="K116">WasteSolid_Equations.VEERG_10_1_1_1__1_EmissionsFromWasteManagement(I116, J116)</f>
        <v>157.5</v>
      </c>
    </row>
    <row r="117" spans="4:11" ht="20.100000000000001" customHeight="1" x14ac:dyDescent="0.25">
      <c r="D117" s="102" t="str">
        <v>Landfill</v>
      </c>
      <c r="E117" s="103" t="str">
        <v>Paper and cardboard</v>
      </c>
      <c r="F117" s="167"/>
      <c r="G117" s="2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5">
        <f t="shared" si="0"/>
        <v>4.5</v>
      </c>
      <c r="I117" s="25">
        <f t="shared" ref="I117:I126" si="1">G117+H117</f>
        <v>54.5</v>
      </c>
      <c r="J117" s="25" cm="1">
        <f t="array" ref="J117">Common_InputFunctions.Utility_LookupValueInTableTwoColumns(D117,E117,Table_SourceData_WasteSolid_WasteTreatmentEFs[Treatment type t],Table_SourceData_WasteSolid_WasteTreatmentEFs[Waste type w],Table_SourceData_WasteSolid_WasteTreatmentEFs[EFwt])</f>
        <v>3.3</v>
      </c>
      <c r="K117" s="25" cm="1">
        <f t="array" ref="K117">WasteSolid_Equations.VEERG_10_1_1_1__1_EmissionsFromWasteManagement(I117, J117)</f>
        <v>179.85</v>
      </c>
    </row>
    <row r="118" spans="4:11" ht="20.100000000000001" customHeight="1" x14ac:dyDescent="0.25">
      <c r="D118" s="102" t="str">
        <v>Landfill</v>
      </c>
      <c r="E118" s="103" t="str">
        <v>Green waste (including crop residues or prunings)</v>
      </c>
      <c r="F118" s="167"/>
      <c r="G118" s="2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5">
        <f t="shared" si="0"/>
        <v>12</v>
      </c>
      <c r="I118" s="25">
        <f t="shared" si="1"/>
        <v>62</v>
      </c>
      <c r="J118" s="25" cm="1">
        <f t="array" ref="J118">Common_InputFunctions.Utility_LookupValueInTableTwoColumns(D118,E118,Table_SourceData_WasteSolid_WasteTreatmentEFs[Treatment type t],Table_SourceData_WasteSolid_WasteTreatmentEFs[Waste type w],Table_SourceData_WasteSolid_WasteTreatmentEFs[EFwt])</f>
        <v>1.6</v>
      </c>
      <c r="K118" s="25" cm="1">
        <f t="array" ref="K118">WasteSolid_Equations.VEERG_10_1_1_1__1_EmissionsFromWasteManagement(I118, J118)</f>
        <v>99.2</v>
      </c>
    </row>
    <row r="119" spans="4:11" ht="20.100000000000001" customHeight="1" x14ac:dyDescent="0.25">
      <c r="D119" s="102" t="str">
        <v>Landfill</v>
      </c>
      <c r="E119" s="103" t="str">
        <v>Wood</v>
      </c>
      <c r="F119" s="167"/>
      <c r="G119" s="2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5">
        <f t="shared" si="0"/>
        <v>0</v>
      </c>
      <c r="I119" s="25">
        <f t="shared" si="1"/>
        <v>0</v>
      </c>
      <c r="J119" s="25" cm="1">
        <f t="array" ref="J119">Common_InputFunctions.Utility_LookupValueInTableTwoColumns(D119,E119,Table_SourceData_WasteSolid_WasteTreatmentEFs[Treatment type t],Table_SourceData_WasteSolid_WasteTreatmentEFs[Waste type w],Table_SourceData_WasteSolid_WasteTreatmentEFs[EFwt])</f>
        <v>0.7</v>
      </c>
      <c r="K119" s="25" cm="1">
        <f t="array" ref="K119">WasteSolid_Equations.VEERG_10_1_1_1__1_EmissionsFromWasteManagement(I119, J119)</f>
        <v>0</v>
      </c>
    </row>
    <row r="120" spans="4:11" ht="20.100000000000001" customHeight="1" x14ac:dyDescent="0.25">
      <c r="D120" s="102" t="str">
        <v>Landfill</v>
      </c>
      <c r="E120" s="103" t="str">
        <v>Textiles</v>
      </c>
      <c r="F120" s="167"/>
      <c r="G120" s="2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5">
        <f t="shared" si="0"/>
        <v>0</v>
      </c>
      <c r="I120" s="25">
        <f t="shared" si="1"/>
        <v>0</v>
      </c>
      <c r="J120" s="25" cm="1">
        <f t="array" ref="J120">Common_InputFunctions.Utility_LookupValueInTableTwoColumns(D120,E120,Table_SourceData_WasteSolid_WasteTreatmentEFs[Treatment type t],Table_SourceData_WasteSolid_WasteTreatmentEFs[Waste type w],Table_SourceData_WasteSolid_WasteTreatmentEFs[EFwt])</f>
        <v>2</v>
      </c>
      <c r="K120" s="25" cm="1">
        <f t="array" ref="K120">WasteSolid_Equations.VEERG_10_1_1_1__1_EmissionsFromWasteManagement(I120, J120)</f>
        <v>0</v>
      </c>
    </row>
    <row r="121" spans="4:11" ht="20.100000000000001" customHeight="1" x14ac:dyDescent="0.25">
      <c r="D121" s="102" t="str">
        <v>Landfill</v>
      </c>
      <c r="E121" s="103" t="str">
        <v>Sludge</v>
      </c>
      <c r="F121" s="167"/>
      <c r="G121" s="2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5">
        <f t="shared" si="0"/>
        <v>0</v>
      </c>
      <c r="I121" s="25">
        <f t="shared" si="1"/>
        <v>0</v>
      </c>
      <c r="J121" s="25" cm="1">
        <f t="array" ref="J121">Common_InputFunctions.Utility_LookupValueInTableTwoColumns(D121,E121,Table_SourceData_WasteSolid_WasteTreatmentEFs[Treatment type t],Table_SourceData_WasteSolid_WasteTreatmentEFs[Waste type w],Table_SourceData_WasteSolid_WasteTreatmentEFs[EFwt])</f>
        <v>0.4</v>
      </c>
      <c r="K121" s="25" cm="1">
        <f t="array" ref="K121">WasteSolid_Equations.VEERG_10_1_1_1__1_EmissionsFromWasteManagement(I121, J121)</f>
        <v>0</v>
      </c>
    </row>
    <row r="122" spans="4:11" ht="20.100000000000001" customHeight="1" x14ac:dyDescent="0.25">
      <c r="D122" s="102" t="str">
        <v>Landfill</v>
      </c>
      <c r="E122" s="103" t="str">
        <v>Rubber and leather</v>
      </c>
      <c r="F122" s="167"/>
      <c r="G122" s="2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5">
        <f t="shared" si="0"/>
        <v>0</v>
      </c>
      <c r="I122" s="25">
        <f t="shared" si="1"/>
        <v>0</v>
      </c>
      <c r="J122" s="25" cm="1">
        <f t="array" ref="J122">Common_InputFunctions.Utility_LookupValueInTableTwoColumns(D122,E122,Table_SourceData_WasteSolid_WasteTreatmentEFs[Treatment type t],Table_SourceData_WasteSolid_WasteTreatmentEFs[Waste type w],Table_SourceData_WasteSolid_WasteTreatmentEFs[EFwt])</f>
        <v>3.3</v>
      </c>
      <c r="K122" s="25" cm="1">
        <f t="array" ref="K122">WasteSolid_Equations.VEERG_10_1_1_1__1_EmissionsFromWasteManagement(I122, J122)</f>
        <v>0</v>
      </c>
    </row>
    <row r="123" spans="4:11" ht="20.100000000000001" customHeight="1" x14ac:dyDescent="0.25">
      <c r="D123" s="102" t="str">
        <v>Landfill</v>
      </c>
      <c r="E123" s="103" t="str">
        <v>Inert waste (including concrete, metal, plastic or glass)</v>
      </c>
      <c r="F123" s="167"/>
      <c r="G123" s="2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5">
        <f t="shared" si="0"/>
        <v>0</v>
      </c>
      <c r="I123" s="25">
        <f t="shared" si="1"/>
        <v>0</v>
      </c>
      <c r="J123" s="25" cm="1">
        <f t="array" ref="J123">Common_InputFunctions.Utility_LookupValueInTableTwoColumns(D123,E123,Table_SourceData_WasteSolid_WasteTreatmentEFs[Treatment type t],Table_SourceData_WasteSolid_WasteTreatmentEFs[Waste type w],Table_SourceData_WasteSolid_WasteTreatmentEFs[EFwt])</f>
        <v>0</v>
      </c>
      <c r="K123" s="25" cm="1">
        <f t="array" ref="K123">WasteSolid_Equations.VEERG_10_1_1_1__1_EmissionsFromWasteManagement(I123, J123)</f>
        <v>0</v>
      </c>
    </row>
    <row r="124" spans="4:11" ht="20.100000000000001" customHeight="1" x14ac:dyDescent="0.25">
      <c r="D124" s="102" t="str">
        <v>Landfill</v>
      </c>
      <c r="E124" s="103" t="str">
        <v>Municipal solid waste</v>
      </c>
      <c r="F124" s="167"/>
      <c r="G124" s="2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5">
        <f t="shared" si="0"/>
        <v>0</v>
      </c>
      <c r="I124" s="25">
        <f t="shared" si="1"/>
        <v>0</v>
      </c>
      <c r="J124" s="25" cm="1">
        <f t="array" ref="J124">Common_InputFunctions.Utility_LookupValueInTableTwoColumns(D124,E124,Table_SourceData_WasteSolid_WasteTreatmentEFs[Treatment type t],Table_SourceData_WasteSolid_WasteTreatmentEFs[Waste type w],Table_SourceData_WasteSolid_WasteTreatmentEFs[EFwt])</f>
        <v>1.6</v>
      </c>
      <c r="K124" s="25" cm="1">
        <f t="array" ref="K124">WasteSolid_Equations.VEERG_10_1_1_1__1_EmissionsFromWasteManagement(I124, J124)</f>
        <v>0</v>
      </c>
    </row>
    <row r="125" spans="4:11" ht="20.100000000000001" customHeight="1" x14ac:dyDescent="0.25">
      <c r="D125" s="102" t="str">
        <v>Landfill</v>
      </c>
      <c r="E125" s="103" t="str">
        <v>Commercial and industrial waste</v>
      </c>
      <c r="F125" s="167"/>
      <c r="G125" s="2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5">
        <f t="shared" si="0"/>
        <v>0</v>
      </c>
      <c r="I125" s="25">
        <f t="shared" si="1"/>
        <v>0</v>
      </c>
      <c r="J125" s="25" cm="1">
        <f t="array" ref="J125">Common_InputFunctions.Utility_LookupValueInTableTwoColumns(D125,E125,Table_SourceData_WasteSolid_WasteTreatmentEFs[Treatment type t],Table_SourceData_WasteSolid_WasteTreatmentEFs[Waste type w],Table_SourceData_WasteSolid_WasteTreatmentEFs[EFwt])</f>
        <v>1.3</v>
      </c>
      <c r="K125" s="25" cm="1">
        <f t="array" ref="K125">WasteSolid_Equations.VEERG_10_1_1_1__1_EmissionsFromWasteManagement(I125, J125)</f>
        <v>0</v>
      </c>
    </row>
    <row r="126" spans="4:11" ht="20.100000000000001" customHeight="1" x14ac:dyDescent="0.25">
      <c r="D126" s="102" t="str">
        <v>Landfill</v>
      </c>
      <c r="E126" s="103" t="str">
        <v>Construction and demolition waste</v>
      </c>
      <c r="F126" s="167"/>
      <c r="G126" s="2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5">
        <f t="shared" si="0"/>
        <v>0</v>
      </c>
      <c r="I126" s="25">
        <f t="shared" si="1"/>
        <v>0</v>
      </c>
      <c r="J126" s="25" cm="1">
        <f t="array" ref="J126">Common_InputFunctions.Utility_LookupValueInTableTwoColumns(D126,E126,Table_SourceData_WasteSolid_WasteTreatmentEFs[Treatment type t],Table_SourceData_WasteSolid_WasteTreatmentEFs[Waste type w],Table_SourceData_WasteSolid_WasteTreatmentEFs[EFwt])</f>
        <v>0.2</v>
      </c>
      <c r="K126" s="25" cm="1">
        <f t="array" ref="K126">WasteSolid_Equations.VEERG_10_1_1_1__1_EmissionsFromWasteManagement(I126, J126)</f>
        <v>0</v>
      </c>
    </row>
    <row r="127" spans="4:11" ht="20.100000000000001" customHeight="1" x14ac:dyDescent="0.25">
      <c r="D127" s="102" t="str">
        <v>Incineration</v>
      </c>
      <c r="E127" s="103" t="str">
        <v>Food waste, green waste, wood, sludge</v>
      </c>
      <c r="F127" s="167"/>
      <c r="G127" s="25" t="s">
        <v>560</v>
      </c>
      <c r="H127" s="25" t="str">
        <f t="shared" si="0"/>
        <v>Not used</v>
      </c>
      <c r="I127" s="25">
        <f>SUM(G128:G131)+SUM(H128:H131)</f>
        <v>74</v>
      </c>
      <c r="J127" s="25" cm="1">
        <f t="array" ref="J127">Common_InputFunctions.Utility_LookupValueInTableTwoColumns(D127,E127,Table_SourceData_WasteSolid_WasteTreatmentEFs[Treatment type t],Table_SourceData_WasteSolid_WasteTreatmentEFs[Waste type w],Table_SourceData_WasteSolid_WasteTreatmentEFs[EFwt])</f>
        <v>0</v>
      </c>
      <c r="K127" s="25" cm="1">
        <f t="array" ref="K127">WasteSolid_Equations.VEERG_10_1_1_1__1_EmissionsFromWasteManagement(I127, J127)</f>
        <v>0</v>
      </c>
    </row>
    <row r="128" spans="4:11" ht="20.100000000000001" customHeight="1" x14ac:dyDescent="0.25">
      <c r="D128" s="102" t="str">
        <v>Incineration</v>
      </c>
      <c r="E128" s="103" t="str">
        <v>Food waste (including animal carcasses, spoiled animal feed or crop)</v>
      </c>
      <c r="F128" s="167"/>
      <c r="G128" s="2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5">
        <f t="shared" si="0"/>
        <v>0</v>
      </c>
      <c r="I128" s="25" t="s">
        <v>850</v>
      </c>
      <c r="J128" s="25" t="s">
        <v>560</v>
      </c>
      <c r="K128" s="25" t="s">
        <v>560</v>
      </c>
    </row>
    <row r="129" spans="4:11" ht="20.100000000000001" customHeight="1" x14ac:dyDescent="0.25">
      <c r="D129" s="102" t="str">
        <v>Incineration</v>
      </c>
      <c r="E129" s="103" t="str">
        <v>Green waste (including crop residues or prunings)</v>
      </c>
      <c r="F129" s="167"/>
      <c r="G129" s="2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5">
        <f t="shared" si="0"/>
        <v>24</v>
      </c>
      <c r="I129" s="25" t="s">
        <v>850</v>
      </c>
      <c r="J129" s="25" t="s">
        <v>560</v>
      </c>
      <c r="K129" s="25" t="s">
        <v>560</v>
      </c>
    </row>
    <row r="130" spans="4:11" ht="20.100000000000001" customHeight="1" x14ac:dyDescent="0.25">
      <c r="D130" s="102" t="str">
        <v>Incineration</v>
      </c>
      <c r="E130" s="103" t="str">
        <v>Wood</v>
      </c>
      <c r="F130" s="167"/>
      <c r="G130" s="2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5">
        <f t="shared" si="0"/>
        <v>0</v>
      </c>
      <c r="I130" s="25" t="s">
        <v>850</v>
      </c>
      <c r="J130" s="25" t="s">
        <v>560</v>
      </c>
      <c r="K130" s="25" t="s">
        <v>560</v>
      </c>
    </row>
    <row r="131" spans="4:11" ht="20.100000000000001" customHeight="1" x14ac:dyDescent="0.25">
      <c r="D131" s="102" t="str">
        <v>Incineration</v>
      </c>
      <c r="E131" s="103" t="str">
        <v>Sludge</v>
      </c>
      <c r="F131" s="167"/>
      <c r="G131" s="2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5">
        <f t="shared" si="0"/>
        <v>0</v>
      </c>
      <c r="I131" s="25" t="s">
        <v>850</v>
      </c>
      <c r="J131" s="25" t="s">
        <v>560</v>
      </c>
      <c r="K131" s="25" t="s">
        <v>560</v>
      </c>
    </row>
    <row r="132" spans="4:11" ht="20.100000000000001" customHeight="1" x14ac:dyDescent="0.25">
      <c r="D132" s="102" t="str">
        <v>Incineration</v>
      </c>
      <c r="E132" s="103" t="str">
        <v>Paper and cardboard</v>
      </c>
      <c r="F132" s="167"/>
      <c r="G132" s="2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5">
        <f t="shared" si="0"/>
        <v>4.5</v>
      </c>
      <c r="I132" s="25">
        <f t="shared" ref="I132:I137" si="2">G132+H132</f>
        <v>54.5</v>
      </c>
      <c r="J132" s="2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5" cm="1">
        <f t="array" ref="K132">WasteSolid_Equations.VEERG_10_1_1_1__1_EmissionsFromWasteManagement(I132, J132)</f>
        <v>0.92104999999999992</v>
      </c>
    </row>
    <row r="133" spans="4:11" ht="20.100000000000001" customHeight="1" x14ac:dyDescent="0.25">
      <c r="D133" s="102" t="str">
        <v>Incineration</v>
      </c>
      <c r="E133" s="103" t="str">
        <v>Textiles</v>
      </c>
      <c r="F133" s="167"/>
      <c r="G133" s="2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5">
        <f t="shared" si="0"/>
        <v>0</v>
      </c>
      <c r="I133" s="25">
        <f t="shared" si="2"/>
        <v>0</v>
      </c>
      <c r="J133" s="2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5" cm="1">
        <f t="array" ref="K133">WasteSolid_Equations.VEERG_10_1_1_1__1_EmissionsFromWasteManagement(I133, J133)</f>
        <v>0</v>
      </c>
    </row>
    <row r="134" spans="4:11" ht="20.100000000000001" customHeight="1" x14ac:dyDescent="0.25">
      <c r="D134" s="102" t="str">
        <v>Incineration</v>
      </c>
      <c r="E134" s="103" t="str">
        <v>Rubber and leather</v>
      </c>
      <c r="F134" s="167"/>
      <c r="G134" s="2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5">
        <f t="shared" si="0"/>
        <v>0</v>
      </c>
      <c r="I134" s="25">
        <f t="shared" si="2"/>
        <v>0</v>
      </c>
      <c r="J134" s="25" cm="1">
        <f t="array" ref="J134">Common_InputFunctions.Utility_LookupValueInTableTwoColumns(D134,E134,Table_SourceData_WasteSolid_WasteTreatmentEFs[Treatment type t],Table_SourceData_WasteSolid_WasteTreatmentEFs[Waste type w],Table_SourceData_WasteSolid_WasteTreatmentEFs[EFwt])</f>
        <v>0.4919</v>
      </c>
      <c r="K134" s="25" cm="1">
        <f t="array" ref="K134">WasteSolid_Equations.VEERG_10_1_1_1__1_EmissionsFromWasteManagement(I134, J134)</f>
        <v>0</v>
      </c>
    </row>
    <row r="135" spans="4:11" ht="20.100000000000001" customHeight="1" x14ac:dyDescent="0.25">
      <c r="D135" s="102" t="str">
        <v>Incineration</v>
      </c>
      <c r="E135" s="103" t="str">
        <v>Inert waste (including concrete, metal, plastic or glass)</v>
      </c>
      <c r="F135" s="167"/>
      <c r="G135" s="2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5">
        <f t="shared" si="0"/>
        <v>0</v>
      </c>
      <c r="I135" s="25">
        <f t="shared" si="2"/>
        <v>0</v>
      </c>
      <c r="J135" s="25" cm="1">
        <f t="array" ref="J135">Common_InputFunctions.Utility_LookupValueInTableTwoColumns(D135,E135,Table_SourceData_WasteSolid_WasteTreatmentEFs[Treatment type t],Table_SourceData_WasteSolid_WasteTreatmentEFs[Waste type w],Table_SourceData_WasteSolid_WasteTreatmentEFs[EFwt])</f>
        <v>0.11</v>
      </c>
      <c r="K135" s="25" cm="1">
        <f t="array" ref="K135">WasteSolid_Equations.VEERG_10_1_1_1__1_EmissionsFromWasteManagement(I135, J135)</f>
        <v>0</v>
      </c>
    </row>
    <row r="136" spans="4:11" ht="20.100000000000001" customHeight="1" x14ac:dyDescent="0.25">
      <c r="D136" s="102" t="str">
        <v>Incineration</v>
      </c>
      <c r="E136" s="103" t="str">
        <v>Municipal solid waste</v>
      </c>
      <c r="F136" s="105"/>
      <c r="G136" s="2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5">
        <f t="shared" si="0"/>
        <v>0</v>
      </c>
      <c r="I136" s="25">
        <f t="shared" si="2"/>
        <v>0</v>
      </c>
      <c r="J136" s="2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5" cm="1">
        <f t="array" ref="K136">WasteSolid_Equations.VEERG_10_1_1_1__1_EmissionsFromWasteManagement(I136, J136)</f>
        <v>0</v>
      </c>
    </row>
    <row r="137" spans="4:11" ht="20.100000000000001" customHeight="1" x14ac:dyDescent="0.25">
      <c r="D137" s="102" t="str">
        <v>Incineration</v>
      </c>
      <c r="E137" s="103" t="str">
        <v>Commercial and industrial waste</v>
      </c>
      <c r="F137" s="105"/>
      <c r="G137" s="2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5">
        <f t="shared" si="0"/>
        <v>0</v>
      </c>
      <c r="I137" s="25">
        <f t="shared" si="2"/>
        <v>0</v>
      </c>
      <c r="J137" s="25" cm="1">
        <f t="array" ref="J137">Common_InputFunctions.Utility_LookupValueInTableTwoColumns(D137,E137,Table_SourceData_WasteSolid_WasteTreatmentEFs[Treatment type t],Table_SourceData_WasteSolid_WasteTreatmentEFs[Waste type w],Table_SourceData_WasteSolid_WasteTreatmentEFs[EFwt])</f>
        <v>1.649</v>
      </c>
      <c r="K137" s="25" cm="1">
        <f t="array" ref="K137">WasteSolid_Equations.VEERG_10_1_1_1__1_EmissionsFromWasteManagement(I137, J137)</f>
        <v>0</v>
      </c>
    </row>
    <row r="138" spans="4:11" ht="20.100000000000001" customHeight="1" x14ac:dyDescent="0.25">
      <c r="D138" s="102" t="str">
        <v>Composting</v>
      </c>
      <c r="E138" s="103" t="str">
        <v>All organic waste</v>
      </c>
      <c r="F138" s="105"/>
      <c r="G138" s="25" t="s">
        <v>560</v>
      </c>
      <c r="H138" s="25" t="str">
        <f t="shared" si="0"/>
        <v>Not used</v>
      </c>
      <c r="I138" s="25">
        <f>SUM(G139:G143)+SUM(H139:H143)</f>
        <v>29.5</v>
      </c>
      <c r="J138" s="2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5" cm="1">
        <f t="array" ref="K138">WasteSolid_Equations.VEERG_10_1_1_1__1_EmissionsFromWasteManagement(I138, J138)</f>
        <v>1.357</v>
      </c>
    </row>
    <row r="139" spans="4:11" ht="20.100000000000001" customHeight="1" x14ac:dyDescent="0.25">
      <c r="D139" s="102" t="str">
        <v>Composting</v>
      </c>
      <c r="E139" s="103" t="str">
        <v>Food waste (including animal carcasses, spoiled animal feed or crop)</v>
      </c>
      <c r="F139" s="105"/>
      <c r="G139" s="2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5">
        <f t="shared" si="0"/>
        <v>25</v>
      </c>
      <c r="I139" s="25" t="s">
        <v>850</v>
      </c>
      <c r="J139" s="25" t="s">
        <v>560</v>
      </c>
      <c r="K139" s="25" t="s">
        <v>560</v>
      </c>
    </row>
    <row r="140" spans="4:11" ht="20.100000000000001" customHeight="1" x14ac:dyDescent="0.25">
      <c r="D140" s="102" t="str">
        <v>Composting</v>
      </c>
      <c r="E140" s="103" t="str">
        <v>Green waste (including crop residues or prunings)</v>
      </c>
      <c r="F140" s="105"/>
      <c r="G140" s="2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5">
        <f t="shared" si="0"/>
        <v>0</v>
      </c>
      <c r="I140" s="25" t="s">
        <v>850</v>
      </c>
      <c r="J140" s="25" t="s">
        <v>560</v>
      </c>
      <c r="K140" s="25" t="s">
        <v>560</v>
      </c>
    </row>
    <row r="141" spans="4:11" ht="20.100000000000001" customHeight="1" x14ac:dyDescent="0.25">
      <c r="D141" s="102" t="str">
        <v>Composting</v>
      </c>
      <c r="E141" s="103" t="str">
        <v>Wood</v>
      </c>
      <c r="F141" s="105"/>
      <c r="G141" s="2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5">
        <f t="shared" si="0"/>
        <v>0</v>
      </c>
      <c r="I141" s="25" t="s">
        <v>850</v>
      </c>
      <c r="J141" s="25" t="s">
        <v>560</v>
      </c>
      <c r="K141" s="25" t="s">
        <v>560</v>
      </c>
    </row>
    <row r="142" spans="4:11" ht="20.100000000000001" customHeight="1" x14ac:dyDescent="0.25">
      <c r="D142" s="102" t="str">
        <v>Composting</v>
      </c>
      <c r="E142" s="103" t="str">
        <v>Sludge</v>
      </c>
      <c r="F142" s="105"/>
      <c r="G142" s="2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5">
        <f t="shared" si="0"/>
        <v>0</v>
      </c>
      <c r="I142" s="25" t="s">
        <v>850</v>
      </c>
      <c r="J142" s="25" t="s">
        <v>560</v>
      </c>
      <c r="K142" s="25" t="s">
        <v>560</v>
      </c>
    </row>
    <row r="143" spans="4:11" ht="20.100000000000001" customHeight="1" x14ac:dyDescent="0.25">
      <c r="D143" s="102" t="str">
        <v>Composting</v>
      </c>
      <c r="E143" s="103" t="str">
        <v>Paper and cardboard</v>
      </c>
      <c r="F143" s="105"/>
      <c r="G143" s="2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5">
        <f t="shared" si="0"/>
        <v>4.5</v>
      </c>
      <c r="I143" s="25" t="s">
        <v>850</v>
      </c>
      <c r="J143" s="25" t="s">
        <v>560</v>
      </c>
      <c r="K143" s="25" t="s">
        <v>560</v>
      </c>
    </row>
    <row r="144" spans="4:11" ht="20.100000000000001" customHeight="1" x14ac:dyDescent="0.25">
      <c r="D144" s="102" t="str">
        <v>Anaerobic digestion</v>
      </c>
      <c r="E144" s="103" t="str">
        <v>All organic waste</v>
      </c>
      <c r="F144" s="105"/>
      <c r="G144" s="25" t="s">
        <v>560</v>
      </c>
      <c r="H144" s="25" t="str">
        <f t="shared" si="0"/>
        <v>Not used</v>
      </c>
      <c r="I144" s="25">
        <f>SUM(G145:G149)+SUM(H145:H149)</f>
        <v>0</v>
      </c>
      <c r="J144" s="2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5" cm="1">
        <f t="array" ref="K144">WasteSolid_Equations.VEERG_10_1_1_1__1_EmissionsFromWasteManagement(I144, J144)</f>
        <v>0</v>
      </c>
    </row>
    <row r="145" spans="4:11" ht="20.100000000000001" customHeight="1" x14ac:dyDescent="0.25">
      <c r="D145" s="102" t="str">
        <v>Anaerobic digestion</v>
      </c>
      <c r="E145" s="103" t="str">
        <v>Food waste (including animal carcasses, spoiled animal feed or crop)</v>
      </c>
      <c r="F145" s="105"/>
      <c r="G145" s="2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5">
        <f t="shared" si="0"/>
        <v>0</v>
      </c>
      <c r="I145" s="25" t="s">
        <v>850</v>
      </c>
      <c r="J145" s="25" t="s">
        <v>560</v>
      </c>
      <c r="K145" s="25" t="s">
        <v>560</v>
      </c>
    </row>
    <row r="146" spans="4:11" ht="20.100000000000001" customHeight="1" x14ac:dyDescent="0.25">
      <c r="D146" s="102" t="str">
        <v>Anaerobic digestion</v>
      </c>
      <c r="E146" s="103" t="str">
        <v>Green waste (including crop residues or prunings)</v>
      </c>
      <c r="F146" s="105"/>
      <c r="G146" s="2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5">
        <f t="shared" si="0"/>
        <v>0</v>
      </c>
      <c r="I146" s="25" t="s">
        <v>850</v>
      </c>
      <c r="J146" s="25" t="s">
        <v>560</v>
      </c>
      <c r="K146" s="25" t="s">
        <v>560</v>
      </c>
    </row>
    <row r="147" spans="4:11" ht="20.100000000000001" customHeight="1" x14ac:dyDescent="0.25">
      <c r="D147" s="102" t="str">
        <v>Anaerobic digestion</v>
      </c>
      <c r="E147" s="103" t="str">
        <v>Wood</v>
      </c>
      <c r="F147" s="105"/>
      <c r="G147" s="2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5">
        <f t="shared" si="0"/>
        <v>0</v>
      </c>
      <c r="I147" s="25" t="s">
        <v>850</v>
      </c>
      <c r="J147" s="25" t="s">
        <v>560</v>
      </c>
      <c r="K147" s="25" t="s">
        <v>560</v>
      </c>
    </row>
    <row r="148" spans="4:11" ht="20.100000000000001" customHeight="1" x14ac:dyDescent="0.25">
      <c r="D148" s="102" t="str">
        <v>Anaerobic digestion</v>
      </c>
      <c r="E148" s="103" t="str">
        <v>Sludge</v>
      </c>
      <c r="F148" s="105"/>
      <c r="G148" s="2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5">
        <f t="shared" si="0"/>
        <v>0</v>
      </c>
      <c r="I148" s="25" t="s">
        <v>850</v>
      </c>
      <c r="J148" s="25" t="s">
        <v>560</v>
      </c>
      <c r="K148" s="25" t="s">
        <v>560</v>
      </c>
    </row>
    <row r="149" spans="4:11" ht="20.100000000000001" customHeight="1" x14ac:dyDescent="0.25">
      <c r="D149" s="102" t="str">
        <v>Anaerobic digestion</v>
      </c>
      <c r="E149" s="103" t="str">
        <v>Paper and cardboard</v>
      </c>
      <c r="F149" s="105"/>
      <c r="G149" s="2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5">
        <f t="shared" si="0"/>
        <v>0</v>
      </c>
      <c r="I149" s="25" t="s">
        <v>850</v>
      </c>
      <c r="J149" s="25" t="s">
        <v>560</v>
      </c>
      <c r="K149" s="25" t="s">
        <v>560</v>
      </c>
    </row>
    <row r="150" spans="4:11" ht="20.100000000000001" customHeight="1" x14ac:dyDescent="0.25"/>
    <row r="151" spans="4:11" ht="20.100000000000001" customHeight="1" x14ac:dyDescent="0.25">
      <c r="D151" s="115" t="s">
        <v>851</v>
      </c>
      <c r="E151" s="116">
        <f>SUM(K116:K149)</f>
        <v>438.82805000000002</v>
      </c>
      <c r="F151" s="117" t="str">
        <f>$E$103</f>
        <v>t CO2e</v>
      </c>
    </row>
    <row r="152" spans="4:11" ht="20.100000000000001" customHeight="1" x14ac:dyDescent="0.25"/>
    <row r="153" spans="4:11" ht="20.100000000000001" customHeight="1" x14ac:dyDescent="0.25"/>
    <row r="154" spans="4:11" ht="20.100000000000001" customHeight="1" x14ac:dyDescent="0.25">
      <c r="D154" s="109" t="s">
        <v>852</v>
      </c>
    </row>
    <row r="155" spans="4:11" ht="20.100000000000001" customHeight="1" x14ac:dyDescent="0.25">
      <c r="D155" s="110" t="s">
        <v>853</v>
      </c>
    </row>
    <row r="156" spans="4:11" ht="20.100000000000001" customHeight="1" x14ac:dyDescent="0.25">
      <c r="D156" s="112" t="s">
        <v>837</v>
      </c>
      <c r="E156" s="112" t="s">
        <v>838</v>
      </c>
      <c r="F156" s="112"/>
      <c r="G156" s="112" t="s">
        <v>846</v>
      </c>
      <c r="H156" s="111" t="s">
        <v>847</v>
      </c>
      <c r="I156" s="111" t="s">
        <v>841</v>
      </c>
      <c r="J156" s="111" t="s">
        <v>848</v>
      </c>
      <c r="K156" s="111" t="s">
        <v>849</v>
      </c>
    </row>
    <row r="157" spans="4:11" ht="20.100000000000001" customHeight="1" x14ac:dyDescent="0.25">
      <c r="D157" s="102" t="str" cm="1">
        <f t="array" ref="D157:D190">Table_SourceData_WasteSolid_WasteTreatmentEFs[Treatment type t]</f>
        <v>Landfill</v>
      </c>
      <c r="E157" s="103" t="str" cm="1">
        <f t="array" ref="E157:E190">Table_SourceData_WasteSolid_WasteTreatmentEFs[Waste type w]</f>
        <v>Food waste (including animal carcasses, spoiled animal feed or crop)</v>
      </c>
      <c r="F157" s="167"/>
      <c r="G157" s="2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5">
        <f t="shared" ref="H157:H190" si="3">I59</f>
        <v>25</v>
      </c>
      <c r="I157" s="25">
        <f>G157+H157</f>
        <v>75</v>
      </c>
      <c r="J157" s="25" cm="1">
        <f t="array" ref="J157">Common_InputFunctions.Utility_LookupValueInTableTwoColumns(D157,E157,Table_SourceData_WasteSolid_WasteTreatmentEFs[Treatment type t],Table_SourceData_WasteSolid_WasteTreatmentEFs[Waste type w],Table_SourceData_WasteSolid_WasteTreatmentEFs[EFwt])</f>
        <v>2.1</v>
      </c>
      <c r="K157" s="25" cm="1">
        <f t="array" ref="K157">WasteSolid_Equations.VEERG_10_1_1_1__1_EmissionsFromWasteManagement(I157, J157)</f>
        <v>157.5</v>
      </c>
    </row>
    <row r="158" spans="4:11" ht="20.100000000000001" customHeight="1" x14ac:dyDescent="0.25">
      <c r="D158" s="102" t="str">
        <v>Landfill</v>
      </c>
      <c r="E158" s="103" t="str">
        <v>Paper and cardboard</v>
      </c>
      <c r="F158" s="167"/>
      <c r="G158" s="2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5">
        <f t="shared" si="3"/>
        <v>4.5</v>
      </c>
      <c r="I158" s="25">
        <f t="shared" ref="I158:I167" si="4">G158+H158</f>
        <v>54.5</v>
      </c>
      <c r="J158" s="25" cm="1">
        <f t="array" ref="J158">Common_InputFunctions.Utility_LookupValueInTableTwoColumns(D158,E158,Table_SourceData_WasteSolid_WasteTreatmentEFs[Treatment type t],Table_SourceData_WasteSolid_WasteTreatmentEFs[Waste type w],Table_SourceData_WasteSolid_WasteTreatmentEFs[EFwt])</f>
        <v>3.3</v>
      </c>
      <c r="K158" s="25" cm="1">
        <f t="array" ref="K158">WasteSolid_Equations.VEERG_10_1_1_1__1_EmissionsFromWasteManagement(I158, J158)</f>
        <v>179.85</v>
      </c>
    </row>
    <row r="159" spans="4:11" ht="20.100000000000001" customHeight="1" x14ac:dyDescent="0.25">
      <c r="D159" s="102" t="str">
        <v>Landfill</v>
      </c>
      <c r="E159" s="103" t="str">
        <v>Green waste (including crop residues or prunings)</v>
      </c>
      <c r="F159" s="167"/>
      <c r="G159" s="2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5">
        <f t="shared" si="3"/>
        <v>12</v>
      </c>
      <c r="I159" s="25">
        <f t="shared" si="4"/>
        <v>62</v>
      </c>
      <c r="J159" s="25" cm="1">
        <f t="array" ref="J159">Common_InputFunctions.Utility_LookupValueInTableTwoColumns(D159,E159,Table_SourceData_WasteSolid_WasteTreatmentEFs[Treatment type t],Table_SourceData_WasteSolid_WasteTreatmentEFs[Waste type w],Table_SourceData_WasteSolid_WasteTreatmentEFs[EFwt])</f>
        <v>1.6</v>
      </c>
      <c r="K159" s="25" cm="1">
        <f t="array" ref="K159">WasteSolid_Equations.VEERG_10_1_1_1__1_EmissionsFromWasteManagement(I159, J159)</f>
        <v>99.2</v>
      </c>
    </row>
    <row r="160" spans="4:11" ht="20.100000000000001" customHeight="1" x14ac:dyDescent="0.25">
      <c r="D160" s="102" t="str">
        <v>Landfill</v>
      </c>
      <c r="E160" s="103" t="str">
        <v>Wood</v>
      </c>
      <c r="F160" s="167"/>
      <c r="G160" s="2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5">
        <f t="shared" si="3"/>
        <v>0</v>
      </c>
      <c r="I160" s="25">
        <f t="shared" si="4"/>
        <v>0</v>
      </c>
      <c r="J160" s="25" cm="1">
        <f t="array" ref="J160">Common_InputFunctions.Utility_LookupValueInTableTwoColumns(D160,E160,Table_SourceData_WasteSolid_WasteTreatmentEFs[Treatment type t],Table_SourceData_WasteSolid_WasteTreatmentEFs[Waste type w],Table_SourceData_WasteSolid_WasteTreatmentEFs[EFwt])</f>
        <v>0.7</v>
      </c>
      <c r="K160" s="25" cm="1">
        <f t="array" ref="K160">WasteSolid_Equations.VEERG_10_1_1_1__1_EmissionsFromWasteManagement(I160, J160)</f>
        <v>0</v>
      </c>
    </row>
    <row r="161" spans="4:11" ht="20.100000000000001" customHeight="1" x14ac:dyDescent="0.25">
      <c r="D161" s="102" t="str">
        <v>Landfill</v>
      </c>
      <c r="E161" s="103" t="str">
        <v>Textiles</v>
      </c>
      <c r="F161" s="167"/>
      <c r="G161" s="2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5">
        <f t="shared" si="3"/>
        <v>0</v>
      </c>
      <c r="I161" s="25">
        <f t="shared" si="4"/>
        <v>0</v>
      </c>
      <c r="J161" s="25" cm="1">
        <f t="array" ref="J161">Common_InputFunctions.Utility_LookupValueInTableTwoColumns(D161,E161,Table_SourceData_WasteSolid_WasteTreatmentEFs[Treatment type t],Table_SourceData_WasteSolid_WasteTreatmentEFs[Waste type w],Table_SourceData_WasteSolid_WasteTreatmentEFs[EFwt])</f>
        <v>2</v>
      </c>
      <c r="K161" s="25" cm="1">
        <f t="array" ref="K161">WasteSolid_Equations.VEERG_10_1_1_1__1_EmissionsFromWasteManagement(I161, J161)</f>
        <v>0</v>
      </c>
    </row>
    <row r="162" spans="4:11" ht="20.100000000000001" customHeight="1" x14ac:dyDescent="0.25">
      <c r="D162" s="102" t="str">
        <v>Landfill</v>
      </c>
      <c r="E162" s="103" t="str">
        <v>Sludge</v>
      </c>
      <c r="F162" s="167"/>
      <c r="G162" s="2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5">
        <f t="shared" si="3"/>
        <v>0</v>
      </c>
      <c r="I162" s="25">
        <f t="shared" si="4"/>
        <v>0</v>
      </c>
      <c r="J162" s="25" cm="1">
        <f t="array" ref="J162">Common_InputFunctions.Utility_LookupValueInTableTwoColumns(D162,E162,Table_SourceData_WasteSolid_WasteTreatmentEFs[Treatment type t],Table_SourceData_WasteSolid_WasteTreatmentEFs[Waste type w],Table_SourceData_WasteSolid_WasteTreatmentEFs[EFwt])</f>
        <v>0.4</v>
      </c>
      <c r="K162" s="25" cm="1">
        <f t="array" ref="K162">WasteSolid_Equations.VEERG_10_1_1_1__1_EmissionsFromWasteManagement(I162, J162)</f>
        <v>0</v>
      </c>
    </row>
    <row r="163" spans="4:11" ht="20.100000000000001" customHeight="1" x14ac:dyDescent="0.25">
      <c r="D163" s="102" t="str">
        <v>Landfill</v>
      </c>
      <c r="E163" s="103" t="str">
        <v>Rubber and leather</v>
      </c>
      <c r="F163" s="167"/>
      <c r="G163" s="2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5">
        <f t="shared" si="3"/>
        <v>0</v>
      </c>
      <c r="I163" s="25">
        <f t="shared" si="4"/>
        <v>0</v>
      </c>
      <c r="J163" s="25" cm="1">
        <f t="array" ref="J163">Common_InputFunctions.Utility_LookupValueInTableTwoColumns(D163,E163,Table_SourceData_WasteSolid_WasteTreatmentEFs[Treatment type t],Table_SourceData_WasteSolid_WasteTreatmentEFs[Waste type w],Table_SourceData_WasteSolid_WasteTreatmentEFs[EFwt])</f>
        <v>3.3</v>
      </c>
      <c r="K163" s="25" cm="1">
        <f t="array" ref="K163">WasteSolid_Equations.VEERG_10_1_1_1__1_EmissionsFromWasteManagement(I163, J163)</f>
        <v>0</v>
      </c>
    </row>
    <row r="164" spans="4:11" ht="20.100000000000001" customHeight="1" x14ac:dyDescent="0.25">
      <c r="D164" s="102" t="str">
        <v>Landfill</v>
      </c>
      <c r="E164" s="103" t="str">
        <v>Inert waste (including concrete, metal, plastic or glass)</v>
      </c>
      <c r="F164" s="167"/>
      <c r="G164" s="2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5">
        <f t="shared" si="3"/>
        <v>0</v>
      </c>
      <c r="I164" s="25">
        <f t="shared" si="4"/>
        <v>0</v>
      </c>
      <c r="J164" s="25" cm="1">
        <f t="array" ref="J164">Common_InputFunctions.Utility_LookupValueInTableTwoColumns(D164,E164,Table_SourceData_WasteSolid_WasteTreatmentEFs[Treatment type t],Table_SourceData_WasteSolid_WasteTreatmentEFs[Waste type w],Table_SourceData_WasteSolid_WasteTreatmentEFs[EFwt])</f>
        <v>0</v>
      </c>
      <c r="K164" s="25" cm="1">
        <f t="array" ref="K164">WasteSolid_Equations.VEERG_10_1_1_1__1_EmissionsFromWasteManagement(I164, J164)</f>
        <v>0</v>
      </c>
    </row>
    <row r="165" spans="4:11" ht="20.100000000000001" customHeight="1" x14ac:dyDescent="0.25">
      <c r="D165" s="102" t="str">
        <v>Landfill</v>
      </c>
      <c r="E165" s="103" t="str">
        <v>Municipal solid waste</v>
      </c>
      <c r="F165" s="167"/>
      <c r="G165" s="2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5">
        <f t="shared" si="3"/>
        <v>0</v>
      </c>
      <c r="I165" s="25">
        <f t="shared" si="4"/>
        <v>0</v>
      </c>
      <c r="J165" s="25" cm="1">
        <f t="array" ref="J165">Common_InputFunctions.Utility_LookupValueInTableTwoColumns(D165,E165,Table_SourceData_WasteSolid_WasteTreatmentEFs[Treatment type t],Table_SourceData_WasteSolid_WasteTreatmentEFs[Waste type w],Table_SourceData_WasteSolid_WasteTreatmentEFs[EFwt])</f>
        <v>1.6</v>
      </c>
      <c r="K165" s="25" cm="1">
        <f t="array" ref="K165">WasteSolid_Equations.VEERG_10_1_1_1__1_EmissionsFromWasteManagement(I165, J165)</f>
        <v>0</v>
      </c>
    </row>
    <row r="166" spans="4:11" ht="20.100000000000001" customHeight="1" x14ac:dyDescent="0.25">
      <c r="D166" s="102" t="str">
        <v>Landfill</v>
      </c>
      <c r="E166" s="103" t="str">
        <v>Commercial and industrial waste</v>
      </c>
      <c r="F166" s="167"/>
      <c r="G166" s="2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5">
        <f t="shared" si="3"/>
        <v>0</v>
      </c>
      <c r="I166" s="25">
        <f t="shared" si="4"/>
        <v>0</v>
      </c>
      <c r="J166" s="25" cm="1">
        <f t="array" ref="J166">Common_InputFunctions.Utility_LookupValueInTableTwoColumns(D166,E166,Table_SourceData_WasteSolid_WasteTreatmentEFs[Treatment type t],Table_SourceData_WasteSolid_WasteTreatmentEFs[Waste type w],Table_SourceData_WasteSolid_WasteTreatmentEFs[EFwt])</f>
        <v>1.3</v>
      </c>
      <c r="K166" s="25" cm="1">
        <f t="array" ref="K166">WasteSolid_Equations.VEERG_10_1_1_1__1_EmissionsFromWasteManagement(I166, J166)</f>
        <v>0</v>
      </c>
    </row>
    <row r="167" spans="4:11" ht="20.100000000000001" customHeight="1" x14ac:dyDescent="0.25">
      <c r="D167" s="102" t="str">
        <v>Landfill</v>
      </c>
      <c r="E167" s="103" t="str">
        <v>Construction and demolition waste</v>
      </c>
      <c r="F167" s="167"/>
      <c r="G167" s="2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5">
        <f t="shared" si="3"/>
        <v>0</v>
      </c>
      <c r="I167" s="25">
        <f t="shared" si="4"/>
        <v>0</v>
      </c>
      <c r="J167" s="25" cm="1">
        <f t="array" ref="J167">Common_InputFunctions.Utility_LookupValueInTableTwoColumns(D167,E167,Table_SourceData_WasteSolid_WasteTreatmentEFs[Treatment type t],Table_SourceData_WasteSolid_WasteTreatmentEFs[Waste type w],Table_SourceData_WasteSolid_WasteTreatmentEFs[EFwt])</f>
        <v>0.2</v>
      </c>
      <c r="K167" s="25" cm="1">
        <f t="array" ref="K167">WasteSolid_Equations.VEERG_10_1_1_1__1_EmissionsFromWasteManagement(I167, J167)</f>
        <v>0</v>
      </c>
    </row>
    <row r="168" spans="4:11" ht="20.100000000000001" customHeight="1" x14ac:dyDescent="0.25">
      <c r="D168" s="102" t="str">
        <v>Incineration</v>
      </c>
      <c r="E168" s="103" t="str">
        <v>Food waste, green waste, wood, sludge</v>
      </c>
      <c r="F168" s="167"/>
      <c r="G168" s="25" t="s">
        <v>560</v>
      </c>
      <c r="H168" s="25" t="str">
        <f t="shared" si="3"/>
        <v>Not used</v>
      </c>
      <c r="I168" s="25">
        <f>SUM(G169:G172)+SUM(H169:H172)</f>
        <v>62</v>
      </c>
      <c r="J168" s="25" cm="1">
        <f t="array" ref="J168">Common_InputFunctions.Utility_LookupValueInTableTwoColumns(D168,E168,Table_SourceData_WasteSolid_WasteTreatmentEFs[Treatment type t],Table_SourceData_WasteSolid_WasteTreatmentEFs[Waste type w],Table_SourceData_WasteSolid_WasteTreatmentEFs[EFwt])</f>
        <v>0</v>
      </c>
      <c r="K168" s="25" cm="1">
        <f t="array" ref="K168">WasteSolid_Equations.VEERG_10_1_1_1__1_EmissionsFromWasteManagement(I168, J168)</f>
        <v>0</v>
      </c>
    </row>
    <row r="169" spans="4:11" ht="20.100000000000001" customHeight="1" x14ac:dyDescent="0.25">
      <c r="D169" s="102" t="str">
        <v>Incineration</v>
      </c>
      <c r="E169" s="103" t="str">
        <v>Food waste (including animal carcasses, spoiled animal feed or crop)</v>
      </c>
      <c r="F169" s="167"/>
      <c r="G169" s="2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5">
        <f t="shared" si="3"/>
        <v>0</v>
      </c>
      <c r="I169" s="25" t="s">
        <v>850</v>
      </c>
      <c r="J169" s="25" t="s">
        <v>560</v>
      </c>
      <c r="K169" s="25" t="s">
        <v>560</v>
      </c>
    </row>
    <row r="170" spans="4:11" ht="20.100000000000001" customHeight="1" x14ac:dyDescent="0.25">
      <c r="D170" s="102" t="str">
        <v>Incineration</v>
      </c>
      <c r="E170" s="103" t="str">
        <v>Green waste (including crop residues or prunings)</v>
      </c>
      <c r="F170" s="167"/>
      <c r="G170" s="2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5">
        <f t="shared" si="3"/>
        <v>12</v>
      </c>
      <c r="I170" s="25" t="s">
        <v>850</v>
      </c>
      <c r="J170" s="25" t="s">
        <v>560</v>
      </c>
      <c r="K170" s="25" t="s">
        <v>560</v>
      </c>
    </row>
    <row r="171" spans="4:11" ht="20.100000000000001" customHeight="1" x14ac:dyDescent="0.25">
      <c r="D171" s="102" t="str">
        <v>Incineration</v>
      </c>
      <c r="E171" s="103" t="str">
        <v>Wood</v>
      </c>
      <c r="F171" s="167"/>
      <c r="G171" s="2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5">
        <f t="shared" si="3"/>
        <v>0</v>
      </c>
      <c r="I171" s="25" t="s">
        <v>850</v>
      </c>
      <c r="J171" s="25" t="s">
        <v>560</v>
      </c>
      <c r="K171" s="25" t="s">
        <v>560</v>
      </c>
    </row>
    <row r="172" spans="4:11" ht="20.100000000000001" customHeight="1" x14ac:dyDescent="0.25">
      <c r="D172" s="102" t="str">
        <v>Incineration</v>
      </c>
      <c r="E172" s="103" t="str">
        <v>Sludge</v>
      </c>
      <c r="F172" s="167"/>
      <c r="G172" s="2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5">
        <f t="shared" si="3"/>
        <v>0</v>
      </c>
      <c r="I172" s="25" t="s">
        <v>850</v>
      </c>
      <c r="J172" s="25" t="s">
        <v>560</v>
      </c>
      <c r="K172" s="25" t="s">
        <v>560</v>
      </c>
    </row>
    <row r="173" spans="4:11" ht="20.100000000000001" customHeight="1" x14ac:dyDescent="0.25">
      <c r="D173" s="102" t="str">
        <v>Incineration</v>
      </c>
      <c r="E173" s="103" t="str">
        <v>Paper and cardboard</v>
      </c>
      <c r="F173" s="167"/>
      <c r="G173" s="2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5">
        <f t="shared" si="3"/>
        <v>0</v>
      </c>
      <c r="I173" s="25">
        <f t="shared" ref="I173:I178" si="5">G173+H173</f>
        <v>0</v>
      </c>
      <c r="J173" s="2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5" cm="1">
        <f t="array" ref="K173">WasteSolid_Equations.VEERG_10_1_1_1__1_EmissionsFromWasteManagement(I173, J173)</f>
        <v>0</v>
      </c>
    </row>
    <row r="174" spans="4:11" ht="20.100000000000001" customHeight="1" x14ac:dyDescent="0.25">
      <c r="D174" s="102" t="str">
        <v>Incineration</v>
      </c>
      <c r="E174" s="103" t="str">
        <v>Textiles</v>
      </c>
      <c r="F174" s="167"/>
      <c r="G174" s="2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5">
        <f t="shared" si="3"/>
        <v>0</v>
      </c>
      <c r="I174" s="25">
        <f t="shared" si="5"/>
        <v>0</v>
      </c>
      <c r="J174" s="2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5" cm="1">
        <f t="array" ref="K174">WasteSolid_Equations.VEERG_10_1_1_1__1_EmissionsFromWasteManagement(I174, J174)</f>
        <v>0</v>
      </c>
    </row>
    <row r="175" spans="4:11" ht="20.100000000000001" customHeight="1" x14ac:dyDescent="0.25">
      <c r="D175" s="102" t="str">
        <v>Incineration</v>
      </c>
      <c r="E175" s="103" t="str">
        <v>Rubber and leather</v>
      </c>
      <c r="F175" s="167"/>
      <c r="G175" s="2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5">
        <f t="shared" si="3"/>
        <v>0</v>
      </c>
      <c r="I175" s="25">
        <f t="shared" si="5"/>
        <v>0</v>
      </c>
      <c r="J175" s="25" cm="1">
        <f t="array" ref="J175">Common_InputFunctions.Utility_LookupValueInTableTwoColumns(D175,E175,Table_SourceData_WasteSolid_WasteTreatmentEFs[Treatment type t],Table_SourceData_WasteSolid_WasteTreatmentEFs[Waste type w],Table_SourceData_WasteSolid_WasteTreatmentEFs[EFwt])</f>
        <v>0.4919</v>
      </c>
      <c r="K175" s="25" cm="1">
        <f t="array" ref="K175">WasteSolid_Equations.VEERG_10_1_1_1__1_EmissionsFromWasteManagement(I175, J175)</f>
        <v>0</v>
      </c>
    </row>
    <row r="176" spans="4:11" ht="20.100000000000001" customHeight="1" x14ac:dyDescent="0.25">
      <c r="D176" s="102" t="str">
        <v>Incineration</v>
      </c>
      <c r="E176" s="103" t="str">
        <v>Inert waste (including concrete, metal, plastic or glass)</v>
      </c>
      <c r="F176" s="167"/>
      <c r="G176" s="2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5">
        <f t="shared" si="3"/>
        <v>0</v>
      </c>
      <c r="I176" s="25">
        <f t="shared" si="5"/>
        <v>0</v>
      </c>
      <c r="J176" s="25" cm="1">
        <f t="array" ref="J176">Common_InputFunctions.Utility_LookupValueInTableTwoColumns(D176,E176,Table_SourceData_WasteSolid_WasteTreatmentEFs[Treatment type t],Table_SourceData_WasteSolid_WasteTreatmentEFs[Waste type w],Table_SourceData_WasteSolid_WasteTreatmentEFs[EFwt])</f>
        <v>0.11</v>
      </c>
      <c r="K176" s="25" cm="1">
        <f t="array" ref="K176">WasteSolid_Equations.VEERG_10_1_1_1__1_EmissionsFromWasteManagement(I176, J176)</f>
        <v>0</v>
      </c>
    </row>
    <row r="177" spans="4:11" ht="20.100000000000001" customHeight="1" x14ac:dyDescent="0.25">
      <c r="D177" s="102" t="str">
        <v>Incineration</v>
      </c>
      <c r="E177" s="103" t="str">
        <v>Municipal solid waste</v>
      </c>
      <c r="F177" s="105"/>
      <c r="G177" s="2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5">
        <f t="shared" si="3"/>
        <v>0</v>
      </c>
      <c r="I177" s="25">
        <f t="shared" si="5"/>
        <v>0</v>
      </c>
      <c r="J177" s="2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5" cm="1">
        <f t="array" ref="K177">WasteSolid_Equations.VEERG_10_1_1_1__1_EmissionsFromWasteManagement(I177, J177)</f>
        <v>0</v>
      </c>
    </row>
    <row r="178" spans="4:11" ht="20.100000000000001" customHeight="1" x14ac:dyDescent="0.25">
      <c r="D178" s="102" t="str">
        <v>Incineration</v>
      </c>
      <c r="E178" s="103" t="str">
        <v>Commercial and industrial waste</v>
      </c>
      <c r="F178" s="105"/>
      <c r="G178" s="2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5">
        <f t="shared" si="3"/>
        <v>0</v>
      </c>
      <c r="I178" s="25">
        <f t="shared" si="5"/>
        <v>0</v>
      </c>
      <c r="J178" s="25" cm="1">
        <f t="array" ref="J178">Common_InputFunctions.Utility_LookupValueInTableTwoColumns(D178,E178,Table_SourceData_WasteSolid_WasteTreatmentEFs[Treatment type t],Table_SourceData_WasteSolid_WasteTreatmentEFs[Waste type w],Table_SourceData_WasteSolid_WasteTreatmentEFs[EFwt])</f>
        <v>1.649</v>
      </c>
      <c r="K178" s="25" cm="1">
        <f t="array" ref="K178">WasteSolid_Equations.VEERG_10_1_1_1__1_EmissionsFromWasteManagement(I178, J178)</f>
        <v>0</v>
      </c>
    </row>
    <row r="179" spans="4:11" ht="20.100000000000001" customHeight="1" x14ac:dyDescent="0.25">
      <c r="D179" s="102" t="str">
        <v>Composting</v>
      </c>
      <c r="E179" s="103" t="str">
        <v>All organic waste</v>
      </c>
      <c r="F179" s="105"/>
      <c r="G179" s="25" t="s">
        <v>560</v>
      </c>
      <c r="H179" s="25" t="str">
        <f t="shared" si="3"/>
        <v>Not used</v>
      </c>
      <c r="I179" s="25">
        <f>SUM(G180:G184)+SUM(H180:H184)</f>
        <v>100</v>
      </c>
      <c r="J179" s="2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5" cm="1">
        <f t="array" ref="K179">WasteSolid_Equations.VEERG_10_1_1_1__1_EmissionsFromWasteManagement(I179, J179)</f>
        <v>4.5999999999999996</v>
      </c>
    </row>
    <row r="180" spans="4:11" ht="20.100000000000001" customHeight="1" x14ac:dyDescent="0.25">
      <c r="D180" s="102" t="str">
        <v>Composting</v>
      </c>
      <c r="E180" s="103" t="str">
        <v>Food waste (including animal carcasses, spoiled animal feed or crop)</v>
      </c>
      <c r="F180" s="105"/>
      <c r="G180" s="2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5">
        <f t="shared" si="3"/>
        <v>0</v>
      </c>
      <c r="I180" s="25" t="s">
        <v>850</v>
      </c>
      <c r="J180" s="25" t="s">
        <v>560</v>
      </c>
      <c r="K180" s="25" t="s">
        <v>560</v>
      </c>
    </row>
    <row r="181" spans="4:11" ht="20.100000000000001" customHeight="1" x14ac:dyDescent="0.25">
      <c r="D181" s="102" t="str">
        <v>Composting</v>
      </c>
      <c r="E181" s="103" t="str">
        <v>Green waste (including crop residues or prunings)</v>
      </c>
      <c r="F181" s="105"/>
      <c r="G181" s="2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5">
        <f t="shared" si="3"/>
        <v>0</v>
      </c>
      <c r="I181" s="25" t="s">
        <v>850</v>
      </c>
      <c r="J181" s="25" t="s">
        <v>560</v>
      </c>
      <c r="K181" s="25" t="s">
        <v>560</v>
      </c>
    </row>
    <row r="182" spans="4:11" ht="20.100000000000001" customHeight="1" x14ac:dyDescent="0.25">
      <c r="D182" s="102" t="str">
        <v>Composting</v>
      </c>
      <c r="E182" s="103" t="str">
        <v>Wood</v>
      </c>
      <c r="F182" s="105"/>
      <c r="G182" s="2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5">
        <f t="shared" si="3"/>
        <v>0</v>
      </c>
      <c r="I182" s="25" t="s">
        <v>850</v>
      </c>
      <c r="J182" s="25" t="s">
        <v>560</v>
      </c>
      <c r="K182" s="25" t="s">
        <v>560</v>
      </c>
    </row>
    <row r="183" spans="4:11" ht="20.100000000000001" customHeight="1" x14ac:dyDescent="0.25">
      <c r="D183" s="102" t="str">
        <v>Composting</v>
      </c>
      <c r="E183" s="103" t="str">
        <v>Sludge</v>
      </c>
      <c r="F183" s="105"/>
      <c r="G183" s="2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5">
        <f t="shared" si="3"/>
        <v>0</v>
      </c>
      <c r="I183" s="25" t="s">
        <v>850</v>
      </c>
      <c r="J183" s="25" t="s">
        <v>560</v>
      </c>
      <c r="K183" s="25" t="s">
        <v>560</v>
      </c>
    </row>
    <row r="184" spans="4:11" ht="20.100000000000001" customHeight="1" x14ac:dyDescent="0.25">
      <c r="D184" s="102" t="str">
        <v>Composting</v>
      </c>
      <c r="E184" s="103" t="str">
        <v>Paper and cardboard</v>
      </c>
      <c r="F184" s="105"/>
      <c r="G184" s="2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5">
        <f t="shared" si="3"/>
        <v>0</v>
      </c>
      <c r="I184" s="25" t="s">
        <v>850</v>
      </c>
      <c r="J184" s="25" t="s">
        <v>560</v>
      </c>
      <c r="K184" s="25" t="s">
        <v>560</v>
      </c>
    </row>
    <row r="185" spans="4:11" ht="20.100000000000001" customHeight="1" x14ac:dyDescent="0.25">
      <c r="D185" s="102" t="str">
        <v>Anaerobic digestion</v>
      </c>
      <c r="E185" s="103" t="str">
        <v>All organic waste</v>
      </c>
      <c r="F185" s="105"/>
      <c r="G185" s="25" t="s">
        <v>560</v>
      </c>
      <c r="H185" s="25" t="str">
        <f t="shared" si="3"/>
        <v>Not used</v>
      </c>
      <c r="I185" s="25">
        <f>SUM(G186:G190)+SUM(H186:H190)</f>
        <v>0</v>
      </c>
      <c r="J185" s="2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5" cm="1">
        <f t="array" ref="K185">WasteSolid_Equations.VEERG_10_1_1_1__1_EmissionsFromWasteManagement(I185, J185)</f>
        <v>0</v>
      </c>
    </row>
    <row r="186" spans="4:11" ht="20.100000000000001" customHeight="1" x14ac:dyDescent="0.25">
      <c r="D186" s="102" t="str">
        <v>Anaerobic digestion</v>
      </c>
      <c r="E186" s="103" t="str">
        <v>Food waste (including animal carcasses, spoiled animal feed or crop)</v>
      </c>
      <c r="F186" s="105"/>
      <c r="G186" s="2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5">
        <f t="shared" si="3"/>
        <v>0</v>
      </c>
      <c r="I186" s="25" t="s">
        <v>850</v>
      </c>
      <c r="J186" s="25" t="s">
        <v>560</v>
      </c>
      <c r="K186" s="25" t="s">
        <v>560</v>
      </c>
    </row>
    <row r="187" spans="4:11" ht="20.100000000000001" customHeight="1" x14ac:dyDescent="0.25">
      <c r="D187" s="102" t="str">
        <v>Anaerobic digestion</v>
      </c>
      <c r="E187" s="103" t="str">
        <v>Green waste (including crop residues or prunings)</v>
      </c>
      <c r="F187" s="105"/>
      <c r="G187" s="2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5">
        <f t="shared" si="3"/>
        <v>0</v>
      </c>
      <c r="I187" s="25" t="s">
        <v>850</v>
      </c>
      <c r="J187" s="25" t="s">
        <v>560</v>
      </c>
      <c r="K187" s="25" t="s">
        <v>560</v>
      </c>
    </row>
    <row r="188" spans="4:11" ht="20.100000000000001" customHeight="1" x14ac:dyDescent="0.25">
      <c r="D188" s="102" t="str">
        <v>Anaerobic digestion</v>
      </c>
      <c r="E188" s="103" t="str">
        <v>Wood</v>
      </c>
      <c r="F188" s="105"/>
      <c r="G188" s="2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5">
        <f t="shared" si="3"/>
        <v>0</v>
      </c>
      <c r="I188" s="25" t="s">
        <v>850</v>
      </c>
      <c r="J188" s="25" t="s">
        <v>560</v>
      </c>
      <c r="K188" s="25" t="s">
        <v>560</v>
      </c>
    </row>
    <row r="189" spans="4:11" ht="20.100000000000001" customHeight="1" x14ac:dyDescent="0.25">
      <c r="D189" s="102" t="str">
        <v>Anaerobic digestion</v>
      </c>
      <c r="E189" s="103" t="str">
        <v>Sludge</v>
      </c>
      <c r="F189" s="105"/>
      <c r="G189" s="2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5">
        <f t="shared" si="3"/>
        <v>0</v>
      </c>
      <c r="I189" s="25" t="s">
        <v>850</v>
      </c>
      <c r="J189" s="25" t="s">
        <v>560</v>
      </c>
      <c r="K189" s="25" t="s">
        <v>560</v>
      </c>
    </row>
    <row r="190" spans="4:11" ht="20.100000000000001" customHeight="1" x14ac:dyDescent="0.25">
      <c r="D190" s="102" t="str">
        <v>Anaerobic digestion</v>
      </c>
      <c r="E190" s="103" t="str">
        <v>Paper and cardboard</v>
      </c>
      <c r="F190" s="105"/>
      <c r="G190" s="2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5">
        <f t="shared" si="3"/>
        <v>0</v>
      </c>
      <c r="I190" s="25" t="s">
        <v>850</v>
      </c>
      <c r="J190" s="25" t="s">
        <v>560</v>
      </c>
      <c r="K190" s="25" t="s">
        <v>560</v>
      </c>
    </row>
    <row r="191" spans="4:11" ht="20.100000000000001" customHeight="1" x14ac:dyDescent="0.25"/>
    <row r="192" spans="4:11" ht="20.100000000000001" customHeight="1" x14ac:dyDescent="0.25">
      <c r="D192" s="115" t="s">
        <v>851</v>
      </c>
      <c r="E192" s="116">
        <f>SUM(K157:K190)</f>
        <v>441.15000000000003</v>
      </c>
      <c r="F192" s="117"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08CFBC00-8A6E-421A-9999-EA67796B00BC}"/>
  </dataValidation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8F4A-54EB-40E3-8043-622898816B42}">
  <sheetPr>
    <tabColor theme="2" tint="-0.499984740745262"/>
  </sheetPr>
  <dimension ref="A1:AI165"/>
  <sheetViews>
    <sheetView showGridLines="0" topLeftCell="A29" workbookViewId="0" zoomScale="100" zoomScaleNormal="100">
      <selection activeCell="A58" sqref="A58"/>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854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WasteSolid_SourceData.Waste_EmissionFactorsForWasteTreatment_Title()</f>
        <v>Emission factors for wastes disposed of at different treatment facilities</v>
      </c>
    </row>
    <row r="6" spans="1:35" ht="20.100000000000001" customHeight="1" x14ac:dyDescent="0.25">
      <c r="D6" s="27" t="str" cm="1">
        <f t="array" ref="D6">WasteSolid_SourceData.Waste_EmissionFactorsForWasteTreatment_Source()</f>
        <v>VEERG 2026: Table A.4.1.1</v>
      </c>
    </row>
    <row r="7" spans="1:35" ht="20.100000000000001" customHeight="1" x14ac:dyDescent="0.25">
      <c r="D7" s="36" t="str" cm="1">
        <f t="array" ref="D7:D13">WasteSolid_SourceData.Waste_EmissionFactorsForWasteTreatment_Variation()</f>
        <v>VARIATION ON SOURCE:</v>
      </c>
    </row>
    <row r="8" spans="1:35" ht="20.100000000000001" customHeight="1" x14ac:dyDescent="0.25">
      <c r="A8" s="7" t="s">
        <v>0</v>
      </c>
      <c r="D8" s="36" t="str">
        <v>Fixed typo 'paper and carboard' to 'paper and cardboard'</v>
      </c>
    </row>
    <row r="9" spans="1:35" ht="20.100000000000001" customHeight="1" x14ac:dyDescent="0.25">
      <c r="A9" s="5" t="str">
        <f>HYPERLINK("#'Input - Enterprise'!A1", "Enterprise")</f>
        <v>Enterprise</v>
      </c>
      <c r="D9" s="36" t="str">
        <v>Fixed typo 'prunnings' to 'prunings'</v>
      </c>
    </row>
    <row r="10" spans="1:35" ht="20.100000000000001" customHeight="1" x14ac:dyDescent="0.25">
      <c r="A10" s="5" t="str">
        <f>HYPERLINK("#'Input - Site'!A1", "Site")</f>
        <v>Site</v>
      </c>
      <c r="D10" s="36" t="str">
        <v>Added EF source column with specific references</v>
      </c>
    </row>
    <row r="11" spans="1:35" ht="20.100000000000001" customHeight="1" x14ac:dyDescent="0.25">
      <c r="A11" s="5" t="str">
        <f>HYPERLINK("#'Input - Pasture Beef'!A1", "Pasture Beef")</f>
        <v>Pasture Beef</v>
      </c>
      <c r="D11" s="36" t="str">
        <v>Added sub-categories for 'Incineration: Food waste, green waste, wood, sludge' in order to use volume to mass conversion factor values</v>
      </c>
    </row>
    <row r="12" spans="1:35" ht="20.100000000000001" customHeight="1" x14ac:dyDescent="0.25">
      <c r="A12" s="5" t="str">
        <f>HYPERLINK("#'Input - Pasture Beef (Enteric)'!A1", "Pasture Beef (Enteric)")</f>
        <v>Pasture Beef (Enteric)</v>
      </c>
      <c r="D12" s="36" t="str">
        <v>Added sub-categories for 'Composting: All organic waste' in order to use volume to mass conversion factor values</v>
      </c>
    </row>
    <row r="13" spans="1:35" ht="20.100000000000001" customHeight="1" x14ac:dyDescent="0.25">
      <c r="A13" s="5" t="str">
        <f>HYPERLINK("#'Input - Livestock sales'!A1", "Livestock sales")</f>
        <v>Livestock sales</v>
      </c>
      <c r="D13" s="36" t="str">
        <v>Added sub-categories for 'Anaerobic digestion: All organic waste' in order to use volume to mass conversion factor values</v>
      </c>
    </row>
    <row r="14" spans="1:35" ht="20.100000000000001" customHeight="1" x14ac:dyDescent="0.25">
      <c r="A14" s="5" t="str">
        <f>HYPERLINK("#'Input - Beef cattle purchases'!A1", "Beef cattle purchases")</f>
        <v>Beef cattle purchases</v>
      </c>
      <c r="D14" s="1" t="str" cm="1">
        <f t="array" ref="D14">WasteSolid_SourceData.Waste_EmissionFactorsForWasteTreatment_Variable()</f>
        <v>EFwt</v>
      </c>
    </row>
    <row r="15" spans="1:35" ht="20.100000000000001" customHeight="1" x14ac:dyDescent="0.25">
      <c r="A15" s="5" t="str">
        <f>HYPERLINK("#'Input - Pasture'!A1", "Pasture")</f>
        <v>Pasture</v>
      </c>
      <c r="D15" s="15" t="str" cm="1">
        <f t="array" ref="D15">WasteSolid_SourceData.Waste_EmissionFactorsForWasteTreatment_Unit()</f>
        <v>t CO2e / t</v>
      </c>
      <c r="I15" s="1" t="s">
        <v>855</v>
      </c>
      <c r="K15" s="1" t="s">
        <v>856</v>
      </c>
      <c r="M15" s="1" t="s">
        <v>857</v>
      </c>
      <c r="O15" s="1" t="s">
        <v>858</v>
      </c>
    </row>
    <row r="16" spans="1:35" ht="20.100000000000001" customHeight="1" x14ac:dyDescent="0.25">
      <c r="A16" s="5" t="str">
        <f>HYPERLINK("#'Input - Fert Prod System'!A1", "Fert Prod System")</f>
        <v>Fert Prod System</v>
      </c>
      <c r="D16" s="30" t="s">
        <v>859</v>
      </c>
      <c r="E16" s="30" t="s">
        <v>860</v>
      </c>
      <c r="F16" s="30" t="s">
        <v>861</v>
      </c>
      <c r="G16" s="30" t="s">
        <v>862</v>
      </c>
      <c r="I16" s="30" t="s">
        <v>860</v>
      </c>
      <c r="K16" s="236" t="s">
        <v>860</v>
      </c>
      <c r="M16" s="236" t="s">
        <v>860</v>
      </c>
      <c r="O16" s="236" t="s">
        <v>860</v>
      </c>
    </row>
    <row r="17" spans="1:15" ht="20.100000000000001" customHeight="1" x14ac:dyDescent="0.25">
      <c r="A17" s="5" t="str">
        <f>HYPERLINK("#'Input - Fertiliser'!A1", "Fertiliser")</f>
        <v>Fertiliser</v>
      </c>
      <c r="D17" s="30" t="str" cm="1">
        <f t="array" ref="D17">Common_InputFunctions.Utility_DisplayArrayInTable(WasteSolid_SourceData.Waste_EmissionFactorsForWasteTreatment_Data(), Table_SourceData_WasteSolid_WasteTreatmentEFs[[#Headers],[Treatment type t]], 0)</f>
        <v>Landfill</v>
      </c>
      <c r="E17" s="3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30" cm="1">
        <f t="array" ref="F17">Common_InputFunctions.Utility_DisplayArrayInTable(WasteSolid_SourceData.Waste_EmissionFactorsForWasteTreatment_Data(), Table_SourceData_WasteSolid_WasteTreatmentEFs[[#Headers],[Treatment type t]], 0)</f>
        <v>2.1</v>
      </c>
      <c r="G17" s="30" t="str" cm="1">
        <f t="array" ref="G17">Common_InputFunctions.Utility_DisplayArrayInTable(WasteSolid_SourceData.Waste_EmissionFactorsForWasteTreatment_Data(), Table_SourceData_WasteSolid_WasteTreatmentEFs[[#Headers],[Treatment type t]], 0)</f>
        <v>NGAF 2025 table 15</v>
      </c>
      <c r="I17" s="3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Fuel'!A1", "Fuel")</f>
        <v>Fuel</v>
      </c>
      <c r="D18" s="1" t="str" cm="1">
        <f t="array" ref="D18">Common_InputFunctions.Utility_DisplayArrayInTable(WasteSolid_SourceData.Waste_EmissionFactorsForWasteTreatment_Data(), Table_SourceData_WasteSolid_WasteTreatmentEFs[[#Headers],[Treatment type t]], 0)</f>
        <v>Landfill</v>
      </c>
      <c r="E18" s="30" t="str" cm="1">
        <f t="array" ref="E18">Common_InputFunctions.Utility_DisplayArrayInTable(WasteSolid_SourceData.Waste_EmissionFactorsForWasteTreatment_Data(), Table_SourceData_WasteSolid_WasteTreatmentEFs[[#Headers],[Treatment type t]], 0)</f>
        <v>Paper and cardboard</v>
      </c>
      <c r="F18" s="30" cm="1">
        <f t="array" ref="F18">Common_InputFunctions.Utility_DisplayArrayInTable(WasteSolid_SourceData.Waste_EmissionFactorsForWasteTreatment_Data(), Table_SourceData_WasteSolid_WasteTreatmentEFs[[#Headers],[Treatment type t]], 0)</f>
        <v>3.3</v>
      </c>
      <c r="G18" s="30" t="str" cm="1">
        <f t="array" ref="G18">Common_InputFunctions.Utility_DisplayArrayInTable(WasteSolid_SourceData.Waste_EmissionFactorsForWasteTreatment_Data(), Table_SourceData_WasteSolid_WasteTreatmentEFs[[#Headers],[Treatment type t]], 0)</f>
        <v>NGAF 2025 table 15</v>
      </c>
      <c r="I18" s="3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Electricity'!A1", "Electricity")</f>
        <v>Electricity</v>
      </c>
      <c r="D19" s="1" t="str" cm="1">
        <f t="array" ref="D19">Common_InputFunctions.Utility_DisplayArrayInTable(WasteSolid_SourceData.Waste_EmissionFactorsForWasteTreatment_Data(), Table_SourceData_WasteSolid_WasteTreatmentEFs[[#Headers],[Treatment type t]], 0)</f>
        <v>Landfill</v>
      </c>
      <c r="E19" s="30" t="str" cm="1">
        <f t="array" ref="E19">Common_InputFunctions.Utility_DisplayArrayInTable(WasteSolid_SourceData.Waste_EmissionFactorsForWasteTreatment_Data(), Table_SourceData_WasteSolid_WasteTreatmentEFs[[#Headers],[Treatment type t]], 0)</f>
        <v>Green waste (including crop residues or prunings)</v>
      </c>
      <c r="F19" s="30" cm="1">
        <f t="array" ref="F19">Common_InputFunctions.Utility_DisplayArrayInTable(WasteSolid_SourceData.Waste_EmissionFactorsForWasteTreatment_Data(), Table_SourceData_WasteSolid_WasteTreatmentEFs[[#Headers],[Treatment type t]], 0)</f>
        <v>1.6</v>
      </c>
      <c r="G19" s="30" t="str" cm="1">
        <f t="array" ref="G19">Common_InputFunctions.Utility_DisplayArrayInTable(WasteSolid_SourceData.Waste_EmissionFactorsForWasteTreatment_Data(), Table_SourceData_WasteSolid_WasteTreatmentEFs[[#Headers],[Treatment type t]], 0)</f>
        <v>NGAF 2025 table 15</v>
      </c>
      <c r="I19" s="3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Farm Inputs'!A1", "Farm Inputs")</f>
        <v>Farm Inputs</v>
      </c>
      <c r="D20" s="1" t="str" cm="1">
        <f t="array" ref="D20">Common_InputFunctions.Utility_DisplayArrayInTable(WasteSolid_SourceData.Waste_EmissionFactorsForWasteTreatment_Data(), Table_SourceData_WasteSolid_WasteTreatmentEFs[[#Headers],[Treatment type t]], 0)</f>
        <v>Landfill</v>
      </c>
      <c r="E20" s="30" t="str" cm="1">
        <f t="array" ref="E20">Common_InputFunctions.Utility_DisplayArrayInTable(WasteSolid_SourceData.Waste_EmissionFactorsForWasteTreatment_Data(), Table_SourceData_WasteSolid_WasteTreatmentEFs[[#Headers],[Treatment type t]], 0)</f>
        <v>Wood</v>
      </c>
      <c r="F20" s="30" cm="1">
        <f t="array" ref="F20">Common_InputFunctions.Utility_DisplayArrayInTable(WasteSolid_SourceData.Waste_EmissionFactorsForWasteTreatment_Data(), Table_SourceData_WasteSolid_WasteTreatmentEFs[[#Headers],[Treatment type t]], 0)</f>
        <v>0.7</v>
      </c>
      <c r="G20" s="30" t="str" cm="1">
        <f t="array" ref="G20">Common_InputFunctions.Utility_DisplayArrayInTable(WasteSolid_SourceData.Waste_EmissionFactorsForWasteTreatment_Data(), Table_SourceData_WasteSolid_WasteTreatmentEFs[[#Headers],[Treatment type t]], 0)</f>
        <v>NGAF 2025 table 15</v>
      </c>
      <c r="I20" s="30"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Freight'!A1", "Freight")</f>
        <v>Freight</v>
      </c>
      <c r="D21" s="1" t="str" cm="1">
        <f t="array" ref="D21">Common_InputFunctions.Utility_DisplayArrayInTable(WasteSolid_SourceData.Waste_EmissionFactorsForWasteTreatment_Data(), Table_SourceData_WasteSolid_WasteTreatmentEFs[[#Headers],[Treatment type t]], 0)</f>
        <v>Landfill</v>
      </c>
      <c r="E21" s="30" t="str" cm="1">
        <f t="array" ref="E21">Common_InputFunctions.Utility_DisplayArrayInTable(WasteSolid_SourceData.Waste_EmissionFactorsForWasteTreatment_Data(), Table_SourceData_WasteSolid_WasteTreatmentEFs[[#Headers],[Treatment type t]], 0)</f>
        <v>Textiles</v>
      </c>
      <c r="F21" s="30" cm="1">
        <f t="array" ref="F21">Common_InputFunctions.Utility_DisplayArrayInTable(WasteSolid_SourceData.Waste_EmissionFactorsForWasteTreatment_Data(), Table_SourceData_WasteSolid_WasteTreatmentEFs[[#Headers],[Treatment type t]], 0)</f>
        <v>2</v>
      </c>
      <c r="G21" s="30" t="str" cm="1">
        <f t="array" ref="G21">Common_InputFunctions.Utility_DisplayArrayInTable(WasteSolid_SourceData.Waste_EmissionFactorsForWasteTreatment_Data(), Table_SourceData_WasteSolid_WasteTreatmentEFs[[#Headers],[Treatment type t]], 0)</f>
        <v>NGAF 2025 table 15</v>
      </c>
      <c r="I21" s="3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Manure sent off-site'!A1", "Manure sent off-site")</f>
        <v>Manure sent off-site</v>
      </c>
      <c r="D22" s="1" t="str" cm="1">
        <f t="array" ref="D22">Common_InputFunctions.Utility_DisplayArrayInTable(WasteSolid_SourceData.Waste_EmissionFactorsForWasteTreatment_Data(), Table_SourceData_WasteSolid_WasteTreatmentEFs[[#Headers],[Treatment type t]], 0)</f>
        <v>Landfill</v>
      </c>
      <c r="E22" s="30" t="str" cm="1">
        <f t="array" ref="E22">Common_InputFunctions.Utility_DisplayArrayInTable(WasteSolid_SourceData.Waste_EmissionFactorsForWasteTreatment_Data(), Table_SourceData_WasteSolid_WasteTreatmentEFs[[#Headers],[Treatment type t]], 0)</f>
        <v>Sludge</v>
      </c>
      <c r="F22" s="30" cm="1">
        <f t="array" ref="F22">Common_InputFunctions.Utility_DisplayArrayInTable(WasteSolid_SourceData.Waste_EmissionFactorsForWasteTreatment_Data(), Table_SourceData_WasteSolid_WasteTreatmentEFs[[#Headers],[Treatment type t]], 0)</f>
        <v>0.4</v>
      </c>
      <c r="G22" s="30" t="str" cm="1">
        <f t="array" ref="G22">Common_InputFunctions.Utility_DisplayArrayInTable(WasteSolid_SourceData.Waste_EmissionFactorsForWasteTreatment_Data(), Table_SourceData_WasteSolid_WasteTreatmentEFs[[#Headers],[Treatment type t]], 0)</f>
        <v>NGAF 2025 table 15</v>
      </c>
      <c r="I22" s="30" t="str">
        <f>Table_SourceData_WasteSolid_WasteTreatmentEFs[[#This Row],[Waste type w]]</f>
        <v>Sludge</v>
      </c>
      <c r="K22" s="1" t="str">
        <f t="shared" si="0"/>
        <v>Textiles</v>
      </c>
    </row>
    <row r="23" spans="1:15" ht="20.100000000000001" customHeight="1" x14ac:dyDescent="0.25">
      <c r="A23" s="5" t="str">
        <f>HYPERLINK("#'Input - Solid waste'!A1", "Solid waste")</f>
        <v>Solid waste</v>
      </c>
      <c r="D23" s="1" t="str" cm="1">
        <f t="array" ref="D23">Common_InputFunctions.Utility_DisplayArrayInTable(WasteSolid_SourceData.Waste_EmissionFactorsForWasteTreatment_Data(), Table_SourceData_WasteSolid_WasteTreatmentEFs[[#Headers],[Treatment type t]], 0)</f>
        <v>Landfill</v>
      </c>
      <c r="E23" s="30" t="str" cm="1">
        <f t="array" ref="E23">Common_InputFunctions.Utility_DisplayArrayInTable(WasteSolid_SourceData.Waste_EmissionFactorsForWasteTreatment_Data(), Table_SourceData_WasteSolid_WasteTreatmentEFs[[#Headers],[Treatment type t]], 0)</f>
        <v>Rubber and leather</v>
      </c>
      <c r="F23" s="30" cm="1">
        <f t="array" ref="F23">Common_InputFunctions.Utility_DisplayArrayInTable(WasteSolid_SourceData.Waste_EmissionFactorsForWasteTreatment_Data(), Table_SourceData_WasteSolid_WasteTreatmentEFs[[#Headers],[Treatment type t]], 0)</f>
        <v>3.3</v>
      </c>
      <c r="G23" s="30" t="str" cm="1">
        <f t="array" ref="G23">Common_InputFunctions.Utility_DisplayArrayInTable(WasteSolid_SourceData.Waste_EmissionFactorsForWasteTreatment_Data(), Table_SourceData_WasteSolid_WasteTreatmentEFs[[#Headers],[Treatment type t]], 0)</f>
        <v>NGAF 2025 table 15</v>
      </c>
      <c r="I23" s="30" t="str">
        <f>Table_SourceData_WasteSolid_WasteTreatmentEFs[[#This Row],[Waste type w]]</f>
        <v>Rubber and leather</v>
      </c>
      <c r="K23" s="1" t="str">
        <f t="shared" si="0"/>
        <v>Rubber and leather</v>
      </c>
    </row>
    <row r="24" spans="1:15" ht="20.100000000000001" customHeight="1" x14ac:dyDescent="0.25">
      <c r="D24" s="1" t="str" cm="1">
        <f t="array" ref="D24">Common_InputFunctions.Utility_DisplayArrayInTable(WasteSolid_SourceData.Waste_EmissionFactorsForWasteTreatment_Data(), Table_SourceData_WasteSolid_WasteTreatmentEFs[[#Headers],[Treatment type t]], 0)</f>
        <v>Landfill</v>
      </c>
      <c r="E24" s="30" t="str" cm="1">
        <f t="array" ref="E24">Common_InputFunctions.Utility_DisplayArrayInTable(WasteSolid_SourceData.Waste_EmissionFactorsForWasteTreatment_Data(), Table_SourceData_WasteSolid_WasteTreatmentEFs[[#Headers],[Treatment type t]], 0)</f>
        <v>Inert waste (including concrete, metal, plastic or glass)</v>
      </c>
      <c r="F24" s="30" cm="1">
        <f t="array" ref="F24">Common_InputFunctions.Utility_DisplayArrayInTable(WasteSolid_SourceData.Waste_EmissionFactorsForWasteTreatment_Data(), Table_SourceData_WasteSolid_WasteTreatmentEFs[[#Headers],[Treatment type t]], 0)</f>
        <v>0</v>
      </c>
      <c r="G24" s="30" t="str" cm="1">
        <f t="array" ref="G24">Common_InputFunctions.Utility_DisplayArrayInTable(WasteSolid_SourceData.Waste_EmissionFactorsForWasteTreatment_Data(), Table_SourceData_WasteSolid_WasteTreatmentEFs[[#Headers],[Treatment type t]], 0)</f>
        <v>NGAF 2025 table 15</v>
      </c>
      <c r="I24" s="3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D25" s="1" t="str" cm="1">
        <f t="array" ref="D25">Common_InputFunctions.Utility_DisplayArrayInTable(WasteSolid_SourceData.Waste_EmissionFactorsForWasteTreatment_Data(), Table_SourceData_WasteSolid_WasteTreatmentEFs[[#Headers],[Treatment type t]], 0)</f>
        <v>Landfill</v>
      </c>
      <c r="E25" s="30" t="str" cm="1">
        <f t="array" ref="E25">Common_InputFunctions.Utility_DisplayArrayInTable(WasteSolid_SourceData.Waste_EmissionFactorsForWasteTreatment_Data(), Table_SourceData_WasteSolid_WasteTreatmentEFs[[#Headers],[Treatment type t]], 0)</f>
        <v>Municipal solid waste</v>
      </c>
      <c r="F25" s="30" cm="1">
        <f t="array" ref="F25">Common_InputFunctions.Utility_DisplayArrayInTable(WasteSolid_SourceData.Waste_EmissionFactorsForWasteTreatment_Data(), Table_SourceData_WasteSolid_WasteTreatmentEFs[[#Headers],[Treatment type t]], 0)</f>
        <v>1.6</v>
      </c>
      <c r="G25" s="30" t="str" cm="1">
        <f t="array" ref="G25">Common_InputFunctions.Utility_DisplayArrayInTable(WasteSolid_SourceData.Waste_EmissionFactorsForWasteTreatment_Data(), Table_SourceData_WasteSolid_WasteTreatmentEFs[[#Headers],[Treatment type t]], 0)</f>
        <v>NGAF 2025 table 15</v>
      </c>
      <c r="I25" s="30" t="str">
        <f>Table_SourceData_WasteSolid_WasteTreatmentEFs[[#This Row],[Waste type w]]</f>
        <v>Municipal solid waste</v>
      </c>
      <c r="K25" s="1" t="str">
        <f t="shared" si="0"/>
        <v>Municipal solid waste</v>
      </c>
    </row>
    <row r="26" spans="1:15" ht="20.100000000000001" customHeight="1" x14ac:dyDescent="0.25">
      <c r="A26" s="6" t="s">
        <v>2</v>
      </c>
      <c r="D26" s="1" t="str" cm="1">
        <f t="array" ref="D26">Common_InputFunctions.Utility_DisplayArrayInTable(WasteSolid_SourceData.Waste_EmissionFactorsForWasteTreatment_Data(), Table_SourceData_WasteSolid_WasteTreatmentEFs[[#Headers],[Treatment type t]], 0)</f>
        <v>Landfill</v>
      </c>
      <c r="E26" s="30" t="str" cm="1">
        <f t="array" ref="E26">Common_InputFunctions.Utility_DisplayArrayInTable(WasteSolid_SourceData.Waste_EmissionFactorsForWasteTreatment_Data(), Table_SourceData_WasteSolid_WasteTreatmentEFs[[#Headers],[Treatment type t]], 0)</f>
        <v>Commercial and industrial waste</v>
      </c>
      <c r="F26" s="30" cm="1">
        <f t="array" ref="F26">Common_InputFunctions.Utility_DisplayArrayInTable(WasteSolid_SourceData.Waste_EmissionFactorsForWasteTreatment_Data(), Table_SourceData_WasteSolid_WasteTreatmentEFs[[#Headers],[Treatment type t]], 0)</f>
        <v>1.3</v>
      </c>
      <c r="G26" s="30" t="str" cm="1">
        <f t="array" ref="G26">Common_InputFunctions.Utility_DisplayArrayInTable(WasteSolid_SourceData.Waste_EmissionFactorsForWasteTreatment_Data(), Table_SourceData_WasteSolid_WasteTreatmentEFs[[#Headers],[Treatment type t]], 0)</f>
        <v>NGAF 2025 table 15</v>
      </c>
      <c r="I26" s="30" t="str">
        <f>Table_SourceData_WasteSolid_WasteTreatmentEFs[[#This Row],[Waste type w]]</f>
        <v>Commercial and industrial waste</v>
      </c>
      <c r="K26" s="1" t="str">
        <f t="shared" si="0"/>
        <v>Commercial and industrial waste</v>
      </c>
    </row>
    <row r="27" spans="1:15" ht="20.100000000000001" customHeight="1" x14ac:dyDescent="0.25">
      <c r="A27" s="5" t="str">
        <f>HYPERLINK("#'3.2.1.1-2 Enteric Methane'!A1", "3.2.1.1-2 Enteric methane")</f>
        <v>3.2.1.1-2 Enteric methane</v>
      </c>
      <c r="D27" s="1" t="str" cm="1">
        <f t="array" ref="D27">Common_InputFunctions.Utility_DisplayArrayInTable(WasteSolid_SourceData.Waste_EmissionFactorsForWasteTreatment_Data(), Table_SourceData_WasteSolid_WasteTreatmentEFs[[#Headers],[Treatment type t]], 0)</f>
        <v>Landfill</v>
      </c>
      <c r="E27" s="30" t="str" cm="1">
        <f t="array" ref="E27">Common_InputFunctions.Utility_DisplayArrayInTable(WasteSolid_SourceData.Waste_EmissionFactorsForWasteTreatment_Data(), Table_SourceData_WasteSolid_WasteTreatmentEFs[[#Headers],[Treatment type t]], 0)</f>
        <v>Construction and demolition waste</v>
      </c>
      <c r="F27" s="30" cm="1">
        <f t="array" ref="F27">Common_InputFunctions.Utility_DisplayArrayInTable(WasteSolid_SourceData.Waste_EmissionFactorsForWasteTreatment_Data(), Table_SourceData_WasteSolid_WasteTreatmentEFs[[#Headers],[Treatment type t]], 0)</f>
        <v>0.2</v>
      </c>
      <c r="G27" s="30" t="str" cm="1">
        <f t="array" ref="G27">Common_InputFunctions.Utility_DisplayArrayInTable(WasteSolid_SourceData.Waste_EmissionFactorsForWasteTreatment_Data(), Table_SourceData_WasteSolid_WasteTreatmentEFs[[#Headers],[Treatment type t]], 0)</f>
        <v>NGAF 2025 table 15</v>
      </c>
      <c r="I27" s="30" t="str">
        <f>Table_SourceData_WasteSolid_WasteTreatmentEFs[[#This Row],[Waste type w]]</f>
        <v>Construction and demolition waste</v>
      </c>
    </row>
    <row r="28" spans="1:15" ht="20.100000000000001" customHeight="1" x14ac:dyDescent="0.25">
      <c r="A28" s="5" t="str">
        <f>HYPERLINK("#'4.2.1.1-2 Methane'!A1", "4.2.1.1-2 Manure methane")</f>
        <v>4.2.1.1-2 Manure methane</v>
      </c>
      <c r="D28" s="1" t="str" cm="1">
        <f t="array" ref="D28">Common_InputFunctions.Utility_DisplayArrayInTable(WasteSolid_SourceData.Waste_EmissionFactorsForWasteTreatment_Data(), Table_SourceData_WasteSolid_WasteTreatmentEFs[[#Headers],[Treatment type t]], 0)</f>
        <v>Incineration</v>
      </c>
      <c r="E28" s="30" t="str" cm="1">
        <f t="array" ref="E28">Common_InputFunctions.Utility_DisplayArrayInTable(WasteSolid_SourceData.Waste_EmissionFactorsForWasteTreatment_Data(), Table_SourceData_WasteSolid_WasteTreatmentEFs[[#Headers],[Treatment type t]], 0)</f>
        <v>Food waste, green waste, wood, sludge</v>
      </c>
      <c r="F28" s="30" cm="1">
        <f t="array" ref="F28">Common_InputFunctions.Utility_DisplayArrayInTable(WasteSolid_SourceData.Waste_EmissionFactorsForWasteTreatment_Data(), Table_SourceData_WasteSolid_WasteTreatmentEFs[[#Headers],[Treatment type t]], 0)</f>
        <v>0</v>
      </c>
      <c r="G28" s="3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HYPERLINK("#'4.2.1.3-4 Soil direct N20'!A1", "4.2.1.3-4 Soil direct N2O")</f>
        <v>4.2.1.3-4 Soil direct N2O</v>
      </c>
      <c r="D29" s="1" t="str" cm="1">
        <f t="array" ref="D29">Common_InputFunctions.Utility_DisplayArrayInTable(WasteSolid_SourceData.Waste_EmissionFactorsForWasteTreatment_Data(), Table_SourceData_WasteSolid_WasteTreatmentEFs[[#Headers],[Treatment type t]], 0)</f>
        <v>Incineration</v>
      </c>
      <c r="E29" s="3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30" cm="1">
        <f t="array" ref="F29">Common_InputFunctions.Utility_DisplayArrayInTable(WasteSolid_SourceData.Waste_EmissionFactorsForWasteTreatment_Data(), Table_SourceData_WasteSolid_WasteTreatmentEFs[[#Headers],[Treatment type t]], 0)</f>
        <v>0</v>
      </c>
      <c r="G29" s="3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HYPERLINK("#'4.2.1.5-6 Soil Atmos Dep'!A1", "4.2.1.5-6 Soil atm. deposition")</f>
        <v>4.2.1.5-6 Soil atm. deposition</v>
      </c>
      <c r="D30" s="1" t="str" cm="1">
        <f t="array" ref="D30">Common_InputFunctions.Utility_DisplayArrayInTable(WasteSolid_SourceData.Waste_EmissionFactorsForWasteTreatment_Data(), Table_SourceData_WasteSolid_WasteTreatmentEFs[[#Headers],[Treatment type t]], 0)</f>
        <v>Incineration</v>
      </c>
      <c r="E30" s="30" t="str" cm="1">
        <f t="array" ref="E30">Common_InputFunctions.Utility_DisplayArrayInTable(WasteSolid_SourceData.Waste_EmissionFactorsForWasteTreatment_Data(), Table_SourceData_WasteSolid_WasteTreatmentEFs[[#Headers],[Treatment type t]], 0)</f>
        <v>Green waste (including crop residues or prunings)</v>
      </c>
      <c r="F30" s="30" cm="1">
        <f t="array" ref="F30">Common_InputFunctions.Utility_DisplayArrayInTable(WasteSolid_SourceData.Waste_EmissionFactorsForWasteTreatment_Data(), Table_SourceData_WasteSolid_WasteTreatmentEFs[[#Headers],[Treatment type t]], 0)</f>
        <v>0</v>
      </c>
      <c r="G30" s="3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HYPERLINK("#'4.2.1.7-8 Soil leach runoff'!A1", "4.2.1.7-8 Soil leach &amp; runoff")</f>
        <v>4.2.1.7-8 Soil leach &amp; runoff</v>
      </c>
      <c r="D31" s="1" t="str" cm="1">
        <f t="array" ref="D31">Common_InputFunctions.Utility_DisplayArrayInTable(WasteSolid_SourceData.Waste_EmissionFactorsForWasteTreatment_Data(), Table_SourceData_WasteSolid_WasteTreatmentEFs[[#Headers],[Treatment type t]], 0)</f>
        <v>Incineration</v>
      </c>
      <c r="E31" s="30" t="str" cm="1">
        <f t="array" ref="E31">Common_InputFunctions.Utility_DisplayArrayInTable(WasteSolid_SourceData.Waste_EmissionFactorsForWasteTreatment_Data(), Table_SourceData_WasteSolid_WasteTreatmentEFs[[#Headers],[Treatment type t]], 0)</f>
        <v>Wood</v>
      </c>
      <c r="F31" s="30" cm="1">
        <f t="array" ref="F31">Common_InputFunctions.Utility_DisplayArrayInTable(WasteSolid_SourceData.Waste_EmissionFactorsForWasteTreatment_Data(), Table_SourceData_WasteSolid_WasteTreatmentEFs[[#Headers],[Treatment type t]], 0)</f>
        <v>0</v>
      </c>
      <c r="G31" s="3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HYPERLINK("#'5.1.1.1-2 Inorganic fert N2O'!A1", "5.1.1.1-2 Inorganic fert N2O")</f>
        <v>5.1.1.1-2 Inorganic fert N2O</v>
      </c>
      <c r="D32" s="1" t="str" cm="1">
        <f t="array" ref="D32">Common_InputFunctions.Utility_DisplayArrayInTable(WasteSolid_SourceData.Waste_EmissionFactorsForWasteTreatment_Data(), Table_SourceData_WasteSolid_WasteTreatmentEFs[[#Headers],[Treatment type t]], 0)</f>
        <v>Incineration</v>
      </c>
      <c r="E32" s="30" t="str" cm="1">
        <f t="array" ref="E32">Common_InputFunctions.Utility_DisplayArrayInTable(WasteSolid_SourceData.Waste_EmissionFactorsForWasteTreatment_Data(), Table_SourceData_WasteSolid_WasteTreatmentEFs[[#Headers],[Treatment type t]], 0)</f>
        <v>Sludge</v>
      </c>
      <c r="F32" s="30" cm="1">
        <f t="array" ref="F32">Common_InputFunctions.Utility_DisplayArrayInTable(WasteSolid_SourceData.Waste_EmissionFactorsForWasteTreatment_Data(), Table_SourceData_WasteSolid_WasteTreatmentEFs[[#Headers],[Treatment type t]], 0)</f>
        <v>0</v>
      </c>
      <c r="G32" s="3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HYPERLINK("#'5.1.1.3-4 Inorganic fert CO2'!A1", "5.1.1.3-4 Inorganic fert CO2")</f>
        <v>5.1.1.3-4 Inorganic fert CO2</v>
      </c>
      <c r="D33" s="1" t="str" cm="1">
        <f t="array" ref="D33">Common_InputFunctions.Utility_DisplayArrayInTable(WasteSolid_SourceData.Waste_EmissionFactorsForWasteTreatment_Data(), Table_SourceData_WasteSolid_WasteTreatmentEFs[[#Headers],[Treatment type t]], 0)</f>
        <v>Incineration</v>
      </c>
      <c r="E33" s="30" t="str" cm="1">
        <f t="array" ref="E33">Common_InputFunctions.Utility_DisplayArrayInTable(WasteSolid_SourceData.Waste_EmissionFactorsForWasteTreatment_Data(), Table_SourceData_WasteSolid_WasteTreatmentEFs[[#Headers],[Treatment type t]], 0)</f>
        <v>Paper and cardboard</v>
      </c>
      <c r="F33" s="30" cm="1">
        <f t="array" ref="F33">Common_InputFunctions.Utility_DisplayArrayInTable(WasteSolid_SourceData.Waste_EmissionFactorsForWasteTreatment_Data(), Table_SourceData_WasteSolid_WasteTreatmentEFs[[#Headers],[Treatment type t]], 0)</f>
        <v>1.6899999999999998E-2</v>
      </c>
      <c r="G33" s="3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HYPERLINK("#'5.2.1.1-2 Organic Fert N2O'!A1", "5.2.1.1-2 Organic fert N2O")</f>
        <v>5.2.1.1-2 Organic fert N2O</v>
      </c>
      <c r="D34" s="1" t="str" cm="1">
        <f t="array" ref="D34">Common_InputFunctions.Utility_DisplayArrayInTable(WasteSolid_SourceData.Waste_EmissionFactorsForWasteTreatment_Data(), Table_SourceData_WasteSolid_WasteTreatmentEFs[[#Headers],[Treatment type t]], 0)</f>
        <v>Incineration</v>
      </c>
      <c r="E34" s="30" t="str" cm="1">
        <f t="array" ref="E34">Common_InputFunctions.Utility_DisplayArrayInTable(WasteSolid_SourceData.Waste_EmissionFactorsForWasteTreatment_Data(), Table_SourceData_WasteSolid_WasteTreatmentEFs[[#Headers],[Treatment type t]], 0)</f>
        <v>Textiles</v>
      </c>
      <c r="F34" s="30" cm="1">
        <f t="array" ref="F34">Common_InputFunctions.Utility_DisplayArrayInTable(WasteSolid_SourceData.Waste_EmissionFactorsForWasteTreatment_Data(), Table_SourceData_WasteSolid_WasteTreatmentEFs[[#Headers],[Treatment type t]], 0)</f>
        <v>0.36670000000000003</v>
      </c>
      <c r="G34" s="3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HYPERLINK("#'5.3.1.1-2 Lime CO2'!A1", "5.3.1.1-2 Lime CO2")</f>
        <v>5.3.1.1-2 Lime CO2</v>
      </c>
      <c r="D35" s="1" t="str" cm="1">
        <f t="array" ref="D35">Common_InputFunctions.Utility_DisplayArrayInTable(WasteSolid_SourceData.Waste_EmissionFactorsForWasteTreatment_Data(), Table_SourceData_WasteSolid_WasteTreatmentEFs[[#Headers],[Treatment type t]], 0)</f>
        <v>Incineration</v>
      </c>
      <c r="E35" s="30" t="str" cm="1">
        <f t="array" ref="E35">Common_InputFunctions.Utility_DisplayArrayInTable(WasteSolid_SourceData.Waste_EmissionFactorsForWasteTreatment_Data(), Table_SourceData_WasteSolid_WasteTreatmentEFs[[#Headers],[Treatment type t]], 0)</f>
        <v>Rubber and leather</v>
      </c>
      <c r="F35" s="30" cm="1">
        <f t="array" ref="F35">Common_InputFunctions.Utility_DisplayArrayInTable(WasteSolid_SourceData.Waste_EmissionFactorsForWasteTreatment_Data(), Table_SourceData_WasteSolid_WasteTreatmentEFs[[#Headers],[Treatment type t]], 0)</f>
        <v>0.4919</v>
      </c>
      <c r="G35" s="3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HYPERLINK("#'5.4.1.1-4 Atmos deposition'!A1", "5.4.1.1-4 Atmos. deposition")</f>
        <v>5.4.1.1-4 Atmos. deposition</v>
      </c>
      <c r="D36" s="1" t="str" cm="1">
        <f t="array" ref="D36">Common_InputFunctions.Utility_DisplayArrayInTable(WasteSolid_SourceData.Waste_EmissionFactorsForWasteTreatment_Data(), Table_SourceData_WasteSolid_WasteTreatmentEFs[[#Headers],[Treatment type t]], 0)</f>
        <v>Incineration</v>
      </c>
      <c r="E36" s="30" t="str" cm="1">
        <f t="array" ref="E36">Common_InputFunctions.Utility_DisplayArrayInTable(WasteSolid_SourceData.Waste_EmissionFactorsForWasteTreatment_Data(), Table_SourceData_WasteSolid_WasteTreatmentEFs[[#Headers],[Treatment type t]], 0)</f>
        <v>Inert waste (including concrete, metal, plastic or glass)</v>
      </c>
      <c r="F36" s="30" cm="1">
        <f t="array" ref="F36">Common_InputFunctions.Utility_DisplayArrayInTable(WasteSolid_SourceData.Waste_EmissionFactorsForWasteTreatment_Data(), Table_SourceData_WasteSolid_WasteTreatmentEFs[[#Headers],[Treatment type t]], 0)</f>
        <v>0.11</v>
      </c>
      <c r="G36" s="3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HYPERLINK("#'5.5.1.1-2 Leaching and runoff'!A1", "5.5.1.1-2 Leaching &amp; runoff")</f>
        <v>5.5.1.1-2 Leaching &amp; runoff</v>
      </c>
      <c r="D37" s="1" t="str" cm="1">
        <f t="array" ref="D37">Common_InputFunctions.Utility_DisplayArrayInTable(WasteSolid_SourceData.Waste_EmissionFactorsForWasteTreatment_Data(), Table_SourceData_WasteSolid_WasteTreatmentEFs[[#Headers],[Treatment type t]], 0)</f>
        <v>Incineration</v>
      </c>
      <c r="E37" s="30" t="str" cm="1">
        <f t="array" ref="E37">Common_InputFunctions.Utility_DisplayArrayInTable(WasteSolid_SourceData.Waste_EmissionFactorsForWasteTreatment_Data(), Table_SourceData_WasteSolid_WasteTreatmentEFs[[#Headers],[Treatment type t]], 0)</f>
        <v>Municipal solid waste</v>
      </c>
      <c r="F37" s="30" cm="1">
        <f t="array" ref="F37">Common_InputFunctions.Utility_DisplayArrayInTable(WasteSolid_SourceData.Waste_EmissionFactorsForWasteTreatment_Data(), Table_SourceData_WasteSolid_WasteTreatmentEFs[[#Headers],[Treatment type t]], 0)</f>
        <v>5.3699999999999998E-2</v>
      </c>
      <c r="G37" s="237"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HYPERLINK("#'6.2.1.1-2 Pasture residue N2O'!A1", "6.2.1.1-2 Pasture residue N2O")</f>
        <v>6.2.1.1-2 Pasture residue N2O</v>
      </c>
      <c r="D38" s="1" t="str" cm="1">
        <f t="array" ref="D38">Common_InputFunctions.Utility_DisplayArrayInTable(WasteSolid_SourceData.Waste_EmissionFactorsForWasteTreatment_Data(), Table_SourceData_WasteSolid_WasteTreatmentEFs[[#Headers],[Treatment type t]], 0)</f>
        <v>Incineration</v>
      </c>
      <c r="E38" s="30" t="str" cm="1">
        <f t="array" ref="E38">Common_InputFunctions.Utility_DisplayArrayInTable(WasteSolid_SourceData.Waste_EmissionFactorsForWasteTreatment_Data(), Table_SourceData_WasteSolid_WasteTreatmentEFs[[#Headers],[Treatment type t]], 0)</f>
        <v>Commercial and industrial waste</v>
      </c>
      <c r="F38" s="30" cm="1">
        <f t="array" ref="F38">Common_InputFunctions.Utility_DisplayArrayInTable(WasteSolid_SourceData.Waste_EmissionFactorsForWasteTreatment_Data(), Table_SourceData_WasteSolid_WasteTreatmentEFs[[#Headers],[Treatment type t]], 0)</f>
        <v>1.649</v>
      </c>
      <c r="G38" s="237"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HYPERLINK("#'6.3.1.1-2 Leach runoff pasture'!A1", "6.3.1.1-2 Leach &amp; runoff (pasture)")</f>
        <v>6.3.1.1-2 Leach &amp; runoff (pasture)</v>
      </c>
      <c r="D39" s="1" t="str" cm="1">
        <f t="array" ref="D39">Common_InputFunctions.Utility_DisplayArrayInTable(WasteSolid_SourceData.Waste_EmissionFactorsForWasteTreatment_Data(), Table_SourceData_WasteSolid_WasteTreatmentEFs[[#Headers],[Treatment type t]], 0)</f>
        <v>Composting</v>
      </c>
      <c r="E39" s="30" t="str" cm="1">
        <f t="array" ref="E39">Common_InputFunctions.Utility_DisplayArrayInTable(WasteSolid_SourceData.Waste_EmissionFactorsForWasteTreatment_Data(), Table_SourceData_WasteSolid_WasteTreatmentEFs[[#Headers],[Treatment type t]], 0)</f>
        <v>All organic waste</v>
      </c>
      <c r="F39" s="30" cm="1">
        <f t="array" ref="F39">Common_InputFunctions.Utility_DisplayArrayInTable(WasteSolid_SourceData.Waste_EmissionFactorsForWasteTreatment_Data(), Table_SourceData_WasteSolid_WasteTreatmentEFs[[#Headers],[Treatment type t]], 0)</f>
        <v>4.5999999999999999E-2</v>
      </c>
      <c r="G39" s="237"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HYPERLINK("#'8.1.1.1-2 Transport fuel'!A1", "8.1.1.1-2 Transport fuel")</f>
        <v>8.1.1.1-2 Transport fuel</v>
      </c>
      <c r="D40" s="1" t="str" cm="1">
        <f t="array" ref="D40">Common_InputFunctions.Utility_DisplayArrayInTable(WasteSolid_SourceData.Waste_EmissionFactorsForWasteTreatment_Data(), Table_SourceData_WasteSolid_WasteTreatmentEFs[[#Headers],[Treatment type t]], 0)</f>
        <v>Composting</v>
      </c>
      <c r="E40" s="3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30" cm="1">
        <f t="array" ref="F40">Common_InputFunctions.Utility_DisplayArrayInTable(WasteSolid_SourceData.Waste_EmissionFactorsForWasteTreatment_Data(), Table_SourceData_WasteSolid_WasteTreatmentEFs[[#Headers],[Treatment type t]], 0)</f>
        <v>4.5999999999999999E-2</v>
      </c>
      <c r="G40" s="237"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HYPERLINK("#'8.2.1.1-2 Stationary fuel'!A1", "8.2.1.1-2 Stationary fuel")</f>
        <v>8.2.1.1-2 Stationary fuel</v>
      </c>
      <c r="D41" s="1" t="str" cm="1">
        <f t="array" ref="D41">Common_InputFunctions.Utility_DisplayArrayInTable(WasteSolid_SourceData.Waste_EmissionFactorsForWasteTreatment_Data(), Table_SourceData_WasteSolid_WasteTreatmentEFs[[#Headers],[Treatment type t]], 0)</f>
        <v>Composting</v>
      </c>
      <c r="E41" s="30" t="str" cm="1">
        <f t="array" ref="E41">Common_InputFunctions.Utility_DisplayArrayInTable(WasteSolid_SourceData.Waste_EmissionFactorsForWasteTreatment_Data(), Table_SourceData_WasteSolid_WasteTreatmentEFs[[#Headers],[Treatment type t]], 0)</f>
        <v>Green waste (including crop residues or prunings)</v>
      </c>
      <c r="F41" s="30" cm="1">
        <f t="array" ref="F41">Common_InputFunctions.Utility_DisplayArrayInTable(WasteSolid_SourceData.Waste_EmissionFactorsForWasteTreatment_Data(), Table_SourceData_WasteSolid_WasteTreatmentEFs[[#Headers],[Treatment type t]], 0)</f>
        <v>4.5999999999999999E-2</v>
      </c>
      <c r="G41" s="237"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HYPERLINK("#'14.1.1-2 Purchased electricity'!A1", "14.1.1-2 Purchased electricity")</f>
        <v>14.1.1-2 Purchased electricity</v>
      </c>
      <c r="D42" s="1" t="str" cm="1">
        <f t="array" ref="D42">Common_InputFunctions.Utility_DisplayArrayInTable(WasteSolid_SourceData.Waste_EmissionFactorsForWasteTreatment_Data(), Table_SourceData_WasteSolid_WasteTreatmentEFs[[#Headers],[Treatment type t]], 0)</f>
        <v>Composting</v>
      </c>
      <c r="E42" s="30" t="str" cm="1">
        <f t="array" ref="E42">Common_InputFunctions.Utility_DisplayArrayInTable(WasteSolid_SourceData.Waste_EmissionFactorsForWasteTreatment_Data(), Table_SourceData_WasteSolid_WasteTreatmentEFs[[#Headers],[Treatment type t]], 0)</f>
        <v>Wood</v>
      </c>
      <c r="F42" s="30" cm="1">
        <f t="array" ref="F42">Common_InputFunctions.Utility_DisplayArrayInTable(WasteSolid_SourceData.Waste_EmissionFactorsForWasteTreatment_Data(), Table_SourceData_WasteSolid_WasteTreatmentEFs[[#Headers],[Treatment type t]], 0)</f>
        <v>4.5999999999999999E-2</v>
      </c>
      <c r="G42" s="237"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HYPERLINK("#'15 Scope 3'!A1", "15 Scope 3")</f>
        <v>15 Scope 3</v>
      </c>
      <c r="D43" s="1" t="str" cm="1">
        <f t="array" ref="D43">Common_InputFunctions.Utility_DisplayArrayInTable(WasteSolid_SourceData.Waste_EmissionFactorsForWasteTreatment_Data(), Table_SourceData_WasteSolid_WasteTreatmentEFs[[#Headers],[Treatment type t]], 0)</f>
        <v>Composting</v>
      </c>
      <c r="E43" s="30" t="str" cm="1">
        <f t="array" ref="E43">Common_InputFunctions.Utility_DisplayArrayInTable(WasteSolid_SourceData.Waste_EmissionFactorsForWasteTreatment_Data(), Table_SourceData_WasteSolid_WasteTreatmentEFs[[#Headers],[Treatment type t]], 0)</f>
        <v>Sludge</v>
      </c>
      <c r="F43" s="30" cm="1">
        <f t="array" ref="F43">Common_InputFunctions.Utility_DisplayArrayInTable(WasteSolid_SourceData.Waste_EmissionFactorsForWasteTreatment_Data(), Table_SourceData_WasteSolid_WasteTreatmentEFs[[#Headers],[Treatment type t]], 0)</f>
        <v>4.5999999999999999E-2</v>
      </c>
      <c r="G43" s="237"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HYPERLINK("#'Calcs - Manure sent off-site'!A1", "Calcs - Manure sent off-site")</f>
        <v>Calcs - Manure sent off-site</v>
      </c>
      <c r="D44" s="1" t="str" cm="1">
        <f t="array" ref="D44">Common_InputFunctions.Utility_DisplayArrayInTable(WasteSolid_SourceData.Waste_EmissionFactorsForWasteTreatment_Data(), Table_SourceData_WasteSolid_WasteTreatmentEFs[[#Headers],[Treatment type t]], 0)</f>
        <v>Composting</v>
      </c>
      <c r="E44" s="30" t="str" cm="1">
        <f t="array" ref="E44">Common_InputFunctions.Utility_DisplayArrayInTable(WasteSolid_SourceData.Waste_EmissionFactorsForWasteTreatment_Data(), Table_SourceData_WasteSolid_WasteTreatmentEFs[[#Headers],[Treatment type t]], 0)</f>
        <v>Paper and cardboard</v>
      </c>
      <c r="F44" s="30" cm="1">
        <f t="array" ref="F44">Common_InputFunctions.Utility_DisplayArrayInTable(WasteSolid_SourceData.Waste_EmissionFactorsForWasteTreatment_Data(), Table_SourceData_WasteSolid_WasteTreatmentEFs[[#Headers],[Treatment type t]], 0)</f>
        <v>4.5999999999999999E-2</v>
      </c>
      <c r="G44" s="237"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HYPERLINK("#'10.1.1-2 Solid waste treatment'!A1", "10.1.1-2 Solid waste treatment")</f>
        <v>10.1.1-2 Solid waste treatment</v>
      </c>
      <c r="D45" s="1" t="str" cm="1">
        <f t="array" ref="D45">Common_InputFunctions.Utility_DisplayArrayInTable(WasteSolid_SourceData.Waste_EmissionFactorsForWasteTreatment_Data(), Table_SourceData_WasteSolid_WasteTreatmentEFs[[#Headers],[Treatment type t]], 0)</f>
        <v>Anaerobic digestion</v>
      </c>
      <c r="E45" s="30" t="str" cm="1">
        <f t="array" ref="E45">Common_InputFunctions.Utility_DisplayArrayInTable(WasteSolid_SourceData.Waste_EmissionFactorsForWasteTreatment_Data(), Table_SourceData_WasteSolid_WasteTreatmentEFs[[#Headers],[Treatment type t]], 0)</f>
        <v>All organic waste</v>
      </c>
      <c r="F45" s="30" cm="1">
        <f t="array" ref="F45">Common_InputFunctions.Utility_DisplayArrayInTable(WasteSolid_SourceData.Waste_EmissionFactorsForWasteTreatment_Data(), Table_SourceData_WasteSolid_WasteTreatmentEFs[[#Headers],[Treatment type t]], 0)</f>
        <v>2.8000000000000001E-2</v>
      </c>
      <c r="G45" s="237"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1" t="str" cm="1">
        <f t="array" ref="D46">Common_InputFunctions.Utility_DisplayArrayInTable(WasteSolid_SourceData.Waste_EmissionFactorsForWasteTreatment_Data(), Table_SourceData_WasteSolid_WasteTreatmentEFs[[#Headers],[Treatment type t]], 0)</f>
        <v>Anaerobic digestion</v>
      </c>
      <c r="E46" s="3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30" cm="1">
        <f t="array" ref="F46">Common_InputFunctions.Utility_DisplayArrayInTable(WasteSolid_SourceData.Waste_EmissionFactorsForWasteTreatment_Data(), Table_SourceData_WasteSolid_WasteTreatmentEFs[[#Headers],[Treatment type t]], 0)</f>
        <v>2.8000000000000001E-2</v>
      </c>
      <c r="G46" s="237"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1" t="str" cm="1">
        <f t="array" ref="D47">Common_InputFunctions.Utility_DisplayArrayInTable(WasteSolid_SourceData.Waste_EmissionFactorsForWasteTreatment_Data(), Table_SourceData_WasteSolid_WasteTreatmentEFs[[#Headers],[Treatment type t]], 0)</f>
        <v>Anaerobic digestion</v>
      </c>
      <c r="E47" s="30" t="str" cm="1">
        <f t="array" ref="E47">Common_InputFunctions.Utility_DisplayArrayInTable(WasteSolid_SourceData.Waste_EmissionFactorsForWasteTreatment_Data(), Table_SourceData_WasteSolid_WasteTreatmentEFs[[#Headers],[Treatment type t]], 0)</f>
        <v>Green waste (including crop residues or prunings)</v>
      </c>
      <c r="F47" s="30" cm="1">
        <f t="array" ref="F47">Common_InputFunctions.Utility_DisplayArrayInTable(WasteSolid_SourceData.Waste_EmissionFactorsForWasteTreatment_Data(), Table_SourceData_WasteSolid_WasteTreatmentEFs[[#Headers],[Treatment type t]], 0)</f>
        <v>2.8000000000000001E-2</v>
      </c>
      <c r="G47" s="237"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97" t="s">
        <v>1</v>
      </c>
      <c r="D48" s="1" t="str" cm="1">
        <f t="array" ref="D48">Common_InputFunctions.Utility_DisplayArrayInTable(WasteSolid_SourceData.Waste_EmissionFactorsForWasteTreatment_Data(), Table_SourceData_WasteSolid_WasteTreatmentEFs[[#Headers],[Treatment type t]], 0)</f>
        <v>Anaerobic digestion</v>
      </c>
      <c r="E48" s="30" t="str" cm="1">
        <f t="array" ref="E48">Common_InputFunctions.Utility_DisplayArrayInTable(WasteSolid_SourceData.Waste_EmissionFactorsForWasteTreatment_Data(), Table_SourceData_WasteSolid_WasteTreatmentEFs[[#Headers],[Treatment type t]], 0)</f>
        <v>Wood</v>
      </c>
      <c r="F48" s="30" cm="1">
        <f t="array" ref="F48">Common_InputFunctions.Utility_DisplayArrayInTable(WasteSolid_SourceData.Waste_EmissionFactorsForWasteTreatment_Data(), Table_SourceData_WasteSolid_WasteTreatmentEFs[[#Headers],[Treatment type t]], 0)</f>
        <v>2.8000000000000001E-2</v>
      </c>
      <c r="G48" s="23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 t="str">
        <f>HYPERLINK("#'Constants - Pasture Beef'!A1", "Constants - Pasture Beef")</f>
        <v>Constants - Pasture Beef</v>
      </c>
      <c r="D49" s="1" t="str" cm="1">
        <f t="array" ref="D49">Common_InputFunctions.Utility_DisplayArrayInTable(WasteSolid_SourceData.Waste_EmissionFactorsForWasteTreatment_Data(), Table_SourceData_WasteSolid_WasteTreatmentEFs[[#Headers],[Treatment type t]], 0)</f>
        <v>Anaerobic digestion</v>
      </c>
      <c r="E49" s="30" t="str" cm="1">
        <f t="array" ref="E49">Common_InputFunctions.Utility_DisplayArrayInTable(WasteSolid_SourceData.Waste_EmissionFactorsForWasteTreatment_Data(), Table_SourceData_WasteSolid_WasteTreatmentEFs[[#Headers],[Treatment type t]], 0)</f>
        <v>Sludge</v>
      </c>
      <c r="F49" s="30" cm="1">
        <f t="array" ref="F49">Common_InputFunctions.Utility_DisplayArrayInTable(WasteSolid_SourceData.Waste_EmissionFactorsForWasteTreatment_Data(), Table_SourceData_WasteSolid_WasteTreatmentEFs[[#Headers],[Treatment type t]], 0)</f>
        <v>2.8000000000000001E-2</v>
      </c>
      <c r="G49" s="23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5" t="str">
        <f>HYPERLINK("#'Constants - Ag Residue'!A1", "Constants - Ag residue")</f>
        <v>Constants - Ag residue</v>
      </c>
      <c r="D50" s="1" t="str" cm="1">
        <f t="array" ref="D50">Common_InputFunctions.Utility_DisplayArrayInTable(WasteSolid_SourceData.Waste_EmissionFactorsForWasteTreatment_Data(), Table_SourceData_WasteSolid_WasteTreatmentEFs[[#Headers],[Treatment type t]], 0)</f>
        <v>Anaerobic digestion</v>
      </c>
      <c r="E50" s="30" t="str" cm="1">
        <f t="array" ref="E50">Common_InputFunctions.Utility_DisplayArrayInTable(WasteSolid_SourceData.Waste_EmissionFactorsForWasteTreatment_Data(), Table_SourceData_WasteSolid_WasteTreatmentEFs[[#Headers],[Treatment type t]], 0)</f>
        <v>Paper and cardboard</v>
      </c>
      <c r="F50" s="30" cm="1">
        <f t="array" ref="F50">Common_InputFunctions.Utility_DisplayArrayInTable(WasteSolid_SourceData.Waste_EmissionFactorsForWasteTreatment_Data(), Table_SourceData_WasteSolid_WasteTreatmentEFs[[#Headers],[Treatment type t]], 0)</f>
        <v>2.8000000000000001E-2</v>
      </c>
      <c r="G50" s="23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HYPERLINK("#'Constants - Common Livestock'!A1", "Constants - Common Livestock")</f>
        <v>Constants - Common Livestock</v>
      </c>
    </row>
    <row r="52" spans="1:7" ht="20.100000000000001" customHeight="1" x14ac:dyDescent="0.25">
      <c r="A52" s="5" t="str">
        <f>HYPERLINK("#'Constants - Electricity'!A1", "Constants - Electricity")</f>
        <v>Constants - Electricity</v>
      </c>
      <c r="D52" s="2" t="str" cm="1">
        <f t="array" ref="D52">WasteSolid_SourceData.Waste_WasteVolumeToMassConversion_Title()</f>
        <v>Volume to mass conversion factor for various waste types</v>
      </c>
    </row>
    <row r="53" spans="1:7" ht="20.100000000000001" customHeight="1" x14ac:dyDescent="0.25">
      <c r="A53" s="5" t="str">
        <f>HYPERLINK("#'Constants - Fertiliser'!A1", "Constants - Fertiliser")</f>
        <v>Constants - Fertiliser</v>
      </c>
      <c r="D53" s="27" t="str" cm="1">
        <f t="array" ref="D53">WasteSolid_SourceData.Waste_WasteVolumeToMassConversion_Source()</f>
        <v>VEERG 2026: Table A.4.1.2</v>
      </c>
    </row>
    <row r="54" spans="1:7" ht="20.100000000000001" customHeight="1" x14ac:dyDescent="0.25">
      <c r="A54" s="5" t="str">
        <f>HYPERLINK("#'Constants - Fuel'!A1", "Constants - Fuel")</f>
        <v>Constants - Fuel</v>
      </c>
      <c r="D54" s="36" t="str" cm="1">
        <f t="array" ref="D54">WasteSolid_SourceData.Waste_WasteVolumeToMassConversion_Variation()</f>
        <v>VARIATION OF SOURCE: Changed column header CFw to VTMw to match title variable.</v>
      </c>
    </row>
    <row r="55" spans="1:7" ht="20.100000000000001" customHeight="1" x14ac:dyDescent="0.25">
      <c r="A55" s="5" t="str">
        <f>HYPERLINK("#'Constants - Scope 3'!A1", "Constants - Scope 3")</f>
        <v>Constants - Scope 3</v>
      </c>
      <c r="D55" s="1" t="str" cm="1">
        <f t="array" ref="D55">WasteSolid_SourceData.Waste_WasteVolumeToMassConversion_Variable()</f>
        <v>VTMw</v>
      </c>
    </row>
    <row r="56" spans="1:7" ht="20.100000000000001" customHeight="1" x14ac:dyDescent="0.25">
      <c r="A56" s="5" t="str">
        <f>HYPERLINK("#'Constants - Common'!A1", "Constants - Common")</f>
        <v>Constants - Common</v>
      </c>
      <c r="D56" s="15" t="str" cm="1">
        <f t="array" ref="D56">WasteSolid_SourceData.Waste_WasteVolumeToMassConversion_Unit()</f>
        <v>t/m3</v>
      </c>
    </row>
    <row r="57" spans="1:7" ht="20.100000000000001" customHeight="1" x14ac:dyDescent="0.25">
      <c r="A57" s="5" t="str">
        <f>HYPERLINK("#'Acknowledgements'!A1", "Acknowledgements")</f>
        <v>Acknowledgements</v>
      </c>
      <c r="D57" s="30" t="s">
        <v>860</v>
      </c>
      <c r="E57" s="30" t="s">
        <v>863</v>
      </c>
    </row>
    <row r="58" spans="1:7" ht="20.100000000000001" customHeight="1" x14ac:dyDescent="0.25">
      <c r="A58" s="127" t="str">
        <f>HYPERLINK("#'Constants - Solid Waste'!A1", "Constants - Solid Waste")</f>
        <v>Constants - Solid Waste</v>
      </c>
      <c r="D58" s="3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3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3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3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3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3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3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3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3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3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3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3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0DD1-1CA7-4CE3-BBCB-B32DF57F3BC8}">
  <dimension ref="A1:AV58"/>
  <sheetViews>
    <sheetView showGridLines="0" tabSelected="1" workbookViewId="0" zoomScale="100" zoomScaleNormal="100">
      <selection activeCell="A57" sqref="A57"/>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67" t="s">
        <v>1199</v>
      </c>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row>
    <row r="2" spans="1:42" ht="20.100000000000001" customHeight="1" x14ac:dyDescent="0.25">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9"/>
    </row>
    <row r="3" spans="1:42" ht="20.100000000000001" customHeight="1" x14ac:dyDescent="0.25">
      <c r="A3" s="5" t="str">
        <f>HYPERLINK("#'Home'!A1", "Home")</f>
        <v>Home</v>
      </c>
      <c r="C3" s="270"/>
      <c r="D3" s="270"/>
      <c r="E3" s="270"/>
      <c r="F3" s="270"/>
      <c r="G3" s="270"/>
      <c r="H3" s="270"/>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row>
    <row r="4" spans="1:42" ht="20.100000000000001" customHeight="1" x14ac:dyDescent="0.25">
      <c r="A4" s="271" t="str">
        <f>HYPERLINK("#'Overview'!A1", "Overview")</f>
        <v>Overview</v>
      </c>
    </row>
    <row r="5" spans="1:42" ht="20.100000000000001" customHeight="1" x14ac:dyDescent="0.25">
      <c r="A5" s="5" t="str">
        <f>HYPERLINK("#'Results'!A1", "Results")</f>
        <v>Results</v>
      </c>
      <c r="D5" s="130" t="s">
        <v>1200</v>
      </c>
      <c r="E5" s="54"/>
      <c r="F5" s="54"/>
      <c r="G5" s="54"/>
      <c r="H5" s="54"/>
      <c r="I5" s="54"/>
      <c r="J5" s="54"/>
      <c r="K5" s="54"/>
      <c r="L5" s="54"/>
      <c r="M5" s="54"/>
      <c r="N5" s="54"/>
      <c r="O5" s="55"/>
    </row>
    <row r="6" spans="1:42" ht="20.100000000000001" customHeight="1" x14ac:dyDescent="0.25">
      <c r="D6" s="272" t="s">
        <v>1201</v>
      </c>
      <c r="E6" s="57"/>
      <c r="F6" s="57"/>
      <c r="G6" s="57"/>
      <c r="H6" s="57"/>
      <c r="I6" s="57"/>
      <c r="J6" s="57"/>
      <c r="K6" s="57"/>
      <c r="L6" s="57"/>
      <c r="M6" s="57"/>
      <c r="N6" s="57"/>
      <c r="O6" s="58"/>
    </row>
    <row r="7" spans="1:42" ht="20.100000000000001" customHeight="1" x14ac:dyDescent="0.25"/>
    <row r="8" spans="1:42" ht="20.100000000000001" customHeight="1" x14ac:dyDescent="0.25">
      <c r="A8" s="7" t="s">
        <v>0</v>
      </c>
    </row>
    <row r="9" spans="1:42" ht="20.100000000000001" customHeight="1" x14ac:dyDescent="0.25">
      <c r="A9" s="5" t="str">
        <f>HYPERLINK("#'Input - Enterprise'!A1", "Enterprise")</f>
        <v>Enterprise</v>
      </c>
    </row>
    <row r="10" spans="1:42" ht="20.100000000000001" customHeight="1" x14ac:dyDescent="0.25">
      <c r="A10" s="5" t="str">
        <f>HYPERLINK("#'Input - Site'!A1", "Site")</f>
        <v>Site</v>
      </c>
    </row>
    <row r="11" spans="1:42" ht="20.100000000000001" customHeight="1" x14ac:dyDescent="0.25">
      <c r="A11" s="5" t="str">
        <f>HYPERLINK("#'Input - Pasture Beef'!A1", "Pasture Beef")</f>
        <v>Pasture Beef</v>
      </c>
    </row>
    <row r="12" spans="1:42" ht="20.100000000000001" customHeight="1" x14ac:dyDescent="0.25">
      <c r="A12" s="5" t="str">
        <f>HYPERLINK("#'Input - Pasture Beef (Enteric)'!A1", "Pasture Beef (Enteric)")</f>
        <v>Pasture Beef (Enteric)</v>
      </c>
    </row>
    <row r="13" spans="1:42" ht="20.100000000000001" customHeight="1" x14ac:dyDescent="0.25">
      <c r="A13" s="5" t="str">
        <f>HYPERLINK("#'Input - Livestock sales'!A1", "Livestock sales")</f>
        <v>Livestock sales</v>
      </c>
    </row>
    <row r="14" spans="1:42" ht="20.100000000000001" customHeight="1" x14ac:dyDescent="0.25">
      <c r="A14" s="5" t="str">
        <f>HYPERLINK("#'Input - Beef cattle purchases'!A1", "Beef cattle purchases")</f>
        <v>Beef cattle purchases</v>
      </c>
    </row>
    <row r="15" spans="1:42" ht="20.100000000000001" customHeight="1" x14ac:dyDescent="0.25">
      <c r="A15" s="5" t="str">
        <f>HYPERLINK("#'Input - Pasture'!A1", "Pasture")</f>
        <v>Pasture</v>
      </c>
    </row>
    <row r="16" spans="1:42" ht="20.100000000000001" customHeight="1" x14ac:dyDescent="0.25">
      <c r="A16" s="5" t="str">
        <f>HYPERLINK("#'Input - Fert Prod System'!A1", "Fert Prod System")</f>
        <v>Fert Prod System</v>
      </c>
    </row>
    <row r="17" spans="1:1" ht="20.100000000000001" customHeight="1" x14ac:dyDescent="0.25">
      <c r="A17" s="5" t="str">
        <f>HYPERLINK("#'Input - Fertiliser'!A1", "Fertiliser")</f>
        <v>Fertiliser</v>
      </c>
    </row>
    <row r="18" spans="1:1" ht="20.100000000000001" customHeight="1" x14ac:dyDescent="0.25">
      <c r="A18" s="5" t="str">
        <f>HYPERLINK("#'Input - Fuel'!A1", "Fuel")</f>
        <v>Fuel</v>
      </c>
    </row>
    <row r="19" spans="1:1" ht="20.100000000000001" customHeight="1" x14ac:dyDescent="0.25">
      <c r="A19" s="5" t="str">
        <f>HYPERLINK("#'Input - Electricity'!A1", "Electricity")</f>
        <v>Electricity</v>
      </c>
    </row>
    <row r="20" spans="1:1" ht="20.100000000000001" customHeight="1" x14ac:dyDescent="0.25">
      <c r="A20" s="5" t="str">
        <f>HYPERLINK("#'Input - Farm Inputs'!A1", "Farm Inputs")</f>
        <v>Farm Inputs</v>
      </c>
    </row>
    <row r="21" spans="1:1" ht="20.100000000000001" customHeight="1" x14ac:dyDescent="0.25">
      <c r="A21" s="5" t="str">
        <f>HYPERLINK("#'Input - Freight'!A1", "Freight")</f>
        <v>Freight</v>
      </c>
    </row>
    <row r="22" spans="1:1" ht="20.100000000000001" customHeight="1" x14ac:dyDescent="0.25">
      <c r="A22" s="5" t="str">
        <f>HYPERLINK("#'Input - Manure sent off-site'!A1", "Manure sent off-site")</f>
        <v>Manure sent off-site</v>
      </c>
    </row>
    <row r="23" spans="1:1" ht="20.100000000000001" customHeight="1" x14ac:dyDescent="0.25">
      <c r="A23" s="5" t="str">
        <f>HYPERLINK("#'Input - Solid waste'!A1", "Solid waste")</f>
        <v>Solid waste</v>
      </c>
    </row>
    <row r="24" spans="1:1" ht="20.100000000000001" customHeight="1" x14ac:dyDescent="0.25"/>
    <row r="25" spans="1:1" ht="20.100000000000001" customHeight="1" x14ac:dyDescent="0.25"/>
    <row r="26" spans="1:1" ht="20.100000000000001" customHeight="1" x14ac:dyDescent="0.25">
      <c r="A26" s="6" t="s">
        <v>2</v>
      </c>
    </row>
    <row r="27" spans="1:1" ht="20.100000000000001" customHeight="1" x14ac:dyDescent="0.25">
      <c r="A27" s="5" t="str">
        <f>HYPERLINK("#'3.2.1.1-2 Enteric Methane'!A1", "3.2.1.1-2 Enteric methane")</f>
        <v>3.2.1.1-2 Enteric methane</v>
      </c>
    </row>
    <row r="28" spans="1:1" ht="20.100000000000001" customHeight="1" x14ac:dyDescent="0.25">
      <c r="A28" s="5" t="str">
        <f>HYPERLINK("#'4.2.1.1-2 Methane'!A1", "4.2.1.1-2 Manure methane")</f>
        <v>4.2.1.1-2 Manure methane</v>
      </c>
    </row>
    <row r="29" spans="1:1" ht="20.100000000000001" customHeight="1" x14ac:dyDescent="0.25">
      <c r="A29" s="5" t="str">
        <f>HYPERLINK("#'4.2.1.3-4 Soil direct N20'!A1", "4.2.1.3-4 Soil direct N2O")</f>
        <v>4.2.1.3-4 Soil direct N2O</v>
      </c>
    </row>
    <row r="30" spans="1:1" ht="20.100000000000001" customHeight="1" x14ac:dyDescent="0.25">
      <c r="A30" s="5" t="str">
        <f>HYPERLINK("#'4.2.1.5-6 Soil Atmos Dep'!A1", "4.2.1.5-6 Soil atm. deposition")</f>
        <v>4.2.1.5-6 Soil atm. deposition</v>
      </c>
    </row>
    <row r="31" spans="1:1" ht="20.100000000000001" customHeight="1" x14ac:dyDescent="0.25">
      <c r="A31" s="5" t="str">
        <f>HYPERLINK("#'4.2.1.7-8 Soil leach runoff'!A1", "4.2.1.7-8 Soil leach &amp; runoff")</f>
        <v>4.2.1.7-8 Soil leach &amp; runoff</v>
      </c>
    </row>
    <row r="32" spans="1:1" ht="20.100000000000001" customHeight="1" x14ac:dyDescent="0.25">
      <c r="A32" s="5" t="str">
        <f>HYPERLINK("#'5.1.1.1-2 Inorganic fert N2O'!A1", "5.1.1.1-2 Inorganic fert N2O")</f>
        <v>5.1.1.1-2 Inorganic fert N2O</v>
      </c>
    </row>
    <row r="33" spans="1:48" ht="20.100000000000001" customHeight="1" x14ac:dyDescent="0.25">
      <c r="A33" s="5" t="str">
        <f>HYPERLINK("#'5.1.1.3-4 Inorganic fert CO2'!A1", "5.1.1.3-4 Inorganic fert CO2")</f>
        <v>5.1.1.3-4 Inorganic fert CO2</v>
      </c>
    </row>
    <row r="34" spans="1:48" ht="20.100000000000001" customHeight="1" x14ac:dyDescent="0.25">
      <c r="A34" s="5" t="str">
        <f>HYPERLINK("#'5.2.1.1-2 Organic Fert N2O'!A1", "5.2.1.1-2 Organic fert N2O")</f>
        <v>5.2.1.1-2 Organic fert N2O</v>
      </c>
    </row>
    <row r="35" spans="1:48" ht="20.100000000000001" customHeight="1" x14ac:dyDescent="0.25">
      <c r="A35" s="5" t="str">
        <f>HYPERLINK("#'5.3.1.1-2 Lime CO2'!A1", "5.3.1.1-2 Lime CO2")</f>
        <v>5.3.1.1-2 Lime CO2</v>
      </c>
    </row>
    <row r="36" spans="1:48" ht="20.100000000000001" customHeight="1" x14ac:dyDescent="0.25">
      <c r="A36" s="5" t="str">
        <f>HYPERLINK("#'5.4.1.1-4 Atmos deposition'!A1", "5.4.1.1-4 Atmos. deposition")</f>
        <v>5.4.1.1-4 Atmos. deposition</v>
      </c>
    </row>
    <row r="37" spans="1:48" ht="20.100000000000001" customHeight="1" x14ac:dyDescent="0.25">
      <c r="A37" s="5" t="str">
        <f>HYPERLINK("#'5.5.1.1-2 Leaching and runoff'!A1", "5.5.1.1-2 Leaching &amp; runoff")</f>
        <v>5.5.1.1-2 Leaching &amp; runoff</v>
      </c>
      <c r="L37" s="1" t="s">
        <v>1202</v>
      </c>
    </row>
    <row r="38" spans="1:48" ht="20.100000000000001" customHeight="1" x14ac:dyDescent="0.25">
      <c r="A38" s="5" t="str">
        <f>HYPERLINK("#'6.2.1.1-2 Pasture residue N2O'!A1", "6.2.1.1-2 Pasture residue N2O")</f>
        <v>6.2.1.1-2 Pasture residue N2O</v>
      </c>
    </row>
    <row r="39" spans="1:48" ht="20.100000000000001" customHeight="1" x14ac:dyDescent="0.25">
      <c r="A39" s="5" t="str">
        <f>HYPERLINK("#'6.3.1.1-2 Leach runoff pasture'!A1", "6.3.1.1-2 Leach &amp; runoff (pasture)")</f>
        <v>6.3.1.1-2 Leach &amp; runoff (pasture)</v>
      </c>
    </row>
    <row r="40" spans="1:48" ht="20.100000000000001" customHeight="1" x14ac:dyDescent="0.25">
      <c r="A40" s="5" t="str">
        <f>HYPERLINK("#'8.1.1.1-2 Transport fuel'!A1", "8.1.1.1-2 Transport fuel")</f>
        <v>8.1.1.1-2 Transport fuel</v>
      </c>
    </row>
    <row r="41" spans="1:48" ht="20.100000000000001" customHeight="1" x14ac:dyDescent="0.25">
      <c r="A41" s="5" t="str">
        <f>HYPERLINK("#'8.2.1.1-2 Stationary fuel'!A1", "8.2.1.1-2 Stationary fuel")</f>
        <v>8.2.1.1-2 Stationary fuel</v>
      </c>
    </row>
    <row r="42" spans="1:48" ht="20.100000000000001" customHeight="1" x14ac:dyDescent="0.25">
      <c r="A42" s="5" t="str">
        <f>HYPERLINK("#'14.1.1-2 Purchased electricity'!A1", "14.1.1-2 Purchased electricity")</f>
        <v>14.1.1-2 Purchased electricity</v>
      </c>
    </row>
    <row r="43" spans="1:48" x14ac:dyDescent="0.25">
      <c r="A43" s="5" t="str">
        <f>HYPERLINK("#'15 Scope 3'!A1", "15 Scope 3")</f>
        <v>15 Scope 3</v>
      </c>
    </row>
    <row r="44" spans="1:48" x14ac:dyDescent="0.25">
      <c r="A44" s="5" t="str">
        <f>HYPERLINK("#'Calcs - Manure sent off-site'!A1", "Calcs - Manure sent off-site")</f>
        <v>Calcs - Manure sent off-site</v>
      </c>
    </row>
    <row r="45" spans="1:48" x14ac:dyDescent="0.25">
      <c r="A45" s="5" t="str">
        <f>HYPERLINK("#'10.1.1-2 Solid waste treatment'!A1", "10.1.1-2 Solid waste treatment")</f>
        <v>10.1.1-2 Solid waste treatment</v>
      </c>
      <c r="AV45" t="s">
        <v>1203</v>
      </c>
    </row>
    <row r="48" spans="1:48" x14ac:dyDescent="0.25">
      <c r="A48" s="97" t="s">
        <v>1</v>
      </c>
    </row>
    <row r="49" spans="1:1" x14ac:dyDescent="0.25">
      <c r="A49" s="5" t="str">
        <f>HYPERLINK("#'Constants - Pasture Beef'!A1", "Constants - Pasture Beef")</f>
        <v>Constants - Pasture Beef</v>
      </c>
    </row>
    <row r="50" spans="1:1" x14ac:dyDescent="0.25">
      <c r="A50" s="5" t="str">
        <f>HYPERLINK("#'Constants - Ag Residue'!A1", "Constants - Ag residue")</f>
        <v>Constants - Ag residue</v>
      </c>
    </row>
    <row r="51" spans="1:1" x14ac:dyDescent="0.25">
      <c r="A51" s="5" t="str">
        <f>HYPERLINK("#'Constants - Common Livestock'!A1", "Constants - Common Livestock")</f>
        <v>Constants - Common Livestock</v>
      </c>
    </row>
    <row r="52" spans="1:1" x14ac:dyDescent="0.25">
      <c r="A52" s="5" t="str">
        <f>HYPERLINK("#'Constants - Electricity'!A1", "Constants - Electricity")</f>
        <v>Constants - Electricity</v>
      </c>
    </row>
    <row r="53" spans="1:1" x14ac:dyDescent="0.25">
      <c r="A53" s="5" t="str">
        <f>HYPERLINK("#'Constants - Fertiliser'!A1", "Constants - Fertiliser")</f>
        <v>Constants - Fertiliser</v>
      </c>
    </row>
    <row r="54" spans="1:1" x14ac:dyDescent="0.25">
      <c r="A54" s="5" t="str">
        <f>HYPERLINK("#'Constants - Fuel'!A1", "Constants - Fuel")</f>
        <v>Constants - Fuel</v>
      </c>
    </row>
    <row r="55" spans="1:1" x14ac:dyDescent="0.25">
      <c r="A55" s="5" t="str">
        <f>HYPERLINK("#'Constants - Scope 3'!A1", "Constants - Scope 3")</f>
        <v>Constants - Scope 3</v>
      </c>
    </row>
    <row r="56" spans="1:1" x14ac:dyDescent="0.25">
      <c r="A56" s="5" t="str">
        <f>HYPERLINK("#'Constants - Common'!A1", "Constants - Common")</f>
        <v>Constants - Common</v>
      </c>
    </row>
    <row r="57" spans="1:1" x14ac:dyDescent="0.25">
      <c r="A57" s="5" t="str">
        <f>HYPERLINK("#'Acknowledgements'!A1", "Acknowledgements")</f>
        <v>Acknowledgements</v>
      </c>
    </row>
    <row r="58" spans="1:1" x14ac:dyDescent="0.25">
      <c r="A58" s="5" t="str">
        <f>HYPERLINK("#'Constants - Solid Waste'!A1", "Constants - Solid Waste")</f>
        <v>Constants - Solid Waste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UAbABlAGMAdAByAGkAYwBpAHQAeQBfAFMAbwB1AHIAYwBlAEQAYQB0AGEAIgAsACIAdABlAHgAdAAiADoAIgAvACoAXABuAD0APQA9AD0APQA9AD0APQA9AD0APQA9AD0APQA9AD0APQA9AD0APQA9AD0APQA9AD0APQA9AD0APQA9AD0APQA9AD0APQA9AD0APQA9AD0APQA9AD0APQA9AD0APQA9AD0APQA9AD0APQA9AD0APQA9AD0APQA9AD0APQA9AD0APQA9AD0APQA9AD0APQA9AD0APQA9AD0AXABu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IA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ABvAGMAYQB0AGkAbwBuAEIAYQBzAGUAZABfAFQAaQB0AGwAZQBcAG4APQBMAEEATQBCAEQAQQAoACgAXAAiAEUAbABlAGMAdAByAGkAYwBpAHQAeQAgAHMAYwBvAHAAZQAgADIAIABhAG4AZAAgAHMAYwBvAHAAZQAgADMAIABsAG8AYwBhAHQAaQBvAG4ALQBiAGEAcwBlAGQAIABlAG0AaQBzAHMAaQBvAG4AIABmAGEAYwB0AG8AcgBzAFwAIgApACkAOwBcAG4AXABuAEUAbABlAGMAdAByAGkAYwBpAHQAeQBfAFMAYwBvAHAAZQAyAEwAbwBjAGEAdABpAG8AbgBCAGEAcwBlAGQAXwBEAGUAcwBjAHIAaQBwAHQAaQBvAG4AXABuAD0ATABBAE0AQgBEAEEAKAAoAFwAI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FwAIgApACkAOwBcAG4AXABuAEUAbABlAGMAdAByAGkAYwBpAHQAeQBfAFMAYwBvAHAAZQAyAFMAYwBvAHAAZQAzAEwAbwBjAGEAdABpAG8AbgBCAGEAcwBlAGQAXwBTAG8AdQByAGMAZQBcAG4APQBMAEEATQBCAEQAQQAoACgAXAAiAEEAdQBzAHQAcgBhAGwAaQBhAG4AIABOAGEAdABpAG8AbgBhAGwAIABHAHIAZQBlAG4AaABvAHUAcwBlACAAQQBjAGMAbwB1AG4AdABzACAARgBhAGMAdABvAHIAcwAgADIAMAAyADUAIAAtACAAVABhAGIAbABlACAAMQBcACIAKQApADsAXABuAFwAbgBFAGwAZQBjAHQAcgBpAGMAaQB0AHkAXwBTAGMAbwBwAGUAMgBTAGMAbwBwAGUAMwBMAG8AYwBhAHQAaQBvAG4AQgBhAHMAZQBkAF8ARABhAHQAYQBcAG4APQBMAEEATQBCAEQAQQAoAFwAbgAgACAATQBBAEsARQBBAFIAUgBBAFkAKAAxADEALAAgADM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wAgAEUAbQBpAHMAcwBpAG8AbgAgAEYAYQBjAHQAbwByAHMAIAAoAGsAZwAgAEMATwAyAC0AZQAvAGsAVwBoACkAXAAiADsAXABuACAAIAAgACAAIAAgACAAIABcACIATgBlAHcAIABTAG8AdQB0AGgAIABXAGEAbABlAHMAXAAiACwAIAAwAC4ANgA0ACwAIAAwAC4AMAAzADsAXABuACAAIAAgACAAIAAgACAAIABcACIAQQBDAFQAXAAiACwAIAAwAC4ANgA0ACwAIAAwAC4AMAAzADsAXABuACAAIAAgACAAIAAgACAAIABcACIAVgBpAGMAdABvAHIAaQBhAFwAIgAsACAAMAAuADcAOAAsACAAMAAuADAAOQA7AFwAbgAgACAAIAAgACAAIAAgACAAXAAiAFEAdQBlAGUAbgBzAGwAYQBuAGQAXAAiACwAIAAwAC4ANgA3ACwAIAAwAC4AMAA5ADsAXABuACAAIAAgACAAIAAgACAAIABcACIAUwBvAHUAdABoACAAQQB1AHMAdAByAGEAbABpAGEAXAAiACwAIAAwAC4AMgAyACwAIAAwAC4AMAA0ADsAXABuACAAIAAgACAAIAAgACAAIABcACIAVwBlAHMAdABlAHIAbgAgAEEAdQBzAHQAcgBhAGwAaQBhACAALQAgAFMAbwB1AHQAaAAgAFcAZQBzAHQAIABJAG4AdABlAHIAYwBvAG4AbgBlAGMAdABlAGQAIABTAHkAcwB0AGUAbQAgACgAUwBXAEkAUwApAFwAIgAsACAAMAAuADUAMAAsACAAMAAuADAANgA7AFwAbgAgACAAIAAgACAAIAAgACAAXAAiAFcAZQBzAHQAZQByAG4AIABBAHUAcwB0AHIAYQBsAGkAYQAgAC0AIABOAG8AcgB0AGgAIABXAGUAcwB0AGUAcgBuACAASQBuAHQAZQByAGMAbwBuAG4AZQBjAHQAZQBkACAAUwB5AHMAdABlAG0AIAAoAE4AVwBJAFMAKQBcACIALAAgADAALgA1ADYALAAgADAALgAwADkAOwBcAG4AIAAgACAAIAAgACAAIAAgAFwAIgBUAGEAcwBtAGEAbgBpAGEAXAAiACwAIAAwAC4AMgAwACwAIAAwAC4AMAAzADsAXABuACAAIAAgACAAIAAgACAAIABcACIATgBvAHIAdABoAGUAcgBuACAAVABlAHIAcgBpAHQAbwByAHkAIAAtACAARABhAHIAdwBpAG4AIABLAGEAdABoAGUAcgBpAG4AZQAgAEkAbgB0AGUAcgBjAG8AbgBuAGUAYwB0AGUAZAAgAFMAeQBzAHQAZQBtACAAKABEAEsASQBTACkAXAAiACwAIAAwAC4ANQA2ACwAIAAwAC4AMAA5ADsAXABuACAAIAAgACAAIAAgACAAIABcACIATgBhAHQAaQBvAG4AYQBsAFwAIgAsACAAMAAuADYAMgAsACAAMAAuADAANwBcAG4AIAAgACAAIAAgACAAfQAsACAAcgAsACAAYwApAFwAbgApACkAKQA7AFwAbgBcAG4ARQBsAGUAYwB0AHIAaQBjAGkAdAB5AF8AUwBjAG8AcABlADIAUwBjAG8AcABlADMATABvAGMAYQB0AGkAbwBuAEIAYQBzAGUAZABfAFYAYQByAGkAYQB0AGkAbwBuAFwAbgA9AEwAQQBNAEIARABBACgAKABcACIAVgBBAFIASQBBAFQASQBPAE4AIABPAEYAIABTAE8AVQBSAEMARQAgAEQAQQBUAEEAOgAgAE4AUwBXACAAYQBuAGQAIABBAEMAVAAgAHMAcABsAGkAdAAgAGkAbgB0AG8AIABzAGUAcABhAHIAYQB0AGUAIAByAG8AdwBzAC4AXAAiACkAKQA7AFwAbgBcAG4AXABuAC8AKgBcAG4APQA9AD0APQA9AD0APQA9AD0APQA9AD0APQA9AD0APQA9AD0APQA9AD0APQA9AD0APQA9AD0APQA9AD0APQA9AD0APQA9AD0APQA9AD0APQA9AD0APQA9AD0APQA9AD0APQA9AD0APQA9AD0APQA9AD0APQA9AD0APQA9AD0APQA9AD0APQA9AD0APQA9AD0APQA9AD0APQBcAG4AUgBlAHMAaQBkAHUAYQBsACAATQBpAHgAIABGAGEAYwB0AG8AcgAgAGYAbwByACAAbQBhAHIAawBlAHQALQBiAGEAcwBlAGQAIABlAHEAdQBhAHQAaQBvAG4AcwBcAG4APQA9AD0APQA9AD0APQA9AD0APQA9AD0APQA9AD0APQA9AD0APQA9AD0APQA9AD0APQA9AD0APQA9AD0APQA9AD0APQA9AD0APQA9AD0APQA9AD0APQA9AD0APQA9AD0APQA9AD0APQA9AD0APQA9AD0APQA9AD0APQA9AD0APQA9AD0APQA9AD0APQA9AD0APQA9AD0APQBcAG4AKgAvAFwAbgBcAG4ARQBsAGUAYwB0AHIAaQBjAGkAdAB5AF8AUwBjAG8AcABlADIAUwBjAG8AcABlADMATQBhAHIAawBlAHQAQgBhAHMAZQBkAF8AVABpAHQAbABlAFwAbgA9AEwAQQBNAEIARABBACgAKABcACIARQBsAGUAYwB0AHIAaQBjAGkAdAB5ACAAcwBjAG8AcABlACAAMgAgAGEAbgBkACAAcwBjAG8AcABlACAAMwAgAG0AYQByAGsAZQB0AC0AYgBhAHMAZQBkACAAZQBtAGkAcwBzAGkAbwBuACAAZgBhAGMAdABvAHIAcwBcACIAKQApADsAXABuAFwAbgBFAGwAZQBjAHQAcgBpAGMAaQB0AHkAXwBTAGMAbwBwAGUAMgBNAGEAcgBrAGUAdABCAGEAcwBlAGQAXwBEAGUAcwBjAHIAaQBwAHQAaQBvAG4AXABuAD0ATABBAE0AQgBEAEEAKAAoAFwAIgBUAGEAYgBsAGUAIAAyAGEAIABJAG4AZABpAHIAZQBjAHQAIAAoAHMAYwBvAHAAZQAgADIAIABhAG4AZAAgAHMAYwBvAHAAZQAgADMAKQAgAGUAbQBpAHMAcwBpAG8AbgAgAGYAYQBjAHQAbwByAHMAIABmAHIAbwBtACAAYwBvAG4AcwB1AG0AcAB0AGkAbwBuACAAbwBmACAAcAB1AHIAYwBoAGEAcwBlAGQAIABvAHIAIABhAGMAcQB1AGkAcgBlAGQAIABlAGwAZQBjAHQAcgBpAGMAaQB0AHkAOgAgAG0AYQByAGsAZQB0AC0AYgBhAHMAZQBkACAAZgBhAGMAdABvAHIAcwAgAFwAIgApACkAOwBcAG4AXABuAEUAbABlAGMAdAByAGkAYwBpAHQAeQBfAFMAYwBvAHAAZQAyAFMAYwBvAHAAZQAzAE0AYQByAGsAZQB0AEIAYQBzAGUAZABfAFMAbwB1AHIAYwBlAFwAbgA9AEwAQQBNAEIARABBACgAKABcACIAQQB1AHMAdAByAGEAbABpAGEAbgAgAE4AYQB0AGkAbwBuAGEAbAAgAEcAcgBlAGUAbgBoAG8AdQBzAGUAIABBAGMAYwBvAHUAbgB0AHMAIABGAGEAYwB0AG8AcgBzACAAMgAwADIANQAgAC0AIABUAGEAYgBsAGUAIAAyAGEAXAAiACkAKQA7AFwAbgBcAG4ARQBsAGUAYwB0AHIAaQBjAGkAdAB5AF8AUwBjAG8AcABlADIAUwBjAG8AcABlADMATQBhAHIAawBlAHQAQgBhAHMAZQBkAF8ARABhAHQAYQBcAG4APQBMAEEATQBCAEQAQQAoAFwAbgAgACAATQBBAEsARQBBAFIAUgBBAFkAKAAyACwAIAA1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IAIABFAG0AaQBzAHMAaQBvAG4AIABGAGEAYwB0AG8AcgBzACAAKABrAGcAIABDAE8AMgAtAGUALwBHAEoAKQBcACIALAAgAFwAIgBTAGMAbwBwAGUAIAAzACAARQBtAGkAcwBzAGkAbwBuACAARgBhAGMAdABvAHIAcwAgACgAawBnACAAQwBPADIAIAAtACAAZQAgAC8AIABrAFcAaAApAFwAIgAsACAAXAAiAFMAYwBvAHAAZQAgADMAIABFAG0AaQBzAHMAaQBvAG4AIABGAGEAYwB0AG8AcgBzACAAKABrAGcAIABDAE8AMgAgAC0AIABlACAALwAgAEcASgApAFwAIgA7AFwAbgAgACAAIAAgACAAIAAgACAAXAAiAE4AYQB0AGkAbwBuAGEAbABcACIALAAgADAALgA4ADEALAAgADIAMgA2ACwAIAAwAC4AMQAwACwAIAAyADkAXABuACAAIAAgACAAIAAgAH0ALAAgAHIALAAgAGMAKQBcAG4AKQApACkAOwBcAG4AXABuAEUAbABlAGMAdAByAGkAYwBpAHQAeQBfAFMAYwBvAHAAZQAyAFMAYwBvAHAAZQAzAE0AYQByAGsAZQB0AEIAYQBzAGUAZABfAFYAYQByAGkAYQB0AGkAbwBuAFwAbgA9AEwAQQBNAEIARABBACgAKABcACIAXAAiACk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VwBhAHMAdABlAFMAbwBsAGkAZABfAEUAcQB1AGEAdABpAG8AbgBzACIALAAiAHQAZQB4AHQAIgA6ACIALwAqAFwAbgA9AD0APQA9AD0APQA9AD0APQA9AD0APQA9AD0APQA9AD0APQA9AD0APQA9AD0APQA9AD0APQA9AD0APQA9AD0APQA9AD0APQA9AD0APQA9AD0APQA9AD0APQA9AD0APQA9AD0APQA9AD0APQA9AD0APQA9AD0APQA9AD0APQA9AD0APQA9AD0APQA9AD0APQA9AD0APQA9AFwAbgAxADAALgAxADoAIABXAGEAcwB0AGUAXABuAD0APQA9AD0APQA9AD0APQA9AD0APQA9AD0APQA9AD0APQA9AD0APQA9AD0APQA9AD0APQA9AD0APQA9AD0APQA9AD0APQA9AD0APQA9AD0APQA9AD0APQA9AD0APQA9AD0APQA9AD0APQA9AD0APQA9AD0APQA9AD0APQA9AD0APQA9AD0APQA9AD0APQA9AD0APQA9AD0AXABuADEAMAAuADEALgAxAC4AMQAgAE0AZQB0AGgAbwBkACAAMQAgAC0AIABTAG8AbABpAGQAIABXAGEAcwB0AGUAIABUAHIAZQBhAHQAbQBlAG4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ABfADEAXwAxAF8AMQBfAF8AMQBfAEUAbQBpAHMAcwBpAG8AbgBzAEYAcgBvAG0AVwBhAHMAdABlAE0AYQBuAGEAZwBlAG0AZQBuAHQAXABuAEUAbQBpAHMAcwBpAG8AbgBzACAAZgByAG8AbQAgAHcAYQBzAHQAZQAgAG0AYQBuAGEAZwBlAG0AZQBuAHQAIABiAHkAIABnAHIAZQBlAG4AaABvAHUAcwBlACAAZwBhAHMAXABuAEUAXwBnAFwAbgB0ACAAQwBPADIAZQBcAG4ARQBfAGcAPQBcAFwAcwB1AG0AXwB0AFwAXABzAHUAbQBfAHcAKABRAF8AdwB0AFwAXAB0AGkAbQBlAHMAIABFAEYAXwB3AHQAZwApAFwAbgBRAF8AdwB0ACAAPQAgAHEAdQBhAG4AdABpAHQAeQAgAG8AZgAgAHMAbwBsAGkAZAAgAHcAYQBzAHQAZQAgAG8AZgAgAHQAeQBwAGUAIAB3ACAAYgBlAGkAbgBnACAAcwBlAG4AdAAgAHQAbwAgAHQAcgBlAGEAdABtAGUAbgB0ACAAZgBhAGMAaQBsAGkAdAB5ACAAdAAsACAAbwBuACAAYQAgAHcAZQB0ACAAdwBlAGkAZwBoAHQAIABiAGEAcwBpAHMAIAAoAHQAKQBcAG4ARQBGAF8AdwB0AGcAIAA9ACAAZQBtAGkAcwBzAGkAbwBuACAAZgBhAGMAdABvAHIAIABmAG8AcgAgAGcAcgBlAGUAbgBoAG8AdQBzAGUAIABnAGEAcwAgAGcAIABmAG8AcgAgAHQAaABlACAAbQBhAG4AYQBnAGUAbQBlAG4AdAAgAG8AZgAgAHcAYQBzAHQAZQAgAGEAdAAgAHQAcgBlAGEAdABtAGUAbgB0ACAAZgBhAGMAaQBsAGkAdAB5ACAAdAAgACgAdAAgAEMATwAyAGUALwB0ACkAXABuAC0ALQAtAC0ALQAtAC0ALQAtAC0ALQAtAC0ALQAtAC0ALQAtAC0ALQAtAC0ALQAtAC0ALQAtAC0ALQAtAC0ALQAtAC0ALQAtAC0ALQBcAG4AKgAvAFwAbgBcAG4AVgBFAEUAUgBHAF8AMQAwAF8AMQBfADEAXwAxAF8AXwAxAF8ARQBtAGkAcwBzAGkAbwBuAHMARgByAG8AbQBXAGEAcwB0AGUATQBhAG4AYQBnAGUAbQBlAG4AdABcAG4AIAAgAD0ATABBAE0AQgBEAEEAKABcAG4AIAAgACAAIABRAF8AdwB0ACwAIABFAEYAXwB3AHQAZwAsAFwAbgAgACAAIAAgAFEAXwB3AHQAIAAqACAARQBGAF8AdwB0AGcAXABuACAAIAApADsAXABuAFwAbgBWAEUARQBSAEcAXwAxADAAXwAxAF8AMQBfADEAXwBfADEAXwBFAG0AaQBzAHMAaQBvAG4AcwBGAHIAbwBtAFcAYQBzAHQAZQBNAGEAbgBhAGcAZQBtAGUAbgB0AF8AVABpAHQAbABlAFwAbgAgACAAPQBMAEEATQBCAEQAQQAoAFwAIgBFAG0AaQBzAHMAaQBvAG4AcwAgAGYAcgBvAG0AIAB3AGEAcwB0AGUAIABtAGEAbgBhAGcAZQBtAGUAbgB0ACAAYgB5ACAAZwByAGUAZQBuAGgAbwB1AHMAZQAgAGcAYQBzAFwAIgApADsAXABuAFwAbgBWAEUARQBSAEcAXwAxADAAXwAxAF8AMQBfADEAXwBfADEAXwBFAG0AaQBzAHMAaQBvAG4AcwBGAHIAbwBtAFcAYQBzAHQAZQBNAGEAbgBhAGcAZQBtAGUAbgB0AF8AVgBhAHIAaQBhAGIAbABlAFwAbgAgACAAPQBMAEEATQBCAEQAQQAoAFwAIgBFAF8AZwBcACIAKQA7AFwAbgBcAG4AVgBFAEUAUgBHAF8AMQAwAF8AMQBfADEAXwAxAF8AXwAxAF8ARQBtAGkAcwBzAGkAbwBuAHMARgByAG8AbQBXAGEAcwB0AGUATQBhAG4AYQBnAGUAbQBlAG4AdABfAFUAbgBpAHQAXABuACAAIAA9AEwAQQBNAEIARABBACgAXAAiAHQAIABDAE8AMgBlAFwAIgApADsAXABuAFwAbgBWAEUARQBSAEcAXwAxADAAXwAxAF8AMQBfADEAXwBfADEAXwBFAG0AaQBzAHMAaQBvAG4AcwBGAHIAbwBtAFcAYQBzAHQAZQBNAGEAbgBhAGcAZQBtAGUAbgB0AF8AUwBvAHUAcgBjAGUAXABuACAAIAA9AEwAQQBNAEIARABBACgAXAAiAFYARQBFAFIARwAgADIAMAAyADYAOgAgADEAMAAuADEALgAxAC4AMQAsACAARQBxAHUAYQB0AGkAbwBuACAAKAAxACkAXAAiACkAOwBcAG4AXABuAFYARQBFAFIARwBfADEAMABfADEAXwAxAF8AMQBfAF8AMQBfAEUAbQBpAHMAcwBpAG8AbgBzAEYAcgBvAG0AVwBhAHMAdABlAE0AYQBuAGEAZwBlAG0AZQBuAHQAXwBOAEkAUgBSAGUAZgBlAHIAZQBuAGMAZQBcAG4AIAAgAD0ATABBAE0AQgBEAEEAKABcACIAXAAiACkAOwBcAG4AXABuAFYARQBFAFIARwBfADEAMABfADEAXwAxAF8AMQBfAF8AMQBfAEUAbQBpAHMAcwBpAG8AbgBzAEYAcgBvAG0AVwBhAHMAdABlAE0AYQBuAGEAZwBlAG0AZQBuAHQAXwBMAGEAdABlAHgARQBxAHUAYQB0AGkAbwBuAFwAbgAgACAAPQBMAEEATQBCAEQAQQAoAFwAIgBFAF8AZwA9AFwAXABzAHUAbQBcAFwAbgBvAGwAaQBtAGkAdABzAF8AdABcAFwAcwB1AG0AXABcAG4AbwBsAGkAbQBpAHQAcwBfAHcAKABRAF8AewB3AHQAfQBcAFwAdABpAG0AZQBzACAARQBGAF8AewB3AHQAZwB9ACkAXAAiACkAOwBcAG4AXABuAFYARQBFAFIARwBfADEAMABfADEAXwAxAF8AMQBfAF8AMQBfAEUAbQBpAHMAcwBpAG8AbgBzAEYAcgBvAG0AVwBhAHMAdABlAE0AYQBuAGEAZwBlAG0AZQBuAHQAXwBBAHIAZwB1AG0AZQBuAHQAcwBcAG4AIAAgAD0ATABBAE0AQgBEAEEAKABcAG4AIAAgACAAIABNAEEASwBFAEEAUgBSAEEAWQAoADcALAAgADQALABcAG4AIAAgACAAIAAgACAATABBAE0AQgBEAEEAKAByACwAYwAsAFwAbgAgACAAIAAgACAAIAAgACAASQBOAEQARQBYACgAewBcAG4AIAAgACAAIAAgACAAIAAgACAAIABcACIAUQBfAHcAdABcACIALAAgAFwAIgBxAHUAYQBuAHQAaQB0AHkAIABvAGYAIABzAG8AbABpAGQAIAB3AGEAcwB0AGUAIABvAGYAIAB0AHkAcABlACAAdwAgAGIAZQBpAG4AZwAgAHMAZQBuAHQAIAB0AG8AIAB0AHIAZQBhAHQAbQBlAG4AdAAgAGYAYQBjAGkAbABpAHQAeQAgAHQALAAgAG8AbgAgAGEAIAB3AGUAdAAgAHcAZQBpAGcAaAB0ACAAYgBhAHMAaQBzAFwAIgAsACAAXAAiAHQAXAAiACwAIABcACIAUwB1AG0AIABvAGYAIABRAF8AdgBvAGwAdwB0ACAAYQBuAGQAIABRAF8AbQBhAHMAcwB3AHQAXAAiADsAXABuACAAIAAgACAAIAAgACAAIAAgACAAXAAiAEUARgBfAHcAdABnAFwAIgAsACAAXAAiAGUAbQBpAHMAcwBpAG8AbgAgAGYAYQBjAHQAbwByACAAZgBvAHIAIABnAHIAZQBlAG4AaABvAHUAcwBlACAAZwBhAHMAIABnACAAZgBvAHIAIAB0AGgAZQAgAG0AYQBuAGEAZwBlAG0AZQBuAHQAIABvAGYAIAB3AGEAcwB0AGUAIABhAHQAIAB0AHIAZQBhAHQAbQBlAG4AdAAgAGYAYQBjAGkAbABpAHQAeQAgAHQAXAAiACwAIABcACIAdAAgAEMATwAyAGUALwB0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DsAXABuACAAIAAgACAAIAAgACAAIAAgACAAXAAiAGcAXAAiACwAIABcACIAZwByAGUAZQBuAGgAbwB1AHMAZQAgAGcAYQBzAFwAIgAsACAAXAAiAFwAIgAsACAAXAAiAEkAbgBwAHUAdABcACIAOwBcAG4AIAAgACAAIAAgACAAIAAgACAAIABcACIAUQBfAHYAbwBsAHcAdABcACIALAAgAFwAIgBxAHUAYQBuAHQAaQB0AHkAIABvAGYAIABzAG8AbABkACAAdwBhAHMAdABlACAAaQBuAHAAdQB0ACAAYQBzACAAdgBvAGwAdQBtAGUAIABhAG4AZAAgAGMAbwBuAHYAZQByAHQAZQBkACAAdABvACAAdABvAG4AbgBlAHMAXAAiACwAIABcACIAdABvAG4AbgBlAHMAXAAiACwAIABcACIAQwBhAGwAYwB1AGwAYQB0AGUAZAAgAGYAcgBvAG0AIAAxADAALgAxAC4AMQAuADEAIAAoADIAKQBcACIAOwBcAG4AIAAgACAAIAAgACAAIAAgACAAIABcACIAUQBfAG0AYQBzAHMAdwB0AFwAIgAsACAAXAAiAHEAdQBhAG4AdABpAHQAeQAgAG8AZgAgAHMAbwBsAGkAZAAgAHcAYQBzAHQAZQAgAGkAbgBwAHUAdAAgAGEAcwAgAG0AYQBzAHMAXAAiACwAIABcACIAdABvAG4AbgBlAHMAXAAiACwAIABcACIASQBuAHAAdQB0AFwAIgBcAG4AIAAgACAAIAAgACAAIAAgAH0ALAAgAHIALAAgAGMAKQBcAG4AIAAgACAAIAAgACAAKQBcAG4AIAAgACAAIAApAFwAbgAgACAAKQA7AFwAbgBcAG4AVgBFAEUAUgBHAF8AMQAwAF8AMQBfADEAXwAxAF8AXwAxAF8ARQBtAGkAcwBzAGkAbwBuAHMARgByAG8AbQBXAGEAcwB0AGUATQBhAG4AYQBnAGUAbQBlAG4AdABfAFYAYQByAGkAYQB0AGkAbwBuAFwAbgAgACAAPQBMAEEATQBCAEQAQQAoAFwAIgBWAEEAUgBJAEEAVABJAE8ATgAgAE8ATgAgAFMATwBVAFIAQwBFADoAIABBAGQAZABlAGQAIABRAF8AdgBvAGwAdwB0ACAAYQBuAGQAIABRAF8AbQBhAHMAcwB3AHQAIAB2AGEAcgBpAGEAYgBsAGUAcwAgAHQAbwAgAGMAbABlAGEAcgBsAHkAIAB0AHIAYQBjAGsAIABpAG4AcAB1AHQAIABvAHIAIABjAGEAbABjAHUAbABhAHQAZQBkACAAUQAgAHYAYQBsAHUAZQBzAFwAIgApADsAXABuAFwAbgAvACoAXABuAC0ALQAtAC0ALQAtAC0ALQAtAC0ALQAtAC0ALQAtAC0ALQAtAC0ALQAtAC0ALQAtAC0ALQAtAC0ALQAtAC0ALQAtAC0ALQAtAC0ALQBcAG4AVgBFAEUAUgBHAF8AMQAwAF8AMQBfADEAXwAxAF8AXwAyAF8ATQBhAHMAcwBPAGYAVwBhAHMAdABlAEYAcgBvAG0AVgBvAGwAdQBtAGUAXABuAE0AYQBzAHMAIABvAGYAIAB3AGEAcwB0AGUAIABmAHIAbwBtACAAdwBhAHMAdABlACAAdgBvAGwAdQBtAGUAXABuAFEAXwB3AHQAXABuAHQAXABuAFEAXwB3AHQAPQBWAF8AdwB0AFwAXAB0AGkAbQBlAHMAIABWAFQATQBfAHcAXABuAFYAXwB3AHQAIAA9ACAAdgBvAGwAdQBtAGUAIABvAGYAIABzAG8AbABpAGQAIAB3AGEAcwB0AGUAIAB0AHkAcABlACAAdwAgAGIAZQBpAG4AZwAgAHMAZQBuAHQAIAB0AG8AIAB0AHIAZQBhAHQAbQBlAG4AdAAgAGYAYQBjAGkAbABpAHQAeQAgAHQAIAAoAG0AMwApAFwAbgBWAFQATQBfAHcAIAA9ACAAYwBvAG4AdgBlAHIAcwBpAG8AbgAgAGYAYQBjAHQAbwByACAAbwBmACAAdgBvAGwAdQBtAGUAIAB0AG8AIABtAGEAcwBzACAAZgBvAHIAIAB3AGEAcwB0AGUAIAB0AHkAcABlACAAdwAgACgAdAAvAG0AMwApAFwAbgAtAC0ALQAtAC0ALQAtAC0ALQAtAC0ALQAtAC0ALQAtAC0ALQAtAC0ALQAtAC0ALQAtAC0ALQAtAC0ALQAtAC0ALQAtAC0ALQAtAC0AXABuACoALwBcAG4AXABuAFYARQBFAFIARwBfADEAMABfADEAXwAxAF8AMQBfAF8AMgBfAE0AYQBzAHMATwBmAFcAYQBzAHQAZQBGAHIAbwBtAFYAbwBsAHUAbQBlAFwAbgAgACAAPQBMAEEATQBCAEQAQQAoAFwAbgAgACAAIAAgAFYAXwB3AHQALAAgAFYAVABNAF8AdwAsAFwAbgAgACAAIAAgAFYAXwB3AHQAIAAqACAAVgBUAE0AXwB3AFwAbgAgACAAKQA7AFwAbgBcAG4AVgBFAEUAUgBHAF8AMQAwAF8AMQBfADEAXwAxAF8AXwAyAF8ATQBhAHMAcwBPAGYAVwBhAHMAdABlAEYAcgBvAG0AVgBvAGwAdQBtAGUAXwBUAGkAdABsAGUAXABuACAAIAA9AEwAQQBNAEIARABBACgAXAAiAE0AYQBzAHMAIABvAGYAIAB3AGEAcwB0AGUAIABmAHIAbwBtACAAdwBhAHMAdABlACAAdgBvAGwAdQBtAGUAXAAiACkAOwBcAG4AXABuAFYARQBFAFIARwBfADEAMABfADEAXwAxAF8AMQBfAF8AMgBfAE0AYQBzAHMATwBmAFcAYQBzAHQAZQBGAHIAbwBtAFYAbwBsAHUAbQBlAF8AVgBhAHIAaQBhAGIAbABlAFwAbgAgACAAPQBMAEEATQBCAEQAQQAoAFwAIgBRAF8AdwB0AFwAIgApADsAXABuAFwAbgBWAEUARQBSAEcAXwAxADAAXwAxAF8AMQBfADEAXwBfADIAXwBNAGEAcwBzAE8AZgBXAGEAcwB0AGUARgByAG8AbQBWAG8AbAB1AG0AZQBfAFUAbgBpAHQAXABuACAAIAA9AEwAQQBNAEIARABBACgAXAAiAHQAXAAiACkAOwBcAG4AXABuAFYARQBFAFIARwBfADEAMABfADEAXwAxAF8AMQBfAF8AMgBfAE0AYQBzAHMATwBmAFcAYQBzAHQAZQBGAHIAbwBtAFYAbwBsAHUAbQBlAF8AUwBvAHUAcgBjAGUAXABuACAAIAA9AEwAQQBNAEIARABBACgAXAAiAFYARQBFAFIARwAgADIAMAAyADYAOgAgADEAMAAuADEALgAxAC4AMQAsACAARQBxAHUAYQB0AGkAbwBuACAAKAAyACkAXAAiACkAOwBcAG4AXABuAFYARQBFAFIARwBfADEAMABfADEAXwAxAF8AMQBfAF8AMgBfAE0AYQBzAHMATwBmAFcAYQBzAHQAZQBGAHIAbwBtAFYAbwBsAHUAbQBlAF8ATgBJAFIAUgBlAGYAZQByAGUAbgBjAGUAXABuACAAIAA9AEwAQQBNAEIARABBACgAXAAiAFwAIgApADsAXABuAFwAbgBWAEUARQBSAEcAXwAxADAAXwAxAF8AMQBfADEAXwBfADIAXwBNAGEAcwBzAE8AZgBXAGEAcwB0AGUARgByAG8AbQBWAG8AbAB1AG0AZQBfAEwAYQB0AGUAeABFAHEAdQBhAHQAaQBvAG4AXABuACAAIAA9AEwAQQBNAEIARABBACgAXAAiAFEAXwB7AHcAdAB9AD0AVgBfAHsAdwB0AH0AXABcAHQAaQBtAGUAcwAgAFYAVABNAF8AdwBcACIAKQA7AFwAbgBcAG4AVgBFAEUAUgBHAF8AMQAwAF8AMQBfADEAXwAxAF8AXwAyAF8ATQBhAHMAcwBPAGYAVwBhAHMAdABlAEYAcgBvAG0AVgBvAGwAdQBtAGUAXwBBAHIAZwB1AG0AZQBuAHQAcwBcAG4AIAAgAD0ATABBAE0AQgBEAEEAKABcAG4AIAAgACAAIABNAEEASwBFAEEAUgBSAEEAWQAoADQALAAgADQALABcAG4AIAAgACAAIAAgACAATABBAE0AQgBEAEEAKAByACwAYwAsAFwAbgAgACAAIAAgACAAIAAgACAASQBOAEQARQBYACgAewBcAG4AIAAgACAAIAAgACAAIAAgACAAIABcACIAVgBfAHcAdABcACIALAAgAFwAIgB2AG8AbAB1AG0AZQAgAG8AZgAgAHMAbwBsAGkAZAAgAHcAYQBzAHQAZQAgAHQAeQBwAGUAIAB3ACAAYgBlAGkAbgBnACAAcwBlAG4AdAAgAHQAbwAgAHQAcgBlAGEAdABtAGUAbgB0ACAAZgBhAGMAaQBsAGkAdAB5ACAAdABcACIALAAgAFwAIgBtADMAXAAiACwAIABcACIASQBuAHAAdQB0AFwAIgA7AFwAbgAgACAAIAAgACAAIAAgACAAIAAgAFwAIgBWAFQATQBfAHcAXAAiACwAIABcACIAYwBvAG4AdgBlAHIAcwBpAG8AbgAgAGYAYQBjAHQAbwByACAAbwBmACAAdgBvAGwAdQBtAGUAIAB0AG8AIABtAGEAcwBzACAAZgBvAHIAIAB3AGEAcwB0AGUAIAB0AHkAcABlACAAdwBcACIALAAgAFwAIgB0AC8AbQAzAFwAIgAsACAAXAAiAEMAbwBuAHMAdABhAG4AdABcACIAOwBcAG4AIAAgACAAIAAgACAAIAAgACAAIABcACIAdwBcACIALAAgAFwAIgB3AGEAcwB0AGUAIAB0AHkAcABlAFwAIgAsACAAXAAiAFwAIgAsACAAXAAiAEkAbgBwAHUAdABcACIAOwBcAG4AIAAgACAAIAAgACAAIAAgACAAIABcACIAdABcACIALAAgAFwAIgB0AHIAZQBhAHQAbQBlAG4AdAAgAGYAYQBjAGkAbABpAHQAeQ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330</vt:i4>
      </vt:variant>
    </vt:vector>
  </HeadingPairs>
  <TitlesOfParts>
    <vt:vector size="377" baseType="lpstr">
      <vt:lpstr>Home</vt:lpstr>
      <vt:lpstr>Results</vt:lpstr>
      <vt:lpstr>Input - Enterprise</vt:lpstr>
      <vt:lpstr>Input - Site</vt:lpstr>
      <vt:lpstr>Input - Pasture Beef</vt:lpstr>
      <vt:lpstr>Input - Pasture Beef (Enteric)</vt:lpstr>
      <vt:lpstr>Input - Livestock sales</vt:lpstr>
      <vt:lpstr>Input - Beef cattle purchases</vt:lpstr>
      <vt:lpstr>Input - Pasture</vt:lpstr>
      <vt:lpstr>Input - Fert Prod System</vt:lpstr>
      <vt:lpstr>Input - Fertiliser</vt:lpstr>
      <vt:lpstr>Input - Fuel</vt:lpstr>
      <vt:lpstr>Input - Electricity</vt:lpstr>
      <vt:lpstr>Input - Farm Inputs</vt:lpstr>
      <vt:lpstr>Input - Freight</vt:lpstr>
      <vt:lpstr>Input - Manure sent off-site</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Common</vt:lpstr>
      <vt:lpstr>Acknowledgements</vt:lpstr>
      <vt:lpstr>Input - Solid waste</vt:lpstr>
      <vt:lpstr>10.1.1-2 Solid waste treatment</vt:lpstr>
      <vt:lpstr>Constants - Solid Waste</vt:lpstr>
      <vt:lpstr>Overview</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'3.2.1.1-2 Enteric Methane'!M1_Table_D_j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Acknowledgements!M1_Table_I_j_k_l</vt:lpstr>
      <vt:lpstr>'Constants - Common Livestock'!M1_Table_I_j_k_l</vt:lpstr>
      <vt:lpstr>'Constants - Pasture Beef'!M1_Table_I_j_k_l</vt:lpstr>
      <vt:lpstr>'Input - Pasture Beef'!M1_Table_I_j_k_l</vt:lpstr>
      <vt:lpstr>M1_Table_I_j_k_l_Consumer_1</vt:lpstr>
      <vt:lpstr>M1_Table_L_j_k_l</vt:lpstr>
      <vt:lpstr>'3.2.1.1-2 Enteric Methane'!M1_Table_LC_j_k45</vt:lpstr>
      <vt:lpstr>M1_Table_LC_j_k45</vt:lpstr>
      <vt:lpstr>M1_Table_LC_j_k45_Consumer_1</vt:lpstr>
      <vt:lpstr>'3.2.1.1-2 Enteric Methane'!M1_Table_LWG_j_k_l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Acknowledgements!M1_Table_MA_j_k45</vt:lpstr>
      <vt:lpstr>'Constants - Common Livestock'!M1_Table_MA_j_k45</vt:lpstr>
      <vt:lpstr>'Constants - Pasture Beef'!M1_Table_MA_j_k45</vt:lpstr>
      <vt:lpstr>'Input - Pasture Beef'!M1_Table_MA_j_k45</vt:lpstr>
      <vt:lpstr>M1_Table_MC_j_k_136</vt:lpstr>
      <vt:lpstr>M1_Table_MCF_i_m</vt:lpstr>
      <vt:lpstr>M1_Table_MP_j_k45</vt:lpstr>
      <vt:lpstr>'3.2.1.1-2 Enteric Methane'!M1_Table_N_j_k_l</vt:lpstr>
      <vt:lpstr>M1_Table_N_j_k_l</vt:lpstr>
      <vt:lpstr>M1_Table_N_j_k_l_Consumer_1</vt:lpstr>
      <vt:lpstr>M1_Table_NE_j_k_l</vt:lpstr>
      <vt:lpstr>M1_Table_NR_j_k_l</vt:lpstr>
      <vt:lpstr>'4.2.1.1-2 Methane'!M1_Table_VS_j_k_l</vt:lpstr>
      <vt:lpstr>'3.2.1.1-2 Enteric Methane'!M1_Table_W_j_k_l</vt:lpstr>
      <vt:lpstr>M1_Table_W_j_k_l</vt:lpstr>
      <vt:lpstr>M1_Table_W_j_k_l_Consumer_1</vt:lpstr>
      <vt:lpstr>M1_Table_Z_j_k_l</vt:lpstr>
      <vt:lpstr>M2_Table_AE</vt:lpstr>
      <vt:lpstr>M2_Table_CP_j</vt:lpstr>
      <vt:lpstr>'3.2.1.1-2 Enteric Methane'!M2_Table_D_j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Acknowledgements!M2_Table_I_j_k_l</vt:lpstr>
      <vt:lpstr>'Constants - Common Livestock'!M2_Table_I_j_k_l</vt:lpstr>
      <vt:lpstr>'Constants - Pasture Beef'!M2_Table_I_j_k_l</vt:lpstr>
      <vt:lpstr>'Input - Pasture Beef'!M2_Table_I_j_k_l</vt:lpstr>
      <vt:lpstr>M2_Table_I_j_k_l_Consumer_1</vt:lpstr>
      <vt:lpstr>M2_Table_L_j_k_l</vt:lpstr>
      <vt:lpstr>'3.2.1.1-2 Enteric Methane'!M2_Table_LC_j_k45</vt:lpstr>
      <vt:lpstr>M2_Table_LC_j_k45</vt:lpstr>
      <vt:lpstr>M2_Table_LC_j_k45_Consumer_1</vt:lpstr>
      <vt:lpstr>M2_Table_LW_j_k_l</vt:lpstr>
      <vt:lpstr>'3.2.1.1-2 Enteric Methane'!M2_Table_LWG_j_k_l</vt:lpstr>
      <vt:lpstr>M2_Table_LWG_j_k_l</vt:lpstr>
      <vt:lpstr>M2_Table_LWG_j_k_l_Consumer_1</vt:lpstr>
      <vt:lpstr>M2_Table_M_j_k_l</vt:lpstr>
      <vt:lpstr>M2_Table_M_j_k_l_m</vt:lpstr>
      <vt:lpstr>'6.3.1.1-2 Leach runoff pasture'!M2_Table_M_leach_cp</vt:lpstr>
      <vt:lpstr>'3.2.1.1-2 Enteric Methane'!M2_Table_MA_j_k45</vt:lpstr>
      <vt:lpstr>M2_Table_MA_j_k45</vt:lpstr>
      <vt:lpstr>M2_Table_MC_j_k_136</vt:lpstr>
      <vt:lpstr>M2_Table_MCF_i_m</vt:lpstr>
      <vt:lpstr>M2_Table_MP_j_k45</vt:lpstr>
      <vt:lpstr>'3.2.1.1-2 Enteric Methane'!M2_Table_N_j_k_l</vt:lpstr>
      <vt:lpstr>M2_Table_N_j_k_l</vt:lpstr>
      <vt:lpstr>M2_Table_N_j_k_l_Consumer_1</vt:lpstr>
      <vt:lpstr>M2_Table_NE_j_k_l</vt:lpstr>
      <vt:lpstr>M2_Table_NR_j_k_l</vt:lpstr>
      <vt:lpstr>M2_Table_VS_j_k_l</vt:lpstr>
      <vt:lpstr>'3.2.1.1-2 Enteric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Beef cattle purchases'!VEERG_5_4_1_3__1_OrganicFertiliserAtmosphericDepositionN2OEmissions_Result_Method1</vt:lpstr>
      <vt:lpstr>'Input - Farm Inputs'!VEERG_5_4_1_3__1_OrganicFertiliserAtmosphericDepositionN2OEmissions_Result_Method1</vt:lpstr>
      <vt:lpstr>'Input - Freight'!VEERG_5_4_1_3__1_OrganicFertiliserAtmosphericDepositionN2OEmissions_Result_Method1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Beef cattle purchases'!VEERG_5_5_1_1__1_FertiliserLeachingAndRunoffN2OEmissions_Result_Method1</vt:lpstr>
      <vt:lpstr>'Input - Farm Inputs'!VEERG_5_5_1_1__1_FertiliserLeachingAndRunoffN2OEmissions_Result_Method1</vt:lpstr>
      <vt:lpstr>'Input - Freight'!VEERG_5_5_1_1__1_FertiliserLeachingAndRunoffN2OEmissions_Result_Method1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'Input - Pasture Beef (Enteric)'!X_Cell_PastureBeef_Breed</vt:lpstr>
      <vt:lpstr>X_Cell_PastureBeef_Breed</vt:lpstr>
      <vt:lpstr>X_Cell_PastureBeef_CalculatedMMSAnaerobicLagoon</vt:lpstr>
      <vt:lpstr>X_Cell_PastureBeef_CalculatedMMSPastureRangeAndPaddock</vt:lpstr>
      <vt:lpstr>'Input - Pasture Beef (Enteric)'!X_Cell_PastureBeef_FencedWater</vt:lpstr>
      <vt:lpstr>X_Cell_PastureBeef_FencedWater</vt:lpstr>
      <vt:lpstr>'Input - Pasture Beef (Enteric)'!X_Cell_PastureBeef_GrazingIrrigationMethod</vt:lpstr>
      <vt:lpstr>X_Cell_PastureBeef_GrazingIrrigationMethod</vt:lpstr>
      <vt:lpstr>'Input - Pasture Beef (Enteric)'!X_Cell_PastureBeef_GrazingProductionSystem</vt:lpstr>
      <vt:lpstr>X_Cell_PastureBeef_GrazingProductionSystem</vt:lpstr>
      <vt:lpstr>'Input - Pasture Beef (Enteric)'!X_Cell_PastureBeef_ProductionRegion</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'Input - Pasture Beef (Enteric)'!X_Table_PastureBeef_CrudeProtein_Method1</vt:lpstr>
      <vt:lpstr>X_Table_PastureBeef_CrudeProtein_Method1</vt:lpstr>
      <vt:lpstr>'Input - Pasture Beef (Enteric)'!X_Table_PastureBeef_CrudeProtein_Method2</vt:lpstr>
      <vt:lpstr>X_Table_PastureBeef_CrudeProtein_Method2</vt:lpstr>
      <vt:lpstr>'Input - Pasture Beef (Enteric)'!X_Table_PastureBeef_DryMatterDigestibility_Method1</vt:lpstr>
      <vt:lpstr>X_Table_PastureBeef_DryMatterDigestibility_Method1</vt:lpstr>
      <vt:lpstr>'Input - Pasture Beef (Enteric)'!X_Table_PastureBeef_DryMatterDigestibility_Method2</vt:lpstr>
      <vt:lpstr>X_Table_PastureBeef_DryMatterDigestibility_Method2</vt:lpstr>
      <vt:lpstr>'Input - Pasture Beef (Enteric)'!X_Table_PastureBeef_Duration_Method1</vt:lpstr>
      <vt:lpstr>X_Table_PastureBeef_Duration_Method1</vt:lpstr>
      <vt:lpstr>'Input - Pasture Beef (Enteric)'!X_Table_PastureBeef_Duration_Method2</vt:lpstr>
      <vt:lpstr>X_Table_PastureBeef_Duration_Method2</vt:lpstr>
      <vt:lpstr>'Input - Pasture Beef (Enteric)'!X_Table_PastureBeef_Head_Method1</vt:lpstr>
      <vt:lpstr>X_Table_PastureBeef_Head_Method1</vt:lpstr>
      <vt:lpstr>'Input - Pasture Beef (Enteric)'!X_Table_PastureBeef_Head_Method2</vt:lpstr>
      <vt:lpstr>X_Table_PastureBeef_Head_Method2</vt:lpstr>
      <vt:lpstr>'Input - Pasture Beef (Enteric)'!X_Table_PastureBeef_Liveweight_Method1</vt:lpstr>
      <vt:lpstr>X_Table_PastureBeef_Liveweight_Method1</vt:lpstr>
      <vt:lpstr>'Input - Pasture Beef (Enteric)'!X_Table_PastureBeef_Liveweight_Method2</vt:lpstr>
      <vt:lpstr>X_Table_PastureBeef_Liveweight_Method2</vt:lpstr>
      <vt:lpstr>'Input - Pasture Beef (Enteric)'!X_Table_PastureBeef_LiveweightGain_Method1</vt:lpstr>
      <vt:lpstr>X_Table_PastureBeef_LiveweightGain_Method1</vt:lpstr>
      <vt:lpstr>'Input - Pasture Beef (Enteric)'!X_Table_PastureBeef_LiveweightGain_Method2</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2026-08-03T05:06:07Z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