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drawings/drawing24.xml" ContentType="application/vnd.openxmlformats-officedocument.drawing+xml"/>
  <Override PartName="/xl/tables/table11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F2733699-8589-40F7-ABA1-1EC584FEE211}" xr6:coauthVersionLast="47" xr6:coauthVersionMax="47" xr10:uidLastSave="{00000000-0000-0000-0000-000000000000}"/>
  <bookViews>
    <workbookView xWindow="5070" yWindow="5070" windowWidth="28800" windowHeight="15345" firstSheet="49" activeTab="53" xr2:uid="{992023F3-CAB7-4E5B-A348-08D563A0EF40}"/>
  </bookViews>
  <sheets>
    <sheet name="Home" sheetId="71" r:id="rId1"/>
    <sheet name="Results" sheetId="13" r:id="rId2"/>
    <sheet name="Input - Enterprise" sheetId="72" r:id="rId3"/>
    <sheet name="Input - Site" sheetId="75" r:id="rId4"/>
    <sheet name="Input - Dairy" sheetId="79" r:id="rId5"/>
    <sheet name="Input - Dairy (Enteric)" sheetId="89" r:id="rId6"/>
    <sheet name="Input - Livestock sales" sheetId="77" r:id="rId7"/>
    <sheet name="Input - Dairy cattle purchases" sheetId="113" r:id="rId8"/>
    <sheet name="Input - Pasture" sheetId="109" r:id="rId9"/>
    <sheet name="Input - Fert Prod System" sheetId="76" r:id="rId10"/>
    <sheet name="Input - Fertiliser" sheetId="91" r:id="rId11"/>
    <sheet name="Input - Fuel" sheetId="102" r:id="rId12"/>
    <sheet name="Input - Electricity" sheetId="99" r:id="rId13"/>
    <sheet name="Input - Common farm inputs" sheetId="114" r:id="rId14"/>
    <sheet name="Input - Crop pasture farm input" sheetId="115" r:id="rId15"/>
    <sheet name="Input - Livestock farm Inputs" sheetId="116" r:id="rId16"/>
    <sheet name="Input - Freight" sheetId="117" r:id="rId17"/>
    <sheet name="Input - Manure sent off-site" sheetId="118" r:id="rId18"/>
    <sheet name="5.1.1.1-2 Inorganic fert N2O" sheetId="92" r:id="rId19"/>
    <sheet name="5.1.1.3-4 Inorganic fert CO2" sheetId="93" r:id="rId20"/>
    <sheet name="5.2.1.1-2 Organic Fert N2O" sheetId="94" r:id="rId21"/>
    <sheet name="5.3.1.1-2 Lime CO2" sheetId="95" r:id="rId22"/>
    <sheet name="5.4.1.1-4 Atmos deposition" sheetId="96" r:id="rId23"/>
    <sheet name="5.5.1.1-2 Leaching and runoff" sheetId="97" r:id="rId24"/>
    <sheet name="6.2.1.1-2 Pasture residue N2O" sheetId="110" r:id="rId25"/>
    <sheet name="6.3.1.1-2 Leach runoff pasture" sheetId="111" r:id="rId26"/>
    <sheet name="8.1.1.1-2 Transport fuel" sheetId="103" r:id="rId27"/>
    <sheet name="8.2.1.1-2 Stationary fuel" sheetId="104" r:id="rId28"/>
    <sheet name="14.1.1-2 Purchased electricity" sheetId="100" r:id="rId29"/>
    <sheet name="15 Scope 3" sheetId="119" r:id="rId30"/>
    <sheet name="Calcs - Manure sent off-site" sheetId="120" r:id="rId31"/>
    <sheet name="Constants - Dairy" sheetId="88" r:id="rId32"/>
    <sheet name="Constants - Ag Residue" sheetId="112" r:id="rId33"/>
    <sheet name="Constants - Common Livestock" sheetId="122" r:id="rId34"/>
    <sheet name="Constants - Electricity" sheetId="101" r:id="rId35"/>
    <sheet name="Constants - Fertiliser" sheetId="98" r:id="rId36"/>
    <sheet name="Constants - Fuel" sheetId="105" r:id="rId37"/>
    <sheet name="Constants - Scope 3" sheetId="121" r:id="rId38"/>
    <sheet name="Constants - Common" sheetId="74" r:id="rId39"/>
    <sheet name="Acknowledgements" sheetId="124" r:id="rId40"/>
    <sheet name="Input - Solid waste" sheetId="106" r:id="rId41"/>
    <sheet name="4.3.1.1-2 Methane" sheetId="80" r:id="rId42"/>
    <sheet name="4.3.1.3-4 Direct N20" sheetId="81" r:id="rId43"/>
    <sheet name="4.3.1.5 Atmos deposition" sheetId="82" r:id="rId44"/>
    <sheet name="4.3.1.6-7 Leaching and runoff" sheetId="83" r:id="rId45"/>
    <sheet name="4.3.1.8 Manure applied to soils" sheetId="84" r:id="rId46"/>
    <sheet name="4.3.1.9 Soil direct N2O" sheetId="85" r:id="rId47"/>
    <sheet name="4.3.1.10-11 Soil Atmos Dep" sheetId="86" r:id="rId48"/>
    <sheet name="4.3.1.12-13 Soil leach runoff" sheetId="87" r:id="rId49"/>
    <sheet name="3.3.1.1-2 Enteric Methane" sheetId="90" r:id="rId50"/>
    <sheet name="10.1.1-2 Solid waste treatment" sheetId="107" r:id="rId51"/>
    <sheet name="Constants - Solid Waste" sheetId="108" r:id="rId52"/>
    <sheet name="Overview" sheetId="123" r:id="rId53"/>
    <sheet name="Input - Data quality" sheetId="78" r:id="rId54"/>
  </sheets>
  <definedNames>
    <definedName name="_Toc225350871" localSheetId="22">'5.4.1.1-4 Atmos deposition'!$C$1</definedName>
    <definedName name="_Toc225350871" localSheetId="23">'5.5.1.1-2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9">_xlfn.LAMBDA(_xlpm.Mburnc,_xlpm.CCc,_xlpm.EFCH4,_xlpm.C_CH4, _xlpm.Mburnc * _xlpm.CCc * _xlpm.EFCH4 * _xlpm.C_CH4 * 10 ^ (-3))</definedName>
    <definedName name="AgResidue_Equations_FieldBurning.VEERG_6_4_1_1__1__MethaneEmissionsFromBurningOfCropResidues" localSheetId="30">_xlfn.LAMBDA(_xlpm.Mburnc,_xlpm.CCc,_xlpm.EFCH4,_xlpm.C_CH4, _xlpm.Mburnc * _xlpm.CCc * _xlpm.EFCH4 * _xlpm.C_CH4 * 10 ^ (-3))</definedName>
    <definedName name="AgResidue_Equations_FieldBurning.VEERG_6_4_1_1__1__MethaneEmissionsFromBurningOfCropResidues" localSheetId="3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6">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 localSheetId="17">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9">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9">_xlfn.LAMBDA("E_{CH4}=\sum_{c}(M_{burn,c}\times CC_{c}\times EF_{CH4}\times C_{CH4}\times 10^{-3})")</definedName>
    <definedName name="AgResidue_Equations_FieldBurning.VEERG_6_4_1_1__1__MethaneEmissionsFromBurningOfCropResidues_LatexEquation" localSheetId="30">_xlfn.LAMBDA("E_{CH4}=\sum_{c}(M_{burn,c}\times CC_{c}\times EF_{CH4}\times C_{CH4}\times 10^{-3})")</definedName>
    <definedName name="AgResidue_Equations_FieldBurning.VEERG_6_4_1_1__1__MethaneEmissionsFromBurningOfCropResidues_LatexEquation" localSheetId="3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6">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 localSheetId="17">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9">_xlfn.LAMBDA(_xlpm.Mburnc,_xlpm.NCAGc,_xlpm.EFN2O,_xlpm.CN2O, _xlpm.Mburnc * _xlpm.NCAGc * _xlpm.EFN2O * _xlpm.CN2O * 10 ^ (-3))</definedName>
    <definedName name="AgResidue_Equations_FieldBurning.VEERG_6_4_1_1__2__NitrousOxideEmissionsFromBurningOfCropResidues" localSheetId="30">_xlfn.LAMBDA(_xlpm.Mburnc,_xlpm.NCAGc,_xlpm.EFN2O,_xlpm.CN2O, _xlpm.Mburnc * _xlpm.NCAGc * _xlpm.EFN2O * _xlpm.CN2O * 10 ^ (-3))</definedName>
    <definedName name="AgResidue_Equations_FieldBurning.VEERG_6_4_1_1__2__NitrousOxideEmissionsFromBurningOfCropResidues" localSheetId="3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6">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 localSheetId="17">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9">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9">_xlfn.LAMBDA("E_{N2O}=\sum_{c}(M_{burn,c}\times NC_{AGc}\times EF_{N2O}\times C_{N2O}\times 10^{-3})")</definedName>
    <definedName name="AgResidue_Equations_FieldBurning.VEERG_6_4_1_1__2__NitrousOxideEmissionsFromBurningOfCropResidues_LatexEquation" localSheetId="30">_xlfn.LAMBDA("E_{N2O}=\sum_{c}(M_{burn,c}\times NC_{AGc}\times EF_{N2O}\times C_{N2O}\times 10^{-3})")</definedName>
    <definedName name="AgResidue_Equations_FieldBurning.VEERG_6_4_1_1__2__NitrousOxideEmissionsFromBurningOfCropResidues_LatexEquation" localSheetId="3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6">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 localSheetId="17">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9">_xlfn.LAMBDA(_xlpm.Pc,_xlpm.RAGc,_xlpm.Sc,_xlpm.DMc,_xlpm.Zc,_xlpm.Fc, _xlpm.Pc * _xlpm.RAGc * _xlpm.Sc * _xlpm.DMc * _xlpm.Zc * _xlpm.Fc)</definedName>
    <definedName name="AgResidue_Equations_FieldBurning.VEERG_6_4_1_1__3__MassOfCropResidueBurnt" localSheetId="30">_xlfn.LAMBDA(_xlpm.Pc,_xlpm.RAGc,_xlpm.Sc,_xlpm.DMc,_xlpm.Zc,_xlpm.Fc, _xlpm.Pc * _xlpm.RAGc * _xlpm.Sc * _xlpm.DMc * _xlpm.Zc * _xlpm.Fc)</definedName>
    <definedName name="AgResidue_Equations_FieldBurning.VEERG_6_4_1_1__3__MassOfCropResidueBurnt" localSheetId="3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6">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 localSheetId="17">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9">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9">_xlfn.LAMBDA("Mburnc")</definedName>
    <definedName name="AgResidue_Equations_FieldBurning.VEERG_6_4_1_1__3__MassOfCropResidueBurnt_Variable" localSheetId="30">_xlfn.LAMBDA("Mburnc")</definedName>
    <definedName name="AgResidue_Equations_FieldBurning.VEERG_6_4_1_1__3__MassOfCropResidueBurnt_Variable" localSheetId="3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6">_xlfn.LAMBDA("Mburnc")</definedName>
    <definedName name="AgResidue_Equations_FieldBurning.VEERG_6_4_1_1__3__MassOfCropResidueBurnt_Variable" localSheetId="15">_xlfn.LAMBDA("Mburnc")</definedName>
    <definedName name="AgResidue_Equations_FieldBurning.VEERG_6_4_1_1__3__MassOfCropResidueBurnt_Variable" localSheetId="17">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4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6">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7">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6">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6">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7">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6">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9">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0">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9">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0">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9">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0">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9">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0">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 localSheetId="29">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30">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3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4">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6">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5">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 localSheetId="17">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 localSheetId="1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1">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2">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29">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30">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37">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3">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7">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6">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5">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 localSheetId="17">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9">_xlfn.LAMBDA(_xlpm.Q_Transtq,_xlpm.EC_Transq,_xlpm.EF_Trans1tqg, [0]!Fuel_Equations.VEERG_8_FuelCombustion(_xlpm.Q_Transtq, _xlpm.EC_Transq, _xlpm.EF_Trans1tqg))</definedName>
    <definedName name="Fuel_Equations.VEERG_8_1_1_1__1_FuelCombustionTransport" localSheetId="26">_xlfn.LAMBDA(_xlpm.Q_Transtq,_xlpm.EC_Transq,_xlpm.EF_Trans1tqg, [0]!Fuel_Equations.VEERG_8_FuelCombustion(_xlpm.Q_Transtq, _xlpm.EC_Transq, _xlpm.EF_Trans1tqg))</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9">_xlfn.LAMBDA(_xlpm.Q_SCq,_xlpm.EC_SCq,_xlpm.EF_SC1qg, [0]!Fuel_Equations.VEERG_8_FuelCombustion(_xlpm.Q_SCq, _xlpm.EC_SCq, _xlpm.EF_SC1qg))</definedName>
    <definedName name="Fuel_Equations.VEERG_8_2_1_1__1_FuelCombustionStationary" localSheetId="26">_xlfn.LAMBDA(_xlpm.Q_SCq,_xlpm.EC_SCq,_xlpm.EF_SC1qg, [0]!Fuel_Equations.VEERG_8_FuelCombustion(_xlpm.Q_SCq, _xlpm.EC_SCq, _xlpm.EF_SC1qg))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9">_xlfn.LAMBDA(_xlpm.Cell, RIGHT(_xlpm.Cell, LEN(_xlpm.Cell) - FIND(", ", _xlpm.Cell)))</definedName>
    <definedName name="Fuel_InputFunctions.Fuel_GetStationaryFuelString" localSheetId="30">_xlfn.LAMBDA(_xlpm.Cell, RIGHT(_xlpm.Cell, LEN(_xlpm.Cell) - FIND(", ", _xlpm.Cell)))</definedName>
    <definedName name="Fuel_InputFunctions.Fuel_GetStationaryFuelString" localSheetId="3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6">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 localSheetId="17">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9">'3.3.1.1-2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9">'3.3.1.1-2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5">'6.3.1.1-2 Leach runoff pasture'!$N$44:$O$46</definedName>
    <definedName name="M1_Table_E_N2O">'5.1.1.1-2 Inorganic fert N2O'!$D$59:$E$78</definedName>
    <definedName name="M1_Table_E_N2O_Consumer_1" localSheetId="25">'6.3.1.1-2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9">'3.3.1.1-2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49">'3.3.1.1-2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5">'6.3.1.1-2 Leach runoff pasture'!$D$23:$I$25</definedName>
    <definedName name="M1_Table_M_leach_M14">'4.3.1.12-13 Soil leach runoff'!$D$27:$J$28</definedName>
    <definedName name="M1_Table_M_vol_m14">'4.3.1.10-11 Soil Atmos Dep'!$D$23:$J$24</definedName>
    <definedName name="M1_Table_MI_j" localSheetId="49">'3.3.1.1-2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9">'3.3.1.1-2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9">'3.3.1.1-2 Enteric Methane'!$D$44:$H$45</definedName>
    <definedName name="M1_Table_MS_j">'4.3.1.1-2 Methane'!$D$44:$H$45</definedName>
    <definedName name="M1_Table_NE_j">'4.3.1.3-4 Direct N20'!$D$145:$H$146</definedName>
    <definedName name="M1_Table_NR_j">'4.3.1.3-4 Direct N20'!$D$102:$H$103</definedName>
    <definedName name="M1_Table_qm_j" localSheetId="49">'3.3.1.1-2 Enteric Methane'!$D$23:$H$24</definedName>
    <definedName name="M1_Table_qm_j">'4.3.1.1-2 Methane'!$D$23:$H$24</definedName>
    <definedName name="M1_Table_SS_m">'4.3.1.1-2 Methane'!$D$161:$F$168</definedName>
    <definedName name="M1_Table_VS_j">'4.3.1.1-2 Methane'!$D$132:$H$133</definedName>
    <definedName name="M1_Table_W_j" localSheetId="49">'3.3.1.1-2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9">'3.3.1.1-2 Enteric Methane'!$M$164:$Q$165</definedName>
    <definedName name="M2_Table_D_j">'4.3.1.1-2 Methane'!$O$274:$S$275</definedName>
    <definedName name="M2_Table_D_j124">'4.3.1.3-4 Direct N20'!$N$170:$R$171</definedName>
    <definedName name="M2_Table_DMD_j" localSheetId="49">'3.3.1.1-2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N2O'!$M$44:$W$59</definedName>
    <definedName name="M2_Table_FVS_j_m4">'4.3.1.1-2 Methane'!$O$204:$U$206</definedName>
    <definedName name="M2_Table_I_j" localSheetId="49">'3.3.1.1-2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49">'3.3.1.1-2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5">'6.3.1.1-2 Leach runoff pasture'!$N$23:$S$23</definedName>
    <definedName name="M2_Table_M_leach_M14">'4.3.1.12-13 Soil leach runoff'!$O$27:$U$28</definedName>
    <definedName name="M2_Table_M_vol_m14">'4.3.1.10-11 Soil Atmos Dep'!$O$23:$U$24</definedName>
    <definedName name="M2_Table_MI_j" localSheetId="49">'3.3.1.1-2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9">'3.3.1.1-2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9">'3.3.1.1-2 Enteric Methane'!$M$23:$Q$24</definedName>
    <definedName name="M2_Table_qm_j">'4.3.1.1-2 Methane'!$O$23:$S$24</definedName>
    <definedName name="M2_Table_SS_m">'4.3.1.1-2 Methane'!$O$161:$Q$168</definedName>
    <definedName name="M2_Table_VS_j">'4.3.1.1-2 Methane'!$O$132:$S$133</definedName>
    <definedName name="M2_Table_W_j" localSheetId="49">'3.3.1.1-2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9">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9">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9">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9">_xlfn.LAMBDA(_xlpm.E_N2O,_xlpm.E_ad,_xlpm.E_leach, _xlpm.E_N2O + _xlpm.E_ad + _xlpm.E_leach)</definedName>
    <definedName name="Scope3_Equations.VEERG_15_13_1_3__1_EmissionsFromSolidWasteTreatmentFacility" localSheetId="30">_xlfn.LAMBDA(_xlpm.E_N2O,_xlpm.E_ad,_xlpm.E_leach, _xlpm.E_N2O + _xlpm.E_ad + _xlpm.E_leach)</definedName>
    <definedName name="Scope3_Equations.VEERG_15_13_1_3__1_EmissionsFromSolidWasteTreatmentFacility" localSheetId="3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6">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 localSheetId="17">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9">'Constants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9">'Constants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9">'3.3.1.1-2 Enteric Methane'!$D$74:$H$75</definedName>
    <definedName name="Table_MP_j">'4.3.1.3-4 Direct N20'!$D$92:$H$93</definedName>
    <definedName name="Table_MP_j_Consumer_1">'4.3.1.1-2 Methane'!$D$73:$H$74</definedName>
    <definedName name="Table_MPW_manure_j35">'4.3.1.1-2 Methane'!$D$279:$H$280</definedName>
    <definedName name="Table_MR_j" localSheetId="49">'3.3.1.1-2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9">'3.3.1.1-2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9">'Calcs - Manure sent off-site'!$E$55</definedName>
    <definedName name="VEERG_5_4_1_3__1_OrganicFertiliserAtmosphericDepositionN2OEmissions_Result_Method1" localSheetId="30">'Calcs - Manure sent off-site'!$E$55</definedName>
    <definedName name="VEERG_5_4_1_3__1_OrganicFertiliserAtmosphericDepositionN2OEmissions_Result_Method1" localSheetId="3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9">'Calcs - Manure sent off-site'!$E$90</definedName>
    <definedName name="VEERG_5_5_1_1__1_FertiliserLeachingAndRunoffN2OEmissions_Result_Method1" localSheetId="30">'Calcs - Manure sent off-site'!$E$90</definedName>
    <definedName name="VEERG_5_5_1_1__1_FertiliserLeachingAndRunoffN2OEmissions_Result_Method1" localSheetId="3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5">'6.3.1.1-2 Leach runoff pasture'!$E$48</definedName>
    <definedName name="VEERG_6_3_1_1__1__LeachingAndRunoffEmissionsCropAndPastureResidue_Result_Method2" localSheetId="25">'6.3.1.1-2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 i="78" l="1"/>
  <c r="A64" i="78"/>
  <c r="A63" i="78"/>
  <c r="A62" i="78"/>
  <c r="A61" i="78"/>
  <c r="A60" i="78"/>
  <c r="A59" i="78"/>
  <c r="A58" i="78"/>
  <c r="A57" i="78"/>
  <c r="A56" i="78"/>
  <c r="A52" i="78"/>
  <c r="A51" i="78"/>
  <c r="A50" i="78"/>
  <c r="A49" i="78"/>
  <c r="A48" i="78"/>
  <c r="A47" i="78"/>
  <c r="A46" i="78"/>
  <c r="A45" i="78"/>
  <c r="A44" i="78"/>
  <c r="A43" i="78"/>
  <c r="A42" i="78"/>
  <c r="A41" i="78"/>
  <c r="A40" i="78"/>
  <c r="A39" i="78"/>
  <c r="A38" i="78"/>
  <c r="A37" i="78"/>
  <c r="A36" i="78"/>
  <c r="A35" i="78"/>
  <c r="A34" i="78"/>
  <c r="A33" i="78"/>
  <c r="A32" i="78"/>
  <c r="A31" i="78"/>
  <c r="A30" i="78"/>
  <c r="A26" i="78"/>
  <c r="A25" i="78"/>
  <c r="A24" i="78"/>
  <c r="A23" i="78"/>
  <c r="A22" i="78"/>
  <c r="A21" i="78"/>
  <c r="A20" i="78"/>
  <c r="A19" i="78"/>
  <c r="A18" i="78"/>
  <c r="A17" i="78"/>
  <c r="A16" i="78"/>
  <c r="A15" i="78"/>
  <c r="A14" i="78"/>
  <c r="A13" i="78"/>
  <c r="A12" i="78"/>
  <c r="A11" i="78"/>
  <c r="A10" i="78"/>
  <c r="A9" i="78"/>
  <c r="A5" i="78"/>
  <c r="A4" i="78"/>
  <c r="A3" i="78"/>
  <c r="A65" i="123"/>
  <c r="A64" i="123"/>
  <c r="A63" i="123"/>
  <c r="A62" i="123"/>
  <c r="A61" i="123"/>
  <c r="A60" i="123"/>
  <c r="A59" i="123"/>
  <c r="A58" i="123"/>
  <c r="A57" i="123"/>
  <c r="A56" i="123"/>
  <c r="A52" i="123"/>
  <c r="A51" i="123"/>
  <c r="A50" i="123"/>
  <c r="A49" i="123"/>
  <c r="A48" i="123"/>
  <c r="A47" i="123"/>
  <c r="A46" i="123"/>
  <c r="A45" i="123"/>
  <c r="A44" i="123"/>
  <c r="A43" i="123"/>
  <c r="A42" i="123"/>
  <c r="A41" i="123"/>
  <c r="A40" i="123"/>
  <c r="A39" i="123"/>
  <c r="A38" i="123"/>
  <c r="A37" i="123"/>
  <c r="A36" i="123"/>
  <c r="A35" i="123"/>
  <c r="A34" i="123"/>
  <c r="A33" i="123"/>
  <c r="A32" i="123"/>
  <c r="A31" i="123"/>
  <c r="A30" i="123"/>
  <c r="A26" i="123"/>
  <c r="A25" i="123"/>
  <c r="A24" i="123"/>
  <c r="A23" i="123"/>
  <c r="A22" i="123"/>
  <c r="A21" i="123"/>
  <c r="A20" i="123"/>
  <c r="A19" i="123"/>
  <c r="A18" i="123"/>
  <c r="A17" i="123"/>
  <c r="A16" i="123"/>
  <c r="A15" i="123"/>
  <c r="A14" i="123"/>
  <c r="A13" i="123"/>
  <c r="A12" i="123"/>
  <c r="A11" i="123"/>
  <c r="A10" i="123"/>
  <c r="A9" i="123"/>
  <c r="A5" i="123"/>
  <c r="A4" i="123"/>
  <c r="A3" i="123"/>
  <c r="A65" i="108"/>
  <c r="A64" i="108"/>
  <c r="A63" i="108"/>
  <c r="A62" i="108"/>
  <c r="A61" i="108"/>
  <c r="A60" i="108"/>
  <c r="A59" i="108"/>
  <c r="A58" i="108"/>
  <c r="A57" i="108"/>
  <c r="A56" i="108"/>
  <c r="A52" i="108"/>
  <c r="A51" i="108"/>
  <c r="A50" i="108"/>
  <c r="A49" i="108"/>
  <c r="A48" i="108"/>
  <c r="A47" i="108"/>
  <c r="A46" i="108"/>
  <c r="A45" i="108"/>
  <c r="A44" i="108"/>
  <c r="A43" i="108"/>
  <c r="A42" i="108"/>
  <c r="A41" i="108"/>
  <c r="A40" i="108"/>
  <c r="A39" i="108"/>
  <c r="A38" i="108"/>
  <c r="A37" i="108"/>
  <c r="A36" i="108"/>
  <c r="A35" i="108"/>
  <c r="A34" i="108"/>
  <c r="A33" i="108"/>
  <c r="A32" i="108"/>
  <c r="A31" i="108"/>
  <c r="A30" i="108"/>
  <c r="A26" i="108"/>
  <c r="A25" i="108"/>
  <c r="A24" i="108"/>
  <c r="A23" i="108"/>
  <c r="A22" i="108"/>
  <c r="A21" i="108"/>
  <c r="A20" i="108"/>
  <c r="A19" i="108"/>
  <c r="A18" i="108"/>
  <c r="A17" i="108"/>
  <c r="A16" i="108"/>
  <c r="A15" i="108"/>
  <c r="A14" i="108"/>
  <c r="A13" i="108"/>
  <c r="A12" i="108"/>
  <c r="A11" i="108"/>
  <c r="A10" i="108"/>
  <c r="A9" i="108"/>
  <c r="A5" i="108"/>
  <c r="A4" i="108"/>
  <c r="A3" i="108"/>
  <c r="A65" i="107"/>
  <c r="A64" i="107"/>
  <c r="A63" i="107"/>
  <c r="A62" i="107"/>
  <c r="A61" i="107"/>
  <c r="A60" i="107"/>
  <c r="A59" i="107"/>
  <c r="A58" i="107"/>
  <c r="A57" i="107"/>
  <c r="A56" i="107"/>
  <c r="A52" i="107"/>
  <c r="A51" i="107"/>
  <c r="A50" i="107"/>
  <c r="A49" i="107"/>
  <c r="A48" i="107"/>
  <c r="A47" i="107"/>
  <c r="A46" i="107"/>
  <c r="A45" i="107"/>
  <c r="A44" i="107"/>
  <c r="A43" i="107"/>
  <c r="A42" i="107"/>
  <c r="A41" i="107"/>
  <c r="A40" i="107"/>
  <c r="A39" i="107"/>
  <c r="A38" i="107"/>
  <c r="A37" i="107"/>
  <c r="A36" i="107"/>
  <c r="A35" i="107"/>
  <c r="A34" i="107"/>
  <c r="A33" i="107"/>
  <c r="A32" i="107"/>
  <c r="A31" i="107"/>
  <c r="A30" i="107"/>
  <c r="A26" i="107"/>
  <c r="A25" i="107"/>
  <c r="A24" i="107"/>
  <c r="A23" i="107"/>
  <c r="A22" i="107"/>
  <c r="A21" i="107"/>
  <c r="A20" i="107"/>
  <c r="A19" i="107"/>
  <c r="A18" i="107"/>
  <c r="A17" i="107"/>
  <c r="A16" i="107"/>
  <c r="A15" i="107"/>
  <c r="A14" i="107"/>
  <c r="A13" i="107"/>
  <c r="A12" i="107"/>
  <c r="A11" i="107"/>
  <c r="A10" i="107"/>
  <c r="A9" i="107"/>
  <c r="A5" i="107"/>
  <c r="A4" i="107"/>
  <c r="A3" i="107"/>
  <c r="A65" i="90"/>
  <c r="A64" i="90"/>
  <c r="A63" i="90"/>
  <c r="A62" i="90"/>
  <c r="A61" i="90"/>
  <c r="A60" i="90"/>
  <c r="A59" i="90"/>
  <c r="A58" i="90"/>
  <c r="A57" i="90"/>
  <c r="A56" i="90"/>
  <c r="A52" i="90"/>
  <c r="A51" i="90"/>
  <c r="A50" i="90"/>
  <c r="A49" i="90"/>
  <c r="A48" i="90"/>
  <c r="A47" i="90"/>
  <c r="A46" i="90"/>
  <c r="A45" i="90"/>
  <c r="A44" i="90"/>
  <c r="A43" i="90"/>
  <c r="A42" i="90"/>
  <c r="A41" i="90"/>
  <c r="A40" i="90"/>
  <c r="A39" i="90"/>
  <c r="A38" i="90"/>
  <c r="A37" i="90"/>
  <c r="A36" i="90"/>
  <c r="A35" i="90"/>
  <c r="A34" i="90"/>
  <c r="A33" i="90"/>
  <c r="A32" i="90"/>
  <c r="A31" i="90"/>
  <c r="A30" i="90"/>
  <c r="A26" i="90"/>
  <c r="A25" i="90"/>
  <c r="A24" i="90"/>
  <c r="A23" i="90"/>
  <c r="A22" i="90"/>
  <c r="A21" i="90"/>
  <c r="A20" i="90"/>
  <c r="A19" i="90"/>
  <c r="A18" i="90"/>
  <c r="A17" i="90"/>
  <c r="A16" i="90"/>
  <c r="A15" i="90"/>
  <c r="A14" i="90"/>
  <c r="A13" i="90"/>
  <c r="A12" i="90"/>
  <c r="A11" i="90"/>
  <c r="A10" i="90"/>
  <c r="A9" i="90"/>
  <c r="A5" i="90"/>
  <c r="A4" i="90"/>
  <c r="A3" i="90"/>
  <c r="A65" i="87"/>
  <c r="A64" i="87"/>
  <c r="A63" i="87"/>
  <c r="A62" i="87"/>
  <c r="A61" i="87"/>
  <c r="A60" i="87"/>
  <c r="A59" i="87"/>
  <c r="A58" i="87"/>
  <c r="A57" i="87"/>
  <c r="A56" i="87"/>
  <c r="A52" i="87"/>
  <c r="A51" i="87"/>
  <c r="A50" i="87"/>
  <c r="A49" i="87"/>
  <c r="A48" i="87"/>
  <c r="A47" i="87"/>
  <c r="A46" i="87"/>
  <c r="A45" i="87"/>
  <c r="A44" i="87"/>
  <c r="A43" i="87"/>
  <c r="A42" i="87"/>
  <c r="A41" i="87"/>
  <c r="A40" i="87"/>
  <c r="A39" i="87"/>
  <c r="A38" i="87"/>
  <c r="A37" i="87"/>
  <c r="A36" i="87"/>
  <c r="A35" i="87"/>
  <c r="A34" i="87"/>
  <c r="A33" i="87"/>
  <c r="A32" i="87"/>
  <c r="A31" i="87"/>
  <c r="A30" i="87"/>
  <c r="A26" i="87"/>
  <c r="A25" i="87"/>
  <c r="A24" i="87"/>
  <c r="A23" i="87"/>
  <c r="A22" i="87"/>
  <c r="A21" i="87"/>
  <c r="A20" i="87"/>
  <c r="A19" i="87"/>
  <c r="A18" i="87"/>
  <c r="A17" i="87"/>
  <c r="A16" i="87"/>
  <c r="A15" i="87"/>
  <c r="A14" i="87"/>
  <c r="A13" i="87"/>
  <c r="A12" i="87"/>
  <c r="A11" i="87"/>
  <c r="A10" i="87"/>
  <c r="A9" i="87"/>
  <c r="A5" i="87"/>
  <c r="A4" i="87"/>
  <c r="A3" i="87"/>
  <c r="A65" i="86"/>
  <c r="A64" i="86"/>
  <c r="A63" i="86"/>
  <c r="A62" i="86"/>
  <c r="A61" i="86"/>
  <c r="A60" i="86"/>
  <c r="A59" i="86"/>
  <c r="A58" i="86"/>
  <c r="A57" i="86"/>
  <c r="A56" i="86"/>
  <c r="A52" i="86"/>
  <c r="A51" i="86"/>
  <c r="A50" i="86"/>
  <c r="A49" i="86"/>
  <c r="A48" i="86"/>
  <c r="A47" i="86"/>
  <c r="A46" i="86"/>
  <c r="A45" i="86"/>
  <c r="A44" i="86"/>
  <c r="A43" i="86"/>
  <c r="A42" i="86"/>
  <c r="A41" i="86"/>
  <c r="A40" i="86"/>
  <c r="A39" i="86"/>
  <c r="A38" i="86"/>
  <c r="A37" i="86"/>
  <c r="A36" i="86"/>
  <c r="A35" i="86"/>
  <c r="A34" i="86"/>
  <c r="A33" i="86"/>
  <c r="A32" i="86"/>
  <c r="A31" i="86"/>
  <c r="A30" i="86"/>
  <c r="A26" i="86"/>
  <c r="A25" i="86"/>
  <c r="A24" i="86"/>
  <c r="A23" i="86"/>
  <c r="A22" i="86"/>
  <c r="A21" i="86"/>
  <c r="A20" i="86"/>
  <c r="A19" i="86"/>
  <c r="A18" i="86"/>
  <c r="A17" i="86"/>
  <c r="A16" i="86"/>
  <c r="A15" i="86"/>
  <c r="A14" i="86"/>
  <c r="A13" i="86"/>
  <c r="A12" i="86"/>
  <c r="A11" i="86"/>
  <c r="A10" i="86"/>
  <c r="A9" i="86"/>
  <c r="A5" i="86"/>
  <c r="A4" i="86"/>
  <c r="A3" i="86"/>
  <c r="A65" i="85"/>
  <c r="A64" i="85"/>
  <c r="A63" i="85"/>
  <c r="A62" i="85"/>
  <c r="A61" i="85"/>
  <c r="A60" i="85"/>
  <c r="A59" i="85"/>
  <c r="A58" i="85"/>
  <c r="A57" i="85"/>
  <c r="A56" i="85"/>
  <c r="A52" i="85"/>
  <c r="A51" i="85"/>
  <c r="A50" i="85"/>
  <c r="A49" i="85"/>
  <c r="A48" i="85"/>
  <c r="A47" i="85"/>
  <c r="A46" i="85"/>
  <c r="A45" i="85"/>
  <c r="A44" i="85"/>
  <c r="A43" i="85"/>
  <c r="A42" i="85"/>
  <c r="A41" i="85"/>
  <c r="A40" i="85"/>
  <c r="A39" i="85"/>
  <c r="A38" i="85"/>
  <c r="A37" i="85"/>
  <c r="A36" i="85"/>
  <c r="A35" i="85"/>
  <c r="A34" i="85"/>
  <c r="A33" i="85"/>
  <c r="A32" i="85"/>
  <c r="A31" i="85"/>
  <c r="A30" i="85"/>
  <c r="A26" i="85"/>
  <c r="A25" i="85"/>
  <c r="A24" i="85"/>
  <c r="A23" i="85"/>
  <c r="A22" i="85"/>
  <c r="A21" i="85"/>
  <c r="A20" i="85"/>
  <c r="A19" i="85"/>
  <c r="A18" i="85"/>
  <c r="A17" i="85"/>
  <c r="A16" i="85"/>
  <c r="A15" i="85"/>
  <c r="A14" i="85"/>
  <c r="A13" i="85"/>
  <c r="A12" i="85"/>
  <c r="A11" i="85"/>
  <c r="A10" i="85"/>
  <c r="A9" i="85"/>
  <c r="A5" i="85"/>
  <c r="A4" i="85"/>
  <c r="A3" i="85"/>
  <c r="A65" i="84"/>
  <c r="A64" i="84"/>
  <c r="A63" i="84"/>
  <c r="A62" i="84"/>
  <c r="A61" i="84"/>
  <c r="A60" i="84"/>
  <c r="A59" i="84"/>
  <c r="A58" i="84"/>
  <c r="A57" i="84"/>
  <c r="A56" i="84"/>
  <c r="A52" i="84"/>
  <c r="A51" i="84"/>
  <c r="A50" i="84"/>
  <c r="A49" i="84"/>
  <c r="A48" i="84"/>
  <c r="A47" i="84"/>
  <c r="A46" i="84"/>
  <c r="A45" i="84"/>
  <c r="A44" i="84"/>
  <c r="A43" i="84"/>
  <c r="A42" i="84"/>
  <c r="A41" i="84"/>
  <c r="A40" i="84"/>
  <c r="A39" i="84"/>
  <c r="A38" i="84"/>
  <c r="A37" i="84"/>
  <c r="A36" i="84"/>
  <c r="A35" i="84"/>
  <c r="A34" i="84"/>
  <c r="A33" i="84"/>
  <c r="A32" i="84"/>
  <c r="A31" i="84"/>
  <c r="A30" i="84"/>
  <c r="A26" i="84"/>
  <c r="A25" i="84"/>
  <c r="A24" i="84"/>
  <c r="A23" i="84"/>
  <c r="A22" i="84"/>
  <c r="A21" i="84"/>
  <c r="A20" i="84"/>
  <c r="A19" i="84"/>
  <c r="A18" i="84"/>
  <c r="A17" i="84"/>
  <c r="A16" i="84"/>
  <c r="A15" i="84"/>
  <c r="A14" i="84"/>
  <c r="A13" i="84"/>
  <c r="A12" i="84"/>
  <c r="A11" i="84"/>
  <c r="A10" i="84"/>
  <c r="A9" i="84"/>
  <c r="A5" i="84"/>
  <c r="A4" i="84"/>
  <c r="A3" i="84"/>
  <c r="A65" i="83"/>
  <c r="A64" i="83"/>
  <c r="A63" i="83"/>
  <c r="A62" i="83"/>
  <c r="A61" i="83"/>
  <c r="A60" i="83"/>
  <c r="A59" i="83"/>
  <c r="A58" i="83"/>
  <c r="A57" i="83"/>
  <c r="A56" i="83"/>
  <c r="A52" i="83"/>
  <c r="A51" i="83"/>
  <c r="A50" i="83"/>
  <c r="A49" i="83"/>
  <c r="A48" i="83"/>
  <c r="A47" i="83"/>
  <c r="A46" i="83"/>
  <c r="A45" i="83"/>
  <c r="A44" i="83"/>
  <c r="A43" i="83"/>
  <c r="A42" i="83"/>
  <c r="A41" i="83"/>
  <c r="A40" i="83"/>
  <c r="A39" i="83"/>
  <c r="A38" i="83"/>
  <c r="A37" i="83"/>
  <c r="A36" i="83"/>
  <c r="A35" i="83"/>
  <c r="A34" i="83"/>
  <c r="A33" i="83"/>
  <c r="A32" i="83"/>
  <c r="A31" i="83"/>
  <c r="A30" i="83"/>
  <c r="A26" i="83"/>
  <c r="A25" i="83"/>
  <c r="A24" i="83"/>
  <c r="A23" i="83"/>
  <c r="A22" i="83"/>
  <c r="A21" i="83"/>
  <c r="A20" i="83"/>
  <c r="A19" i="83"/>
  <c r="A18" i="83"/>
  <c r="A17" i="83"/>
  <c r="A16" i="83"/>
  <c r="A15" i="83"/>
  <c r="A14" i="83"/>
  <c r="A13" i="83"/>
  <c r="A12" i="83"/>
  <c r="A11" i="83"/>
  <c r="A10" i="83"/>
  <c r="A9" i="83"/>
  <c r="A5" i="83"/>
  <c r="A4" i="83"/>
  <c r="A3" i="83"/>
  <c r="A65" i="82"/>
  <c r="A64" i="82"/>
  <c r="A63" i="82"/>
  <c r="A62" i="82"/>
  <c r="A61" i="82"/>
  <c r="A60" i="82"/>
  <c r="A59" i="82"/>
  <c r="A58" i="82"/>
  <c r="A57" i="82"/>
  <c r="A56" i="82"/>
  <c r="A52" i="82"/>
  <c r="A51" i="82"/>
  <c r="A50" i="82"/>
  <c r="A49" i="82"/>
  <c r="A48" i="82"/>
  <c r="A47" i="82"/>
  <c r="A46" i="82"/>
  <c r="A45" i="82"/>
  <c r="A44" i="82"/>
  <c r="A43" i="82"/>
  <c r="A42" i="82"/>
  <c r="A41" i="82"/>
  <c r="A40" i="82"/>
  <c r="A39" i="82"/>
  <c r="A38" i="82"/>
  <c r="A37" i="82"/>
  <c r="A36" i="82"/>
  <c r="A35" i="82"/>
  <c r="A34" i="82"/>
  <c r="A33" i="82"/>
  <c r="A32" i="82"/>
  <c r="A31" i="82"/>
  <c r="A30" i="82"/>
  <c r="A26" i="82"/>
  <c r="A25" i="82"/>
  <c r="A24" i="82"/>
  <c r="A23" i="82"/>
  <c r="A22" i="82"/>
  <c r="A21" i="82"/>
  <c r="A20" i="82"/>
  <c r="A19" i="82"/>
  <c r="A18" i="82"/>
  <c r="A17" i="82"/>
  <c r="A16" i="82"/>
  <c r="A15" i="82"/>
  <c r="A14" i="82"/>
  <c r="A13" i="82"/>
  <c r="A12" i="82"/>
  <c r="A11" i="82"/>
  <c r="A10" i="82"/>
  <c r="A9" i="82"/>
  <c r="A5" i="82"/>
  <c r="A4" i="82"/>
  <c r="A3" i="82"/>
  <c r="A65" i="81"/>
  <c r="A64" i="81"/>
  <c r="A63" i="81"/>
  <c r="A62" i="81"/>
  <c r="A61" i="81"/>
  <c r="A60" i="81"/>
  <c r="A59" i="81"/>
  <c r="A58" i="81"/>
  <c r="A57" i="81"/>
  <c r="A56" i="81"/>
  <c r="A52" i="81"/>
  <c r="A51" i="81"/>
  <c r="A50" i="81"/>
  <c r="A49" i="81"/>
  <c r="A48" i="81"/>
  <c r="A47" i="81"/>
  <c r="A46" i="81"/>
  <c r="A45" i="81"/>
  <c r="A44" i="81"/>
  <c r="A43" i="81"/>
  <c r="A42" i="81"/>
  <c r="A41" i="81"/>
  <c r="A40" i="81"/>
  <c r="A39" i="81"/>
  <c r="A38" i="81"/>
  <c r="A37" i="81"/>
  <c r="A36" i="81"/>
  <c r="A35" i="81"/>
  <c r="A34" i="81"/>
  <c r="A33" i="81"/>
  <c r="A32" i="81"/>
  <c r="A31" i="81"/>
  <c r="A30" i="81"/>
  <c r="A26" i="81"/>
  <c r="A25" i="81"/>
  <c r="A24" i="81"/>
  <c r="A23" i="81"/>
  <c r="A22" i="81"/>
  <c r="A21" i="81"/>
  <c r="A20" i="81"/>
  <c r="A19" i="81"/>
  <c r="A18" i="81"/>
  <c r="A17" i="81"/>
  <c r="A16" i="81"/>
  <c r="A15" i="81"/>
  <c r="A14" i="81"/>
  <c r="A13" i="81"/>
  <c r="A12" i="81"/>
  <c r="A11" i="81"/>
  <c r="A10" i="81"/>
  <c r="A9" i="81"/>
  <c r="A5" i="81"/>
  <c r="A4" i="81"/>
  <c r="A3" i="81"/>
  <c r="A65" i="80"/>
  <c r="A64" i="80"/>
  <c r="A63" i="80"/>
  <c r="A62" i="80"/>
  <c r="A61" i="80"/>
  <c r="A60" i="80"/>
  <c r="A59" i="80"/>
  <c r="A58" i="80"/>
  <c r="A57" i="80"/>
  <c r="A56" i="80"/>
  <c r="A52" i="80"/>
  <c r="A51" i="80"/>
  <c r="A50" i="80"/>
  <c r="A49" i="80"/>
  <c r="A48" i="80"/>
  <c r="A47" i="80"/>
  <c r="A46" i="80"/>
  <c r="A45" i="80"/>
  <c r="A44" i="80"/>
  <c r="A43" i="80"/>
  <c r="A42" i="80"/>
  <c r="A41" i="80"/>
  <c r="A40" i="80"/>
  <c r="A39" i="80"/>
  <c r="A38" i="80"/>
  <c r="A37" i="80"/>
  <c r="A36" i="80"/>
  <c r="A35" i="80"/>
  <c r="A34" i="80"/>
  <c r="A33" i="80"/>
  <c r="A32" i="80"/>
  <c r="A31" i="80"/>
  <c r="A30" i="80"/>
  <c r="A26" i="80"/>
  <c r="A25" i="80"/>
  <c r="A24" i="80"/>
  <c r="A23" i="80"/>
  <c r="A22" i="80"/>
  <c r="A21" i="80"/>
  <c r="A20" i="80"/>
  <c r="A19" i="80"/>
  <c r="A18" i="80"/>
  <c r="A17" i="80"/>
  <c r="A16" i="80"/>
  <c r="A15" i="80"/>
  <c r="A14" i="80"/>
  <c r="A13" i="80"/>
  <c r="A12" i="80"/>
  <c r="A11" i="80"/>
  <c r="A10" i="80"/>
  <c r="A9" i="80"/>
  <c r="A5" i="80"/>
  <c r="A4" i="80"/>
  <c r="A3" i="80"/>
  <c r="A65" i="106"/>
  <c r="A64" i="106"/>
  <c r="A63" i="106"/>
  <c r="A62" i="106"/>
  <c r="A61" i="106"/>
  <c r="A60" i="106"/>
  <c r="A59" i="106"/>
  <c r="A58" i="106"/>
  <c r="A57" i="106"/>
  <c r="A56" i="106"/>
  <c r="A52" i="106"/>
  <c r="A51" i="106"/>
  <c r="A50" i="106"/>
  <c r="A49" i="106"/>
  <c r="A48" i="106"/>
  <c r="A47" i="106"/>
  <c r="A46" i="106"/>
  <c r="A45" i="106"/>
  <c r="A44" i="106"/>
  <c r="A43" i="106"/>
  <c r="A42" i="106"/>
  <c r="A41" i="106"/>
  <c r="A40" i="106"/>
  <c r="A39" i="106"/>
  <c r="A38" i="106"/>
  <c r="A37" i="106"/>
  <c r="A36" i="106"/>
  <c r="A35" i="106"/>
  <c r="A34" i="106"/>
  <c r="A33" i="106"/>
  <c r="A32" i="106"/>
  <c r="A31" i="106"/>
  <c r="A30" i="106"/>
  <c r="A26" i="106"/>
  <c r="A25" i="106"/>
  <c r="A24" i="106"/>
  <c r="A23" i="106"/>
  <c r="A22" i="106"/>
  <c r="A21" i="106"/>
  <c r="A20" i="106"/>
  <c r="A19" i="106"/>
  <c r="A18" i="106"/>
  <c r="A17" i="106"/>
  <c r="A16" i="106"/>
  <c r="A15" i="106"/>
  <c r="A14" i="106"/>
  <c r="A13" i="106"/>
  <c r="A12" i="106"/>
  <c r="A11" i="106"/>
  <c r="A10" i="106"/>
  <c r="A9" i="106"/>
  <c r="A5" i="106"/>
  <c r="A4" i="106"/>
  <c r="A3" i="106"/>
  <c r="A65" i="124"/>
  <c r="A64" i="124"/>
  <c r="A63" i="124"/>
  <c r="A62" i="124"/>
  <c r="A61" i="124"/>
  <c r="A60" i="124"/>
  <c r="A59" i="124"/>
  <c r="A58" i="124"/>
  <c r="A57" i="124"/>
  <c r="A56" i="124"/>
  <c r="A52" i="124"/>
  <c r="A51" i="124"/>
  <c r="A50" i="124"/>
  <c r="A49" i="124"/>
  <c r="A48" i="124"/>
  <c r="A47" i="124"/>
  <c r="A46" i="124"/>
  <c r="A45" i="124"/>
  <c r="A44" i="124"/>
  <c r="A43" i="124"/>
  <c r="A42" i="124"/>
  <c r="A41" i="124"/>
  <c r="A40" i="124"/>
  <c r="A39" i="124"/>
  <c r="A38" i="124"/>
  <c r="A37" i="124"/>
  <c r="A36" i="124"/>
  <c r="A35" i="124"/>
  <c r="A34" i="124"/>
  <c r="A33" i="124"/>
  <c r="A32" i="124"/>
  <c r="A31" i="124"/>
  <c r="A30" i="124"/>
  <c r="A26" i="124"/>
  <c r="A25" i="124"/>
  <c r="A24" i="124"/>
  <c r="A23" i="124"/>
  <c r="A22" i="124"/>
  <c r="A21" i="124"/>
  <c r="A20" i="124"/>
  <c r="A19" i="124"/>
  <c r="A18" i="124"/>
  <c r="A17" i="124"/>
  <c r="A16" i="124"/>
  <c r="A15" i="124"/>
  <c r="A14" i="124"/>
  <c r="A13" i="124"/>
  <c r="A12" i="124"/>
  <c r="A11" i="124"/>
  <c r="A10" i="124"/>
  <c r="A9" i="124"/>
  <c r="A5" i="124"/>
  <c r="A4" i="124"/>
  <c r="A3" i="124"/>
  <c r="A65" i="74"/>
  <c r="A64" i="74"/>
  <c r="A63" i="74"/>
  <c r="A62" i="74"/>
  <c r="A61" i="74"/>
  <c r="A60" i="74"/>
  <c r="A59" i="74"/>
  <c r="A58" i="74"/>
  <c r="A57" i="74"/>
  <c r="A56" i="74"/>
  <c r="A52" i="74"/>
  <c r="A51" i="74"/>
  <c r="A50" i="74"/>
  <c r="A49" i="74"/>
  <c r="A48" i="74"/>
  <c r="A47" i="74"/>
  <c r="A46" i="74"/>
  <c r="A45" i="74"/>
  <c r="A44" i="74"/>
  <c r="A43" i="74"/>
  <c r="A42" i="74"/>
  <c r="A41" i="74"/>
  <c r="A40" i="74"/>
  <c r="A39" i="74"/>
  <c r="A38" i="74"/>
  <c r="A37" i="74"/>
  <c r="A36" i="74"/>
  <c r="A35" i="74"/>
  <c r="A34" i="74"/>
  <c r="A33" i="74"/>
  <c r="A32" i="74"/>
  <c r="A31" i="74"/>
  <c r="A30" i="74"/>
  <c r="A26" i="74"/>
  <c r="A25" i="74"/>
  <c r="A24" i="74"/>
  <c r="A23" i="74"/>
  <c r="A22" i="74"/>
  <c r="A21" i="74"/>
  <c r="A20" i="74"/>
  <c r="A19" i="74"/>
  <c r="A18" i="74"/>
  <c r="A17" i="74"/>
  <c r="A16" i="74"/>
  <c r="A15" i="74"/>
  <c r="A14" i="74"/>
  <c r="A13" i="74"/>
  <c r="A12" i="74"/>
  <c r="A11" i="74"/>
  <c r="A10" i="74"/>
  <c r="A9" i="74"/>
  <c r="A5" i="74"/>
  <c r="A4" i="74"/>
  <c r="A3" i="74"/>
  <c r="A65" i="121"/>
  <c r="A64" i="121"/>
  <c r="A63" i="121"/>
  <c r="A62" i="121"/>
  <c r="A61" i="121"/>
  <c r="A60" i="121"/>
  <c r="A59" i="121"/>
  <c r="A58" i="121"/>
  <c r="A57" i="121"/>
  <c r="A56" i="121"/>
  <c r="A52" i="121"/>
  <c r="A51" i="121"/>
  <c r="A50" i="121"/>
  <c r="A49" i="121"/>
  <c r="A48" i="121"/>
  <c r="A47" i="121"/>
  <c r="A46" i="121"/>
  <c r="A45" i="121"/>
  <c r="A44" i="121"/>
  <c r="A43" i="121"/>
  <c r="A42" i="121"/>
  <c r="A41" i="121"/>
  <c r="A40" i="121"/>
  <c r="A39" i="121"/>
  <c r="A38" i="121"/>
  <c r="A37" i="121"/>
  <c r="A36" i="121"/>
  <c r="A35" i="121"/>
  <c r="A34" i="121"/>
  <c r="A33" i="121"/>
  <c r="A32" i="121"/>
  <c r="A31" i="121"/>
  <c r="A30" i="121"/>
  <c r="A26" i="121"/>
  <c r="A25" i="121"/>
  <c r="A24" i="121"/>
  <c r="A23" i="121"/>
  <c r="A22" i="121"/>
  <c r="A21" i="121"/>
  <c r="A20" i="121"/>
  <c r="A19" i="121"/>
  <c r="A18" i="121"/>
  <c r="A17" i="121"/>
  <c r="A16" i="121"/>
  <c r="A15" i="121"/>
  <c r="A14" i="121"/>
  <c r="A13" i="121"/>
  <c r="A12" i="121"/>
  <c r="A11" i="121"/>
  <c r="A10" i="121"/>
  <c r="A9" i="121"/>
  <c r="A5" i="121"/>
  <c r="A4" i="121"/>
  <c r="A3" i="121"/>
  <c r="A65" i="105"/>
  <c r="A64" i="105"/>
  <c r="A63" i="105"/>
  <c r="A62" i="105"/>
  <c r="A61" i="105"/>
  <c r="A60" i="105"/>
  <c r="A59" i="105"/>
  <c r="A58" i="105"/>
  <c r="A57" i="105"/>
  <c r="A56" i="105"/>
  <c r="A52" i="105"/>
  <c r="A51" i="105"/>
  <c r="A50" i="105"/>
  <c r="A49" i="105"/>
  <c r="A48" i="105"/>
  <c r="A47" i="105"/>
  <c r="A46" i="105"/>
  <c r="A45" i="105"/>
  <c r="A44" i="105"/>
  <c r="A43" i="105"/>
  <c r="A42" i="105"/>
  <c r="A41" i="105"/>
  <c r="A40" i="105"/>
  <c r="A39" i="105"/>
  <c r="A38" i="105"/>
  <c r="A37" i="105"/>
  <c r="A36" i="105"/>
  <c r="A35" i="105"/>
  <c r="A34" i="105"/>
  <c r="A33" i="105"/>
  <c r="A32" i="105"/>
  <c r="A31" i="105"/>
  <c r="A30" i="105"/>
  <c r="A26" i="105"/>
  <c r="A25" i="105"/>
  <c r="A24" i="105"/>
  <c r="A23" i="105"/>
  <c r="A22" i="105"/>
  <c r="A21" i="105"/>
  <c r="A20" i="105"/>
  <c r="A19" i="105"/>
  <c r="A18" i="105"/>
  <c r="A17" i="105"/>
  <c r="A16" i="105"/>
  <c r="A15" i="105"/>
  <c r="A14" i="105"/>
  <c r="A13" i="105"/>
  <c r="A12" i="105"/>
  <c r="A11" i="105"/>
  <c r="A10" i="105"/>
  <c r="A9" i="105"/>
  <c r="A5" i="105"/>
  <c r="A4" i="105"/>
  <c r="A3" i="105"/>
  <c r="A65" i="98"/>
  <c r="A64" i="98"/>
  <c r="A63" i="98"/>
  <c r="A62" i="98"/>
  <c r="A61" i="98"/>
  <c r="A60" i="98"/>
  <c r="A59" i="98"/>
  <c r="A58" i="98"/>
  <c r="A57" i="98"/>
  <c r="A56" i="98"/>
  <c r="A52" i="98"/>
  <c r="A51" i="98"/>
  <c r="A50" i="98"/>
  <c r="A49" i="98"/>
  <c r="A48" i="98"/>
  <c r="A47" i="98"/>
  <c r="A46" i="98"/>
  <c r="A45" i="98"/>
  <c r="A44" i="98"/>
  <c r="A43" i="98"/>
  <c r="A42" i="98"/>
  <c r="A41" i="98"/>
  <c r="A40" i="98"/>
  <c r="A39" i="98"/>
  <c r="A38" i="98"/>
  <c r="A37" i="98"/>
  <c r="A36" i="98"/>
  <c r="A35" i="98"/>
  <c r="A34" i="98"/>
  <c r="A33" i="98"/>
  <c r="A32" i="98"/>
  <c r="A31" i="98"/>
  <c r="A30" i="98"/>
  <c r="A26" i="98"/>
  <c r="A25" i="98"/>
  <c r="A24" i="98"/>
  <c r="A23" i="98"/>
  <c r="A22" i="98"/>
  <c r="A21" i="98"/>
  <c r="A20" i="98"/>
  <c r="A19" i="98"/>
  <c r="A18" i="98"/>
  <c r="A17" i="98"/>
  <c r="A16" i="98"/>
  <c r="A15" i="98"/>
  <c r="A14" i="98"/>
  <c r="A13" i="98"/>
  <c r="A12" i="98"/>
  <c r="A11" i="98"/>
  <c r="A10" i="98"/>
  <c r="A9" i="98"/>
  <c r="A5" i="98"/>
  <c r="A4" i="98"/>
  <c r="A3" i="98"/>
  <c r="A65" i="101"/>
  <c r="A64" i="101"/>
  <c r="A63" i="101"/>
  <c r="A62" i="101"/>
  <c r="A61" i="101"/>
  <c r="A60" i="101"/>
  <c r="A59" i="101"/>
  <c r="A58" i="101"/>
  <c r="A57" i="101"/>
  <c r="A56" i="101"/>
  <c r="A52" i="101"/>
  <c r="A51" i="101"/>
  <c r="A50" i="101"/>
  <c r="A49" i="101"/>
  <c r="A48" i="101"/>
  <c r="A47" i="101"/>
  <c r="A46" i="101"/>
  <c r="A45" i="101"/>
  <c r="A44" i="101"/>
  <c r="A43" i="101"/>
  <c r="A42" i="101"/>
  <c r="A41" i="101"/>
  <c r="A40" i="101"/>
  <c r="A39" i="101"/>
  <c r="A38" i="101"/>
  <c r="A37" i="101"/>
  <c r="A36" i="101"/>
  <c r="A35" i="101"/>
  <c r="A34" i="101"/>
  <c r="A33" i="101"/>
  <c r="A32" i="101"/>
  <c r="A31" i="101"/>
  <c r="A30" i="101"/>
  <c r="A26" i="101"/>
  <c r="A25" i="101"/>
  <c r="A24" i="101"/>
  <c r="A23" i="101"/>
  <c r="A22" i="101"/>
  <c r="A21" i="101"/>
  <c r="A20" i="101"/>
  <c r="A19" i="101"/>
  <c r="A18" i="101"/>
  <c r="A17" i="101"/>
  <c r="A16" i="101"/>
  <c r="A15" i="101"/>
  <c r="A14" i="101"/>
  <c r="A13" i="101"/>
  <c r="A12" i="101"/>
  <c r="A11" i="101"/>
  <c r="A10" i="101"/>
  <c r="A9" i="101"/>
  <c r="A5" i="101"/>
  <c r="A4" i="101"/>
  <c r="A3" i="101"/>
  <c r="A65" i="122"/>
  <c r="A64" i="122"/>
  <c r="A63" i="122"/>
  <c r="A62" i="122"/>
  <c r="A61" i="122"/>
  <c r="A60" i="122"/>
  <c r="A59" i="122"/>
  <c r="A58" i="122"/>
  <c r="A57" i="122"/>
  <c r="A56" i="122"/>
  <c r="A52" i="122"/>
  <c r="A51" i="122"/>
  <c r="A50" i="122"/>
  <c r="A49" i="122"/>
  <c r="A48" i="122"/>
  <c r="A47" i="122"/>
  <c r="A46" i="122"/>
  <c r="A45" i="122"/>
  <c r="A44" i="122"/>
  <c r="A43" i="122"/>
  <c r="A42" i="122"/>
  <c r="A41" i="122"/>
  <c r="A40" i="122"/>
  <c r="A39" i="122"/>
  <c r="A38" i="122"/>
  <c r="A37" i="122"/>
  <c r="A36" i="122"/>
  <c r="A35" i="122"/>
  <c r="A34" i="122"/>
  <c r="A33" i="122"/>
  <c r="A32" i="122"/>
  <c r="A31" i="122"/>
  <c r="A30" i="122"/>
  <c r="A26" i="122"/>
  <c r="A25" i="122"/>
  <c r="A24" i="122"/>
  <c r="A23" i="122"/>
  <c r="A22" i="122"/>
  <c r="A21" i="122"/>
  <c r="A20" i="122"/>
  <c r="A19" i="122"/>
  <c r="A18" i="122"/>
  <c r="A17" i="122"/>
  <c r="A16" i="122"/>
  <c r="A15" i="122"/>
  <c r="A14" i="122"/>
  <c r="A13" i="122"/>
  <c r="A12" i="122"/>
  <c r="A11" i="122"/>
  <c r="A10" i="122"/>
  <c r="A9" i="122"/>
  <c r="A5" i="122"/>
  <c r="A4" i="122"/>
  <c r="A3" i="122"/>
  <c r="A65" i="112"/>
  <c r="A64" i="112"/>
  <c r="A63" i="112"/>
  <c r="A62" i="112"/>
  <c r="A61" i="112"/>
  <c r="A60" i="112"/>
  <c r="A59" i="112"/>
  <c r="A58" i="112"/>
  <c r="A57" i="112"/>
  <c r="A56" i="112"/>
  <c r="A52" i="112"/>
  <c r="A51" i="112"/>
  <c r="A50" i="112"/>
  <c r="A49" i="112"/>
  <c r="A48" i="112"/>
  <c r="A47" i="112"/>
  <c r="A46" i="112"/>
  <c r="A45" i="112"/>
  <c r="A44" i="112"/>
  <c r="A43" i="112"/>
  <c r="A42" i="112"/>
  <c r="A41" i="112"/>
  <c r="A40" i="112"/>
  <c r="A39" i="112"/>
  <c r="A38" i="112"/>
  <c r="A37" i="112"/>
  <c r="A36" i="112"/>
  <c r="A35" i="112"/>
  <c r="A34" i="112"/>
  <c r="A33" i="112"/>
  <c r="A32" i="112"/>
  <c r="A31" i="112"/>
  <c r="A30" i="112"/>
  <c r="A26" i="112"/>
  <c r="A25" i="112"/>
  <c r="A24" i="112"/>
  <c r="A23" i="112"/>
  <c r="A22" i="112"/>
  <c r="A21" i="112"/>
  <c r="A20" i="112"/>
  <c r="A19" i="112"/>
  <c r="A18" i="112"/>
  <c r="A17" i="112"/>
  <c r="A16" i="112"/>
  <c r="A15" i="112"/>
  <c r="A14" i="112"/>
  <c r="A13" i="112"/>
  <c r="A12" i="112"/>
  <c r="A11" i="112"/>
  <c r="A10" i="112"/>
  <c r="A9" i="112"/>
  <c r="A5" i="112"/>
  <c r="A4" i="112"/>
  <c r="A3" i="112"/>
  <c r="A65" i="88"/>
  <c r="A64" i="88"/>
  <c r="A63" i="88"/>
  <c r="A62" i="88"/>
  <c r="A61" i="88"/>
  <c r="A60" i="88"/>
  <c r="A59" i="88"/>
  <c r="A58" i="88"/>
  <c r="A57" i="88"/>
  <c r="A56" i="88"/>
  <c r="A52" i="88"/>
  <c r="A51" i="88"/>
  <c r="A50" i="88"/>
  <c r="A49" i="88"/>
  <c r="A48" i="88"/>
  <c r="A47" i="88"/>
  <c r="A46" i="88"/>
  <c r="A45" i="88"/>
  <c r="A44" i="88"/>
  <c r="A43" i="88"/>
  <c r="A42" i="88"/>
  <c r="A41" i="88"/>
  <c r="A40" i="88"/>
  <c r="A39" i="88"/>
  <c r="A38" i="88"/>
  <c r="A37" i="88"/>
  <c r="A36" i="88"/>
  <c r="A35" i="88"/>
  <c r="A34" i="88"/>
  <c r="A33" i="88"/>
  <c r="A32" i="88"/>
  <c r="A31" i="88"/>
  <c r="A30" i="88"/>
  <c r="A26" i="88"/>
  <c r="A25" i="88"/>
  <c r="A24" i="88"/>
  <c r="A23" i="88"/>
  <c r="A22" i="88"/>
  <c r="A21" i="88"/>
  <c r="A20" i="88"/>
  <c r="A19" i="88"/>
  <c r="A18" i="88"/>
  <c r="A17" i="88"/>
  <c r="A16" i="88"/>
  <c r="A15" i="88"/>
  <c r="A14" i="88"/>
  <c r="A13" i="88"/>
  <c r="A12" i="88"/>
  <c r="A11" i="88"/>
  <c r="A10" i="88"/>
  <c r="A9" i="88"/>
  <c r="A5" i="88"/>
  <c r="A4" i="88"/>
  <c r="A3" i="88"/>
  <c r="A65" i="120"/>
  <c r="A64" i="120"/>
  <c r="A63" i="120"/>
  <c r="A62" i="120"/>
  <c r="A61" i="120"/>
  <c r="A60" i="120"/>
  <c r="A59" i="120"/>
  <c r="A58" i="120"/>
  <c r="A57" i="120"/>
  <c r="A56" i="120"/>
  <c r="A52" i="120"/>
  <c r="A51" i="120"/>
  <c r="A50" i="120"/>
  <c r="A49" i="120"/>
  <c r="A48" i="120"/>
  <c r="A47" i="120"/>
  <c r="A46" i="120"/>
  <c r="A45" i="120"/>
  <c r="A44" i="120"/>
  <c r="A43" i="120"/>
  <c r="A42" i="120"/>
  <c r="A41" i="120"/>
  <c r="A40" i="120"/>
  <c r="A39" i="120"/>
  <c r="A38" i="120"/>
  <c r="A37" i="120"/>
  <c r="A36" i="120"/>
  <c r="A35" i="120"/>
  <c r="A34" i="120"/>
  <c r="A33" i="120"/>
  <c r="A32" i="120"/>
  <c r="A31" i="120"/>
  <c r="A30" i="120"/>
  <c r="A26" i="120"/>
  <c r="A25" i="120"/>
  <c r="A24" i="120"/>
  <c r="A23" i="120"/>
  <c r="A22" i="120"/>
  <c r="A21" i="120"/>
  <c r="A20" i="120"/>
  <c r="A19" i="120"/>
  <c r="A18" i="120"/>
  <c r="A17" i="120"/>
  <c r="A16" i="120"/>
  <c r="A15" i="120"/>
  <c r="A14" i="120"/>
  <c r="A13" i="120"/>
  <c r="A12" i="120"/>
  <c r="A11" i="120"/>
  <c r="A10" i="120"/>
  <c r="A9" i="120"/>
  <c r="A5" i="120"/>
  <c r="A4" i="120"/>
  <c r="A3" i="120"/>
  <c r="A65" i="119"/>
  <c r="A64" i="119"/>
  <c r="A63" i="119"/>
  <c r="A62" i="119"/>
  <c r="A61" i="119"/>
  <c r="A60" i="119"/>
  <c r="A59" i="119"/>
  <c r="A58" i="119"/>
  <c r="A57" i="119"/>
  <c r="A56" i="119"/>
  <c r="A52" i="119"/>
  <c r="A51" i="119"/>
  <c r="A50" i="119"/>
  <c r="A49" i="119"/>
  <c r="A48" i="119"/>
  <c r="A47" i="119"/>
  <c r="A46" i="119"/>
  <c r="A45" i="119"/>
  <c r="A44" i="119"/>
  <c r="A43" i="119"/>
  <c r="A42" i="119"/>
  <c r="A41" i="119"/>
  <c r="A40" i="119"/>
  <c r="A39" i="119"/>
  <c r="A38" i="119"/>
  <c r="A37" i="119"/>
  <c r="A36" i="119"/>
  <c r="A35" i="119"/>
  <c r="A34" i="119"/>
  <c r="A33" i="119"/>
  <c r="A32" i="119"/>
  <c r="A31" i="119"/>
  <c r="A30" i="119"/>
  <c r="A26" i="119"/>
  <c r="A25" i="119"/>
  <c r="A24" i="119"/>
  <c r="A23" i="119"/>
  <c r="A22" i="119"/>
  <c r="A21" i="119"/>
  <c r="A20" i="119"/>
  <c r="A19" i="119"/>
  <c r="A18" i="119"/>
  <c r="A17" i="119"/>
  <c r="A16" i="119"/>
  <c r="A15" i="119"/>
  <c r="A14" i="119"/>
  <c r="A13" i="119"/>
  <c r="A12" i="119"/>
  <c r="A11" i="119"/>
  <c r="A10" i="119"/>
  <c r="A9" i="119"/>
  <c r="A5" i="119"/>
  <c r="A4" i="119"/>
  <c r="A3" i="119"/>
  <c r="A65" i="100"/>
  <c r="A64" i="100"/>
  <c r="A63" i="100"/>
  <c r="A62" i="100"/>
  <c r="A61" i="100"/>
  <c r="A60" i="100"/>
  <c r="A59" i="100"/>
  <c r="A58" i="100"/>
  <c r="A57" i="100"/>
  <c r="A56" i="100"/>
  <c r="A52" i="100"/>
  <c r="A51" i="100"/>
  <c r="A50" i="100"/>
  <c r="A49" i="100"/>
  <c r="A48" i="100"/>
  <c r="A47" i="100"/>
  <c r="A46" i="100"/>
  <c r="A45" i="100"/>
  <c r="A44" i="100"/>
  <c r="A43" i="100"/>
  <c r="A42" i="100"/>
  <c r="A41" i="100"/>
  <c r="A40" i="100"/>
  <c r="A39" i="100"/>
  <c r="A38" i="100"/>
  <c r="A37" i="100"/>
  <c r="A36" i="100"/>
  <c r="A35" i="100"/>
  <c r="A34" i="100"/>
  <c r="A33" i="100"/>
  <c r="A32" i="100"/>
  <c r="A31" i="100"/>
  <c r="A30" i="100"/>
  <c r="A26" i="100"/>
  <c r="A25" i="100"/>
  <c r="A24" i="100"/>
  <c r="A23" i="100"/>
  <c r="A22" i="100"/>
  <c r="A21" i="100"/>
  <c r="A20" i="100"/>
  <c r="A19" i="100"/>
  <c r="A18" i="100"/>
  <c r="A17" i="100"/>
  <c r="A16" i="100"/>
  <c r="A15" i="100"/>
  <c r="A14" i="100"/>
  <c r="A13" i="100"/>
  <c r="A12" i="100"/>
  <c r="A11" i="100"/>
  <c r="A10" i="100"/>
  <c r="A9" i="100"/>
  <c r="A5" i="100"/>
  <c r="A4" i="100"/>
  <c r="A3" i="100"/>
  <c r="A65" i="104"/>
  <c r="A64" i="104"/>
  <c r="A63" i="104"/>
  <c r="A62" i="104"/>
  <c r="A61" i="104"/>
  <c r="A60" i="104"/>
  <c r="A59" i="104"/>
  <c r="A58" i="104"/>
  <c r="A57" i="104"/>
  <c r="A56" i="104"/>
  <c r="A52" i="104"/>
  <c r="A51" i="104"/>
  <c r="A50" i="104"/>
  <c r="A49" i="104"/>
  <c r="A48" i="104"/>
  <c r="A47" i="104"/>
  <c r="A46" i="104"/>
  <c r="A45" i="104"/>
  <c r="A44" i="104"/>
  <c r="A43" i="104"/>
  <c r="A42" i="104"/>
  <c r="A41" i="104"/>
  <c r="A40" i="104"/>
  <c r="A39" i="104"/>
  <c r="A38" i="104"/>
  <c r="A37" i="104"/>
  <c r="A36" i="104"/>
  <c r="A35" i="104"/>
  <c r="A34" i="104"/>
  <c r="A33" i="104"/>
  <c r="A32" i="104"/>
  <c r="A31" i="104"/>
  <c r="A30" i="104"/>
  <c r="A26" i="104"/>
  <c r="A25" i="104"/>
  <c r="A24" i="104"/>
  <c r="A23" i="104"/>
  <c r="A22" i="104"/>
  <c r="A21" i="104"/>
  <c r="A20" i="104"/>
  <c r="A19" i="104"/>
  <c r="A18" i="104"/>
  <c r="A17" i="104"/>
  <c r="A16" i="104"/>
  <c r="A15" i="104"/>
  <c r="A14" i="104"/>
  <c r="A13" i="104"/>
  <c r="A12" i="104"/>
  <c r="A11" i="104"/>
  <c r="A10" i="104"/>
  <c r="A9" i="104"/>
  <c r="A5" i="104"/>
  <c r="A4" i="104"/>
  <c r="A3" i="104"/>
  <c r="A65" i="103"/>
  <c r="A64" i="103"/>
  <c r="A63" i="103"/>
  <c r="A62" i="103"/>
  <c r="A61" i="103"/>
  <c r="A60" i="103"/>
  <c r="A59" i="103"/>
  <c r="A58" i="103"/>
  <c r="A57" i="103"/>
  <c r="A56" i="103"/>
  <c r="A52" i="103"/>
  <c r="A51" i="103"/>
  <c r="A50" i="103"/>
  <c r="A49" i="103"/>
  <c r="A48" i="103"/>
  <c r="A47" i="103"/>
  <c r="A46" i="103"/>
  <c r="A45" i="103"/>
  <c r="A44" i="103"/>
  <c r="A43" i="103"/>
  <c r="A42" i="103"/>
  <c r="A41" i="103"/>
  <c r="A40" i="103"/>
  <c r="A39" i="103"/>
  <c r="A38" i="103"/>
  <c r="A37" i="103"/>
  <c r="A36" i="103"/>
  <c r="A35" i="103"/>
  <c r="A34" i="103"/>
  <c r="A33" i="103"/>
  <c r="A32" i="103"/>
  <c r="A31" i="103"/>
  <c r="A30" i="103"/>
  <c r="A26" i="103"/>
  <c r="A25" i="103"/>
  <c r="A24" i="103"/>
  <c r="A23" i="103"/>
  <c r="A22" i="103"/>
  <c r="A21" i="103"/>
  <c r="A20" i="103"/>
  <c r="A19" i="103"/>
  <c r="A18" i="103"/>
  <c r="A17" i="103"/>
  <c r="A16" i="103"/>
  <c r="A15" i="103"/>
  <c r="A14" i="103"/>
  <c r="A13" i="103"/>
  <c r="A12" i="103"/>
  <c r="A11" i="103"/>
  <c r="A10" i="103"/>
  <c r="A9" i="103"/>
  <c r="A5" i="103"/>
  <c r="A4" i="103"/>
  <c r="A3" i="103"/>
  <c r="A65" i="111"/>
  <c r="A64" i="111"/>
  <c r="A63" i="111"/>
  <c r="A62" i="111"/>
  <c r="A61" i="111"/>
  <c r="A60" i="111"/>
  <c r="A59" i="111"/>
  <c r="A58" i="111"/>
  <c r="A57" i="111"/>
  <c r="A56" i="111"/>
  <c r="A52" i="111"/>
  <c r="A51" i="111"/>
  <c r="A50" i="111"/>
  <c r="A49" i="111"/>
  <c r="A48" i="111"/>
  <c r="A47" i="111"/>
  <c r="A46" i="111"/>
  <c r="A45" i="111"/>
  <c r="A44" i="111"/>
  <c r="A43" i="111"/>
  <c r="A42" i="111"/>
  <c r="A41" i="111"/>
  <c r="A40" i="111"/>
  <c r="A39" i="111"/>
  <c r="A38" i="111"/>
  <c r="A37" i="111"/>
  <c r="A36" i="111"/>
  <c r="A35" i="111"/>
  <c r="A34" i="111"/>
  <c r="A33" i="111"/>
  <c r="A32" i="111"/>
  <c r="A31" i="111"/>
  <c r="A30" i="111"/>
  <c r="A26" i="111"/>
  <c r="A25" i="111"/>
  <c r="A24" i="111"/>
  <c r="A23" i="111"/>
  <c r="A22" i="111"/>
  <c r="A21" i="111"/>
  <c r="A20" i="111"/>
  <c r="A19" i="111"/>
  <c r="A18" i="111"/>
  <c r="A17" i="111"/>
  <c r="A16" i="111"/>
  <c r="A15" i="111"/>
  <c r="A14" i="111"/>
  <c r="A13" i="111"/>
  <c r="A12" i="111"/>
  <c r="A11" i="111"/>
  <c r="A10" i="111"/>
  <c r="A9" i="111"/>
  <c r="A5" i="111"/>
  <c r="A4" i="111"/>
  <c r="A3" i="111"/>
  <c r="A65" i="110"/>
  <c r="A64" i="110"/>
  <c r="A63" i="110"/>
  <c r="A62" i="110"/>
  <c r="A61" i="110"/>
  <c r="A60" i="110"/>
  <c r="A59" i="110"/>
  <c r="A58" i="110"/>
  <c r="A57" i="110"/>
  <c r="A56" i="110"/>
  <c r="A52" i="110"/>
  <c r="A51" i="110"/>
  <c r="A50" i="110"/>
  <c r="A49" i="110"/>
  <c r="A48" i="110"/>
  <c r="A47" i="110"/>
  <c r="A46" i="110"/>
  <c r="A45" i="110"/>
  <c r="A44" i="110"/>
  <c r="A43" i="110"/>
  <c r="A42" i="110"/>
  <c r="A41" i="110"/>
  <c r="A40" i="110"/>
  <c r="A39" i="110"/>
  <c r="A38" i="110"/>
  <c r="A37" i="110"/>
  <c r="A36" i="110"/>
  <c r="A35" i="110"/>
  <c r="A34" i="110"/>
  <c r="A33" i="110"/>
  <c r="A32" i="110"/>
  <c r="A31" i="110"/>
  <c r="A30" i="110"/>
  <c r="A26" i="110"/>
  <c r="A25" i="110"/>
  <c r="A24" i="110"/>
  <c r="A23" i="110"/>
  <c r="A22" i="110"/>
  <c r="A21" i="110"/>
  <c r="A20" i="110"/>
  <c r="A19" i="110"/>
  <c r="A18" i="110"/>
  <c r="A17" i="110"/>
  <c r="A16" i="110"/>
  <c r="A15" i="110"/>
  <c r="A14" i="110"/>
  <c r="A13" i="110"/>
  <c r="A12" i="110"/>
  <c r="A11" i="110"/>
  <c r="A10" i="110"/>
  <c r="A9" i="110"/>
  <c r="A5" i="110"/>
  <c r="A4" i="110"/>
  <c r="A3" i="110"/>
  <c r="A65" i="97"/>
  <c r="A64" i="97"/>
  <c r="A63" i="97"/>
  <c r="A62" i="97"/>
  <c r="A61" i="97"/>
  <c r="A60" i="97"/>
  <c r="A59" i="97"/>
  <c r="A58" i="97"/>
  <c r="A57" i="97"/>
  <c r="A56" i="97"/>
  <c r="A52" i="97"/>
  <c r="A51" i="97"/>
  <c r="A50" i="97"/>
  <c r="A49" i="97"/>
  <c r="A48" i="97"/>
  <c r="A47" i="97"/>
  <c r="A46" i="97"/>
  <c r="A45" i="97"/>
  <c r="A44" i="97"/>
  <c r="A43" i="97"/>
  <c r="A42" i="97"/>
  <c r="A41" i="97"/>
  <c r="A40" i="97"/>
  <c r="A39" i="97"/>
  <c r="A38" i="97"/>
  <c r="A37" i="97"/>
  <c r="A36" i="97"/>
  <c r="A35" i="97"/>
  <c r="A34" i="97"/>
  <c r="A33" i="97"/>
  <c r="A32" i="97"/>
  <c r="A31" i="97"/>
  <c r="A30" i="97"/>
  <c r="A26" i="97"/>
  <c r="A25" i="97"/>
  <c r="A24" i="97"/>
  <c r="A23" i="97"/>
  <c r="A22" i="97"/>
  <c r="A21" i="97"/>
  <c r="A20" i="97"/>
  <c r="A19" i="97"/>
  <c r="A18" i="97"/>
  <c r="A17" i="97"/>
  <c r="A16" i="97"/>
  <c r="A15" i="97"/>
  <c r="A14" i="97"/>
  <c r="A13" i="97"/>
  <c r="A12" i="97"/>
  <c r="A11" i="97"/>
  <c r="A10" i="97"/>
  <c r="A9" i="97"/>
  <c r="A5" i="97"/>
  <c r="A4" i="97"/>
  <c r="A3" i="97"/>
  <c r="A65" i="96"/>
  <c r="A64" i="96"/>
  <c r="A63" i="96"/>
  <c r="A62" i="96"/>
  <c r="A61" i="96"/>
  <c r="A60" i="96"/>
  <c r="A59" i="96"/>
  <c r="A58" i="96"/>
  <c r="A57" i="96"/>
  <c r="A56" i="96"/>
  <c r="A52" i="96"/>
  <c r="A51" i="96"/>
  <c r="A50" i="96"/>
  <c r="A49" i="96"/>
  <c r="A48" i="96"/>
  <c r="A47" i="96"/>
  <c r="A46" i="96"/>
  <c r="A45" i="96"/>
  <c r="A44" i="96"/>
  <c r="A43" i="96"/>
  <c r="A42" i="96"/>
  <c r="A41" i="96"/>
  <c r="A40" i="96"/>
  <c r="A39" i="96"/>
  <c r="A38" i="96"/>
  <c r="A37" i="96"/>
  <c r="A36" i="96"/>
  <c r="A35" i="96"/>
  <c r="A34" i="96"/>
  <c r="A33" i="96"/>
  <c r="A32" i="96"/>
  <c r="A31" i="96"/>
  <c r="A30" i="96"/>
  <c r="A26" i="96"/>
  <c r="A25" i="96"/>
  <c r="A24" i="96"/>
  <c r="A23" i="96"/>
  <c r="A22" i="96"/>
  <c r="A21" i="96"/>
  <c r="A20" i="96"/>
  <c r="A19" i="96"/>
  <c r="A18" i="96"/>
  <c r="A17" i="96"/>
  <c r="A16" i="96"/>
  <c r="A15" i="96"/>
  <c r="A14" i="96"/>
  <c r="A13" i="96"/>
  <c r="A12" i="96"/>
  <c r="A11" i="96"/>
  <c r="A10" i="96"/>
  <c r="A9" i="96"/>
  <c r="A5" i="96"/>
  <c r="A4" i="96"/>
  <c r="A3" i="96"/>
  <c r="A65" i="95"/>
  <c r="A64" i="95"/>
  <c r="A63" i="95"/>
  <c r="A62" i="95"/>
  <c r="A61" i="95"/>
  <c r="A60" i="95"/>
  <c r="A59" i="95"/>
  <c r="A58" i="95"/>
  <c r="A57" i="95"/>
  <c r="A56" i="95"/>
  <c r="A52" i="95"/>
  <c r="A51" i="95"/>
  <c r="A50" i="95"/>
  <c r="A49" i="95"/>
  <c r="A48" i="95"/>
  <c r="A47" i="95"/>
  <c r="A46" i="95"/>
  <c r="A45" i="95"/>
  <c r="A44" i="95"/>
  <c r="A43" i="95"/>
  <c r="A42" i="95"/>
  <c r="A41" i="95"/>
  <c r="A40" i="95"/>
  <c r="A39" i="95"/>
  <c r="A38" i="95"/>
  <c r="A37" i="95"/>
  <c r="A36" i="95"/>
  <c r="A35" i="95"/>
  <c r="A34" i="95"/>
  <c r="A33" i="95"/>
  <c r="A32" i="95"/>
  <c r="A31" i="95"/>
  <c r="A30" i="95"/>
  <c r="A26" i="95"/>
  <c r="A25" i="95"/>
  <c r="A24" i="95"/>
  <c r="A23" i="95"/>
  <c r="A22" i="95"/>
  <c r="A21" i="95"/>
  <c r="A20" i="95"/>
  <c r="A19" i="95"/>
  <c r="A18" i="95"/>
  <c r="A17" i="95"/>
  <c r="A16" i="95"/>
  <c r="A15" i="95"/>
  <c r="A14" i="95"/>
  <c r="A13" i="95"/>
  <c r="A12" i="95"/>
  <c r="A11" i="95"/>
  <c r="A10" i="95"/>
  <c r="A9" i="95"/>
  <c r="A5" i="95"/>
  <c r="A4" i="95"/>
  <c r="A3" i="95"/>
  <c r="A65" i="94"/>
  <c r="A64" i="94"/>
  <c r="A63" i="94"/>
  <c r="A62" i="94"/>
  <c r="A61" i="94"/>
  <c r="A60" i="94"/>
  <c r="A59" i="94"/>
  <c r="A58" i="94"/>
  <c r="A57" i="94"/>
  <c r="A56" i="94"/>
  <c r="A52" i="94"/>
  <c r="A51" i="94"/>
  <c r="A50" i="94"/>
  <c r="A49" i="94"/>
  <c r="A48" i="94"/>
  <c r="A47" i="94"/>
  <c r="A46" i="94"/>
  <c r="A45" i="94"/>
  <c r="A44" i="94"/>
  <c r="A43" i="94"/>
  <c r="A42" i="94"/>
  <c r="A41" i="94"/>
  <c r="A40" i="94"/>
  <c r="A39" i="94"/>
  <c r="A38" i="94"/>
  <c r="A37" i="94"/>
  <c r="A36" i="94"/>
  <c r="A35" i="94"/>
  <c r="A34" i="94"/>
  <c r="A33" i="94"/>
  <c r="A32" i="94"/>
  <c r="A31" i="94"/>
  <c r="A30" i="94"/>
  <c r="A26" i="94"/>
  <c r="A25" i="94"/>
  <c r="A24" i="94"/>
  <c r="A23" i="94"/>
  <c r="A22" i="94"/>
  <c r="A21" i="94"/>
  <c r="A20" i="94"/>
  <c r="A19" i="94"/>
  <c r="A18" i="94"/>
  <c r="A17" i="94"/>
  <c r="A16" i="94"/>
  <c r="A15" i="94"/>
  <c r="A14" i="94"/>
  <c r="A13" i="94"/>
  <c r="A12" i="94"/>
  <c r="A11" i="94"/>
  <c r="A10" i="94"/>
  <c r="A9" i="94"/>
  <c r="A5" i="94"/>
  <c r="A4" i="94"/>
  <c r="A3" i="94"/>
  <c r="A65" i="93"/>
  <c r="A64" i="93"/>
  <c r="A63" i="93"/>
  <c r="A62" i="93"/>
  <c r="A61" i="93"/>
  <c r="A60" i="93"/>
  <c r="A59" i="93"/>
  <c r="A58" i="93"/>
  <c r="A57" i="93"/>
  <c r="A56" i="93"/>
  <c r="A52" i="93"/>
  <c r="A51" i="93"/>
  <c r="A50" i="93"/>
  <c r="A49" i="93"/>
  <c r="A48" i="93"/>
  <c r="A47" i="93"/>
  <c r="A46" i="93"/>
  <c r="A45" i="93"/>
  <c r="A44" i="93"/>
  <c r="A43" i="93"/>
  <c r="A42" i="93"/>
  <c r="A41" i="93"/>
  <c r="A40" i="93"/>
  <c r="A39" i="93"/>
  <c r="A38" i="93"/>
  <c r="A37" i="93"/>
  <c r="A36" i="93"/>
  <c r="A35" i="93"/>
  <c r="A34" i="93"/>
  <c r="A33" i="93"/>
  <c r="A32" i="93"/>
  <c r="A31" i="93"/>
  <c r="A30" i="93"/>
  <c r="A26" i="93"/>
  <c r="A25" i="93"/>
  <c r="A24" i="93"/>
  <c r="A23" i="93"/>
  <c r="A22" i="93"/>
  <c r="A21" i="93"/>
  <c r="A20" i="93"/>
  <c r="A19" i="93"/>
  <c r="A18" i="93"/>
  <c r="A17" i="93"/>
  <c r="A16" i="93"/>
  <c r="A15" i="93"/>
  <c r="A14" i="93"/>
  <c r="A13" i="93"/>
  <c r="A12" i="93"/>
  <c r="A11" i="93"/>
  <c r="A10" i="93"/>
  <c r="A9" i="93"/>
  <c r="A5" i="93"/>
  <c r="A4" i="93"/>
  <c r="A3" i="93"/>
  <c r="A65" i="92"/>
  <c r="A64" i="92"/>
  <c r="A63" i="92"/>
  <c r="A62" i="92"/>
  <c r="A61" i="92"/>
  <c r="A60" i="92"/>
  <c r="A59" i="92"/>
  <c r="A58" i="92"/>
  <c r="A57" i="92"/>
  <c r="A56" i="92"/>
  <c r="A52" i="92"/>
  <c r="A51" i="92"/>
  <c r="A50" i="92"/>
  <c r="A49" i="92"/>
  <c r="A48" i="92"/>
  <c r="A47" i="92"/>
  <c r="A46" i="92"/>
  <c r="A45" i="92"/>
  <c r="A44" i="92"/>
  <c r="A43" i="92"/>
  <c r="A42" i="92"/>
  <c r="A41" i="92"/>
  <c r="A40" i="92"/>
  <c r="A39" i="92"/>
  <c r="A38" i="92"/>
  <c r="A37" i="92"/>
  <c r="A36" i="92"/>
  <c r="A35" i="92"/>
  <c r="A34" i="92"/>
  <c r="A33" i="92"/>
  <c r="A32" i="92"/>
  <c r="A31" i="92"/>
  <c r="A30" i="92"/>
  <c r="A26" i="92"/>
  <c r="A25" i="92"/>
  <c r="A24" i="92"/>
  <c r="A23" i="92"/>
  <c r="A22" i="92"/>
  <c r="A21" i="92"/>
  <c r="A20" i="92"/>
  <c r="A19" i="92"/>
  <c r="A18" i="92"/>
  <c r="A17" i="92"/>
  <c r="A16" i="92"/>
  <c r="A15" i="92"/>
  <c r="A14" i="92"/>
  <c r="A13" i="92"/>
  <c r="A12" i="92"/>
  <c r="A11" i="92"/>
  <c r="A10" i="92"/>
  <c r="A9" i="92"/>
  <c r="A5" i="92"/>
  <c r="A4" i="92"/>
  <c r="A3" i="92"/>
  <c r="A65" i="118"/>
  <c r="A64" i="118"/>
  <c r="A63" i="118"/>
  <c r="A62" i="118"/>
  <c r="A61" i="118"/>
  <c r="A60" i="118"/>
  <c r="A59" i="118"/>
  <c r="A58" i="118"/>
  <c r="A57" i="118"/>
  <c r="A56" i="118"/>
  <c r="A52" i="118"/>
  <c r="A51" i="118"/>
  <c r="A50" i="118"/>
  <c r="A49" i="118"/>
  <c r="A48" i="118"/>
  <c r="A47" i="118"/>
  <c r="A46" i="118"/>
  <c r="A45" i="118"/>
  <c r="A44" i="118"/>
  <c r="A43" i="118"/>
  <c r="A42" i="118"/>
  <c r="A41" i="118"/>
  <c r="A40" i="118"/>
  <c r="A39" i="118"/>
  <c r="A38" i="118"/>
  <c r="A37" i="118"/>
  <c r="A36" i="118"/>
  <c r="A35" i="118"/>
  <c r="A34" i="118"/>
  <c r="A33" i="118"/>
  <c r="A32" i="118"/>
  <c r="A31" i="118"/>
  <c r="A30" i="118"/>
  <c r="A26" i="118"/>
  <c r="A25" i="118"/>
  <c r="A24" i="118"/>
  <c r="A23" i="118"/>
  <c r="A22" i="118"/>
  <c r="A21" i="118"/>
  <c r="A20" i="118"/>
  <c r="A19" i="118"/>
  <c r="A18" i="118"/>
  <c r="A17" i="118"/>
  <c r="A16" i="118"/>
  <c r="A15" i="118"/>
  <c r="A14" i="118"/>
  <c r="A13" i="118"/>
  <c r="A12" i="118"/>
  <c r="A11" i="118"/>
  <c r="A10" i="118"/>
  <c r="A9" i="118"/>
  <c r="A5" i="118"/>
  <c r="A4" i="118"/>
  <c r="A3" i="118"/>
  <c r="A65" i="117"/>
  <c r="A64" i="117"/>
  <c r="A63" i="117"/>
  <c r="A62" i="117"/>
  <c r="A61" i="117"/>
  <c r="A60" i="117"/>
  <c r="A59" i="117"/>
  <c r="A58" i="117"/>
  <c r="A57" i="117"/>
  <c r="A56" i="117"/>
  <c r="A52" i="117"/>
  <c r="A51" i="117"/>
  <c r="A50" i="117"/>
  <c r="A49" i="117"/>
  <c r="A48" i="117"/>
  <c r="A47" i="117"/>
  <c r="A46" i="117"/>
  <c r="A45" i="117"/>
  <c r="A44" i="117"/>
  <c r="A43" i="117"/>
  <c r="A42" i="117"/>
  <c r="A41" i="117"/>
  <c r="A40" i="117"/>
  <c r="A39" i="117"/>
  <c r="A38" i="117"/>
  <c r="A37" i="117"/>
  <c r="A36" i="117"/>
  <c r="A35" i="117"/>
  <c r="A34" i="117"/>
  <c r="A33" i="117"/>
  <c r="A32" i="117"/>
  <c r="A31" i="117"/>
  <c r="A30" i="117"/>
  <c r="A26" i="117"/>
  <c r="A25" i="117"/>
  <c r="A24" i="117"/>
  <c r="A23" i="117"/>
  <c r="A22" i="117"/>
  <c r="A21" i="117"/>
  <c r="A20" i="117"/>
  <c r="A19" i="117"/>
  <c r="A18" i="117"/>
  <c r="A17" i="117"/>
  <c r="A16" i="117"/>
  <c r="A15" i="117"/>
  <c r="A14" i="117"/>
  <c r="A13" i="117"/>
  <c r="A12" i="117"/>
  <c r="A11" i="117"/>
  <c r="A10" i="117"/>
  <c r="A9" i="117"/>
  <c r="A5" i="117"/>
  <c r="A4" i="117"/>
  <c r="A3" i="117"/>
  <c r="A65" i="116"/>
  <c r="A64" i="116"/>
  <c r="A63" i="116"/>
  <c r="A62" i="116"/>
  <c r="A61" i="116"/>
  <c r="A60" i="116"/>
  <c r="A59" i="116"/>
  <c r="A58" i="116"/>
  <c r="A57" i="116"/>
  <c r="A56" i="116"/>
  <c r="A52" i="116"/>
  <c r="A51" i="116"/>
  <c r="A50" i="116"/>
  <c r="A49" i="116"/>
  <c r="A48" i="116"/>
  <c r="A47" i="116"/>
  <c r="A46" i="116"/>
  <c r="A45" i="116"/>
  <c r="A44" i="116"/>
  <c r="A43" i="116"/>
  <c r="A42" i="116"/>
  <c r="A41" i="116"/>
  <c r="A40" i="116"/>
  <c r="A39" i="116"/>
  <c r="A38" i="116"/>
  <c r="A37" i="116"/>
  <c r="A36" i="116"/>
  <c r="A35" i="116"/>
  <c r="A34" i="116"/>
  <c r="A33" i="116"/>
  <c r="A32" i="116"/>
  <c r="A31" i="116"/>
  <c r="A30" i="116"/>
  <c r="A26" i="116"/>
  <c r="A25" i="116"/>
  <c r="A24" i="116"/>
  <c r="A23" i="116"/>
  <c r="A22" i="116"/>
  <c r="A21" i="116"/>
  <c r="A20" i="116"/>
  <c r="A19" i="116"/>
  <c r="A18" i="116"/>
  <c r="A17" i="116"/>
  <c r="A16" i="116"/>
  <c r="A15" i="116"/>
  <c r="A14" i="116"/>
  <c r="A13" i="116"/>
  <c r="A12" i="116"/>
  <c r="A11" i="116"/>
  <c r="A10" i="116"/>
  <c r="A9" i="116"/>
  <c r="A5" i="116"/>
  <c r="A4" i="116"/>
  <c r="A3" i="116"/>
  <c r="A65" i="115"/>
  <c r="A64" i="115"/>
  <c r="A63" i="115"/>
  <c r="A62" i="115"/>
  <c r="A61" i="115"/>
  <c r="A60" i="115"/>
  <c r="A59" i="115"/>
  <c r="A58" i="115"/>
  <c r="A57" i="115"/>
  <c r="A56" i="115"/>
  <c r="A52" i="115"/>
  <c r="A51" i="115"/>
  <c r="A50" i="115"/>
  <c r="A49" i="115"/>
  <c r="A48" i="115"/>
  <c r="A47" i="115"/>
  <c r="A46" i="115"/>
  <c r="A45" i="115"/>
  <c r="A44" i="115"/>
  <c r="A43" i="115"/>
  <c r="A42" i="115"/>
  <c r="A41" i="115"/>
  <c r="A40" i="115"/>
  <c r="A39" i="115"/>
  <c r="A38" i="115"/>
  <c r="A37" i="115"/>
  <c r="A36" i="115"/>
  <c r="A35" i="115"/>
  <c r="A34" i="115"/>
  <c r="A33" i="115"/>
  <c r="A32" i="115"/>
  <c r="A31" i="115"/>
  <c r="A30" i="115"/>
  <c r="A26" i="115"/>
  <c r="A25" i="115"/>
  <c r="A24" i="115"/>
  <c r="A23" i="115"/>
  <c r="A22" i="115"/>
  <c r="A21" i="115"/>
  <c r="A20" i="115"/>
  <c r="A19" i="115"/>
  <c r="A18" i="115"/>
  <c r="A17" i="115"/>
  <c r="A16" i="115"/>
  <c r="A15" i="115"/>
  <c r="A14" i="115"/>
  <c r="A13" i="115"/>
  <c r="A12" i="115"/>
  <c r="A11" i="115"/>
  <c r="A10" i="115"/>
  <c r="A9" i="115"/>
  <c r="A5" i="115"/>
  <c r="A4" i="115"/>
  <c r="A3" i="115"/>
  <c r="A65" i="114"/>
  <c r="A64" i="114"/>
  <c r="A63" i="114"/>
  <c r="A62" i="114"/>
  <c r="A61" i="114"/>
  <c r="A60" i="114"/>
  <c r="A59" i="114"/>
  <c r="A58" i="114"/>
  <c r="A57" i="114"/>
  <c r="A56" i="114"/>
  <c r="A52" i="114"/>
  <c r="A51" i="114"/>
  <c r="A50" i="114"/>
  <c r="A49" i="114"/>
  <c r="A48" i="114"/>
  <c r="A47" i="114"/>
  <c r="A46" i="114"/>
  <c r="A45" i="114"/>
  <c r="A44" i="114"/>
  <c r="A43" i="114"/>
  <c r="A42" i="114"/>
  <c r="A41" i="114"/>
  <c r="A40" i="114"/>
  <c r="A39" i="114"/>
  <c r="A38" i="114"/>
  <c r="A37" i="114"/>
  <c r="A36" i="114"/>
  <c r="A35" i="114"/>
  <c r="A34" i="114"/>
  <c r="A33" i="114"/>
  <c r="A32" i="114"/>
  <c r="A31" i="114"/>
  <c r="A30" i="114"/>
  <c r="A26" i="114"/>
  <c r="A25" i="114"/>
  <c r="A24" i="114"/>
  <c r="A23" i="114"/>
  <c r="A22" i="114"/>
  <c r="A21" i="114"/>
  <c r="A20" i="114"/>
  <c r="A19" i="114"/>
  <c r="A18" i="114"/>
  <c r="A17" i="114"/>
  <c r="A16" i="114"/>
  <c r="A15" i="114"/>
  <c r="A14" i="114"/>
  <c r="A13" i="114"/>
  <c r="A12" i="114"/>
  <c r="A11" i="114"/>
  <c r="A10" i="114"/>
  <c r="A9" i="114"/>
  <c r="A5" i="114"/>
  <c r="A4" i="114"/>
  <c r="A3" i="114"/>
  <c r="A65" i="99"/>
  <c r="A64" i="99"/>
  <c r="A63" i="99"/>
  <c r="A62" i="99"/>
  <c r="A61" i="99"/>
  <c r="A60" i="99"/>
  <c r="A59" i="99"/>
  <c r="A58" i="99"/>
  <c r="A57" i="99"/>
  <c r="A56" i="99"/>
  <c r="A52" i="99"/>
  <c r="A51" i="99"/>
  <c r="A50" i="99"/>
  <c r="A49" i="99"/>
  <c r="A48" i="99"/>
  <c r="A47" i="99"/>
  <c r="A46" i="99"/>
  <c r="A45" i="99"/>
  <c r="A44" i="99"/>
  <c r="A43" i="99"/>
  <c r="A42" i="99"/>
  <c r="A41" i="99"/>
  <c r="A40" i="99"/>
  <c r="A39" i="99"/>
  <c r="A38" i="99"/>
  <c r="A37" i="99"/>
  <c r="A36" i="99"/>
  <c r="A35" i="99"/>
  <c r="A34" i="99"/>
  <c r="A33" i="99"/>
  <c r="A32" i="99"/>
  <c r="A31" i="99"/>
  <c r="A30" i="99"/>
  <c r="A26" i="99"/>
  <c r="A25" i="99"/>
  <c r="A24" i="99"/>
  <c r="A23" i="99"/>
  <c r="A22" i="99"/>
  <c r="A21" i="99"/>
  <c r="A20" i="99"/>
  <c r="A19" i="99"/>
  <c r="A18" i="99"/>
  <c r="A17" i="99"/>
  <c r="A16" i="99"/>
  <c r="A15" i="99"/>
  <c r="A14" i="99"/>
  <c r="A13" i="99"/>
  <c r="A12" i="99"/>
  <c r="A11" i="99"/>
  <c r="A10" i="99"/>
  <c r="A9" i="99"/>
  <c r="A5" i="99"/>
  <c r="A4" i="99"/>
  <c r="A3" i="99"/>
  <c r="A65" i="102"/>
  <c r="A64" i="102"/>
  <c r="A63" i="102"/>
  <c r="A62" i="102"/>
  <c r="A61" i="102"/>
  <c r="A60" i="102"/>
  <c r="A59" i="102"/>
  <c r="A58" i="102"/>
  <c r="A57" i="102"/>
  <c r="A56" i="102"/>
  <c r="A52" i="102"/>
  <c r="A51" i="102"/>
  <c r="A50" i="102"/>
  <c r="A49" i="102"/>
  <c r="A48" i="102"/>
  <c r="A47" i="102"/>
  <c r="A46" i="102"/>
  <c r="A45" i="102"/>
  <c r="A44" i="102"/>
  <c r="A43" i="102"/>
  <c r="A42" i="102"/>
  <c r="A41" i="102"/>
  <c r="A40" i="102"/>
  <c r="A39" i="102"/>
  <c r="A38" i="102"/>
  <c r="A37" i="102"/>
  <c r="A36" i="102"/>
  <c r="A35" i="102"/>
  <c r="A34" i="102"/>
  <c r="A33" i="102"/>
  <c r="A32" i="102"/>
  <c r="A31" i="102"/>
  <c r="A30" i="102"/>
  <c r="A26" i="102"/>
  <c r="A25" i="102"/>
  <c r="A24" i="102"/>
  <c r="A23" i="102"/>
  <c r="A22" i="102"/>
  <c r="A21" i="102"/>
  <c r="A20" i="102"/>
  <c r="A19" i="102"/>
  <c r="A18" i="102"/>
  <c r="A17" i="102"/>
  <c r="A16" i="102"/>
  <c r="A15" i="102"/>
  <c r="A14" i="102"/>
  <c r="A13" i="102"/>
  <c r="A12" i="102"/>
  <c r="A11" i="102"/>
  <c r="A10" i="102"/>
  <c r="A9" i="102"/>
  <c r="A5" i="102"/>
  <c r="A4" i="102"/>
  <c r="A3" i="102"/>
  <c r="A65" i="91"/>
  <c r="A64" i="91"/>
  <c r="A63" i="91"/>
  <c r="A62" i="91"/>
  <c r="A61" i="91"/>
  <c r="A60" i="91"/>
  <c r="A59" i="91"/>
  <c r="A58" i="91"/>
  <c r="A57" i="91"/>
  <c r="A56" i="91"/>
  <c r="A52" i="91"/>
  <c r="A51" i="91"/>
  <c r="A50" i="91"/>
  <c r="A49" i="91"/>
  <c r="A48" i="91"/>
  <c r="A47" i="91"/>
  <c r="A46" i="91"/>
  <c r="A45" i="91"/>
  <c r="A44" i="91"/>
  <c r="A43" i="91"/>
  <c r="A42" i="91"/>
  <c r="A41" i="91"/>
  <c r="A40" i="91"/>
  <c r="A39" i="91"/>
  <c r="A38" i="91"/>
  <c r="A37" i="91"/>
  <c r="A36" i="91"/>
  <c r="A35" i="91"/>
  <c r="A34" i="91"/>
  <c r="A33" i="91"/>
  <c r="A32" i="91"/>
  <c r="A31" i="91"/>
  <c r="A30" i="91"/>
  <c r="A26" i="91"/>
  <c r="A25" i="91"/>
  <c r="A24" i="91"/>
  <c r="A23" i="91"/>
  <c r="A22" i="91"/>
  <c r="A21" i="91"/>
  <c r="A20" i="91"/>
  <c r="A19" i="91"/>
  <c r="A18" i="91"/>
  <c r="A17" i="91"/>
  <c r="A16" i="91"/>
  <c r="A15" i="91"/>
  <c r="A14" i="91"/>
  <c r="A13" i="91"/>
  <c r="A12" i="91"/>
  <c r="A11" i="91"/>
  <c r="A10" i="91"/>
  <c r="A9" i="91"/>
  <c r="A5" i="91"/>
  <c r="A4" i="91"/>
  <c r="A3" i="91"/>
  <c r="A65" i="76"/>
  <c r="A64" i="76"/>
  <c r="A63" i="76"/>
  <c r="A62" i="76"/>
  <c r="A61" i="76"/>
  <c r="A60" i="76"/>
  <c r="A59" i="76"/>
  <c r="A58" i="76"/>
  <c r="A57" i="76"/>
  <c r="A56" i="76"/>
  <c r="A52" i="76"/>
  <c r="A51" i="76"/>
  <c r="A50" i="76"/>
  <c r="A49" i="76"/>
  <c r="A48" i="76"/>
  <c r="A47" i="76"/>
  <c r="A46" i="76"/>
  <c r="A45" i="76"/>
  <c r="A44" i="76"/>
  <c r="A43" i="76"/>
  <c r="A42" i="76"/>
  <c r="A41" i="76"/>
  <c r="A40" i="76"/>
  <c r="A39" i="76"/>
  <c r="A38" i="76"/>
  <c r="A37" i="76"/>
  <c r="A36" i="76"/>
  <c r="A35" i="76"/>
  <c r="A34" i="76"/>
  <c r="A33" i="76"/>
  <c r="A32" i="76"/>
  <c r="A31" i="76"/>
  <c r="A30" i="76"/>
  <c r="A26" i="76"/>
  <c r="A25" i="76"/>
  <c r="A24" i="76"/>
  <c r="A23" i="76"/>
  <c r="A22" i="76"/>
  <c r="A21" i="76"/>
  <c r="A20" i="76"/>
  <c r="A19" i="76"/>
  <c r="A18" i="76"/>
  <c r="A17" i="76"/>
  <c r="A16" i="76"/>
  <c r="A15" i="76"/>
  <c r="A14" i="76"/>
  <c r="A13" i="76"/>
  <c r="A12" i="76"/>
  <c r="A11" i="76"/>
  <c r="A10" i="76"/>
  <c r="A9" i="76"/>
  <c r="A5" i="76"/>
  <c r="A4" i="76"/>
  <c r="A3" i="76"/>
  <c r="A65" i="109"/>
  <c r="A64" i="109"/>
  <c r="A63" i="109"/>
  <c r="A62" i="109"/>
  <c r="A61" i="109"/>
  <c r="A60" i="109"/>
  <c r="A59" i="109"/>
  <c r="A58" i="109"/>
  <c r="A57" i="109"/>
  <c r="A56" i="109"/>
  <c r="A52" i="109"/>
  <c r="A51" i="109"/>
  <c r="A50" i="109"/>
  <c r="A49" i="109"/>
  <c r="A48" i="109"/>
  <c r="A47" i="109"/>
  <c r="A46" i="109"/>
  <c r="A45" i="109"/>
  <c r="A44" i="109"/>
  <c r="A43" i="109"/>
  <c r="A42" i="109"/>
  <c r="A41" i="109"/>
  <c r="A40" i="109"/>
  <c r="A39" i="109"/>
  <c r="A38" i="109"/>
  <c r="A37" i="109"/>
  <c r="A36" i="109"/>
  <c r="A35" i="109"/>
  <c r="A34" i="109"/>
  <c r="A33" i="109"/>
  <c r="A32" i="109"/>
  <c r="A31" i="109"/>
  <c r="A30" i="109"/>
  <c r="A26" i="109"/>
  <c r="A25" i="109"/>
  <c r="A24" i="109"/>
  <c r="A23" i="109"/>
  <c r="A22" i="109"/>
  <c r="A21" i="109"/>
  <c r="A20" i="109"/>
  <c r="A19" i="109"/>
  <c r="A18" i="109"/>
  <c r="A17" i="109"/>
  <c r="A16" i="109"/>
  <c r="A15" i="109"/>
  <c r="A14" i="109"/>
  <c r="A13" i="109"/>
  <c r="A12" i="109"/>
  <c r="A11" i="109"/>
  <c r="A10" i="109"/>
  <c r="A9" i="109"/>
  <c r="A5" i="109"/>
  <c r="A4" i="109"/>
  <c r="A3" i="109"/>
  <c r="A65" i="113"/>
  <c r="A64" i="113"/>
  <c r="A63" i="113"/>
  <c r="A62" i="113"/>
  <c r="A61" i="113"/>
  <c r="A60" i="113"/>
  <c r="A59" i="113"/>
  <c r="A58" i="113"/>
  <c r="A57" i="113"/>
  <c r="A56" i="113"/>
  <c r="A52" i="113"/>
  <c r="A51" i="113"/>
  <c r="A50" i="113"/>
  <c r="A49" i="113"/>
  <c r="A48" i="113"/>
  <c r="A47" i="113"/>
  <c r="A46" i="113"/>
  <c r="A45" i="113"/>
  <c r="A44" i="113"/>
  <c r="A43" i="113"/>
  <c r="A42" i="113"/>
  <c r="A41" i="113"/>
  <c r="A40" i="113"/>
  <c r="A39" i="113"/>
  <c r="A38" i="113"/>
  <c r="A37" i="113"/>
  <c r="A36" i="113"/>
  <c r="A35" i="113"/>
  <c r="A34" i="113"/>
  <c r="A33" i="113"/>
  <c r="A32" i="113"/>
  <c r="A31" i="113"/>
  <c r="A30" i="113"/>
  <c r="A26" i="113"/>
  <c r="A25" i="113"/>
  <c r="A24" i="113"/>
  <c r="A23" i="113"/>
  <c r="A22" i="113"/>
  <c r="A21" i="113"/>
  <c r="A20" i="113"/>
  <c r="A19" i="113"/>
  <c r="A18" i="113"/>
  <c r="A17" i="113"/>
  <c r="A16" i="113"/>
  <c r="A15" i="113"/>
  <c r="A14" i="113"/>
  <c r="A13" i="113"/>
  <c r="A12" i="113"/>
  <c r="A11" i="113"/>
  <c r="A10" i="113"/>
  <c r="A9" i="113"/>
  <c r="A5" i="113"/>
  <c r="A4" i="113"/>
  <c r="A3" i="113"/>
  <c r="A65" i="77"/>
  <c r="A64" i="77"/>
  <c r="A63" i="77"/>
  <c r="A62" i="77"/>
  <c r="A61" i="77"/>
  <c r="A60" i="77"/>
  <c r="A59" i="77"/>
  <c r="A58" i="77"/>
  <c r="A57" i="77"/>
  <c r="A56" i="77"/>
  <c r="A52" i="77"/>
  <c r="A51" i="77"/>
  <c r="A50" i="77"/>
  <c r="A49" i="77"/>
  <c r="A48" i="77"/>
  <c r="A47" i="77"/>
  <c r="A46" i="77"/>
  <c r="A45" i="77"/>
  <c r="A44" i="77"/>
  <c r="A43" i="77"/>
  <c r="A42" i="77"/>
  <c r="A41" i="77"/>
  <c r="A40" i="77"/>
  <c r="A39" i="77"/>
  <c r="A38" i="77"/>
  <c r="A37" i="77"/>
  <c r="A36" i="77"/>
  <c r="A35" i="77"/>
  <c r="A34" i="77"/>
  <c r="A33" i="77"/>
  <c r="A32" i="77"/>
  <c r="A31" i="77"/>
  <c r="A30" i="77"/>
  <c r="A26" i="77"/>
  <c r="A25" i="77"/>
  <c r="A24" i="77"/>
  <c r="A23" i="77"/>
  <c r="A22" i="77"/>
  <c r="A21" i="77"/>
  <c r="A20" i="77"/>
  <c r="A19" i="77"/>
  <c r="A18" i="77"/>
  <c r="A17" i="77"/>
  <c r="A16" i="77"/>
  <c r="A15" i="77"/>
  <c r="A14" i="77"/>
  <c r="A13" i="77"/>
  <c r="A12" i="77"/>
  <c r="A11" i="77"/>
  <c r="A10" i="77"/>
  <c r="A9" i="77"/>
  <c r="A5" i="77"/>
  <c r="A4" i="77"/>
  <c r="A3" i="77"/>
  <c r="A65" i="89"/>
  <c r="A64" i="89"/>
  <c r="A63" i="89"/>
  <c r="A62" i="89"/>
  <c r="A61" i="89"/>
  <c r="A60" i="89"/>
  <c r="A59" i="89"/>
  <c r="A58" i="89"/>
  <c r="A57" i="89"/>
  <c r="A56" i="89"/>
  <c r="A52" i="89"/>
  <c r="A51" i="89"/>
  <c r="A50" i="89"/>
  <c r="A49" i="89"/>
  <c r="A48" i="89"/>
  <c r="A47" i="89"/>
  <c r="A46" i="89"/>
  <c r="A45" i="89"/>
  <c r="A44" i="89"/>
  <c r="A43" i="89"/>
  <c r="A42" i="89"/>
  <c r="A41" i="89"/>
  <c r="A40" i="89"/>
  <c r="A39" i="89"/>
  <c r="A38" i="89"/>
  <c r="A37" i="89"/>
  <c r="A36" i="89"/>
  <c r="A35" i="89"/>
  <c r="A34" i="89"/>
  <c r="A33" i="89"/>
  <c r="A32" i="89"/>
  <c r="A31" i="89"/>
  <c r="A30" i="89"/>
  <c r="A26" i="89"/>
  <c r="A25" i="89"/>
  <c r="A24" i="89"/>
  <c r="A23" i="89"/>
  <c r="A22" i="89"/>
  <c r="A21" i="89"/>
  <c r="A20" i="89"/>
  <c r="A19" i="89"/>
  <c r="A18" i="89"/>
  <c r="A17" i="89"/>
  <c r="A16" i="89"/>
  <c r="A15" i="89"/>
  <c r="A14" i="89"/>
  <c r="A13" i="89"/>
  <c r="A12" i="89"/>
  <c r="A11" i="89"/>
  <c r="A10" i="89"/>
  <c r="A9" i="89"/>
  <c r="A5" i="89"/>
  <c r="A4" i="89"/>
  <c r="A3" i="89"/>
  <c r="A65" i="79"/>
  <c r="A64" i="79"/>
  <c r="A63" i="79"/>
  <c r="A62" i="79"/>
  <c r="A61" i="79"/>
  <c r="A60" i="79"/>
  <c r="A59" i="79"/>
  <c r="A58" i="79"/>
  <c r="A57" i="79"/>
  <c r="A56" i="79"/>
  <c r="A52" i="79"/>
  <c r="A51" i="79"/>
  <c r="A50" i="79"/>
  <c r="A49" i="79"/>
  <c r="A48" i="79"/>
  <c r="A47" i="79"/>
  <c r="A46" i="79"/>
  <c r="A45" i="79"/>
  <c r="A44" i="79"/>
  <c r="A43" i="79"/>
  <c r="A42" i="79"/>
  <c r="A41" i="79"/>
  <c r="A40" i="79"/>
  <c r="A39" i="79"/>
  <c r="A38" i="79"/>
  <c r="A37" i="79"/>
  <c r="A36" i="79"/>
  <c r="A35" i="79"/>
  <c r="A34" i="79"/>
  <c r="A33" i="79"/>
  <c r="A32" i="79"/>
  <c r="A31" i="79"/>
  <c r="A30" i="79"/>
  <c r="A26" i="79"/>
  <c r="A25" i="79"/>
  <c r="A24" i="79"/>
  <c r="A23" i="79"/>
  <c r="A22" i="79"/>
  <c r="A21" i="79"/>
  <c r="A20" i="79"/>
  <c r="A19" i="79"/>
  <c r="A18" i="79"/>
  <c r="A17" i="79"/>
  <c r="A16" i="79"/>
  <c r="A15" i="79"/>
  <c r="A14" i="79"/>
  <c r="A13" i="79"/>
  <c r="A12" i="79"/>
  <c r="A11" i="79"/>
  <c r="A10" i="79"/>
  <c r="A9" i="79"/>
  <c r="A5" i="79"/>
  <c r="A4" i="79"/>
  <c r="A3" i="79"/>
  <c r="A65" i="75"/>
  <c r="A64" i="75"/>
  <c r="A63" i="75"/>
  <c r="A62" i="75"/>
  <c r="A61" i="75"/>
  <c r="A60" i="75"/>
  <c r="A59" i="75"/>
  <c r="A58" i="75"/>
  <c r="A57" i="75"/>
  <c r="A56" i="75"/>
  <c r="A52" i="75"/>
  <c r="A51" i="75"/>
  <c r="A50" i="75"/>
  <c r="A49" i="75"/>
  <c r="A48" i="75"/>
  <c r="A47" i="75"/>
  <c r="A46" i="75"/>
  <c r="A45" i="75"/>
  <c r="A44" i="75"/>
  <c r="A43" i="75"/>
  <c r="A42" i="75"/>
  <c r="A41" i="75"/>
  <c r="A40" i="75"/>
  <c r="A39" i="75"/>
  <c r="A38" i="75"/>
  <c r="A37" i="75"/>
  <c r="A36" i="75"/>
  <c r="A35" i="75"/>
  <c r="A34" i="75"/>
  <c r="A33" i="75"/>
  <c r="A32" i="75"/>
  <c r="A31" i="75"/>
  <c r="A30" i="75"/>
  <c r="A26" i="75"/>
  <c r="A25" i="75"/>
  <c r="A24" i="75"/>
  <c r="A23" i="75"/>
  <c r="A22" i="75"/>
  <c r="A21" i="75"/>
  <c r="A20" i="75"/>
  <c r="A19" i="75"/>
  <c r="A18" i="75"/>
  <c r="A17" i="75"/>
  <c r="A16" i="75"/>
  <c r="A15" i="75"/>
  <c r="A14" i="75"/>
  <c r="A13" i="75"/>
  <c r="A12" i="75"/>
  <c r="A11" i="75"/>
  <c r="A10" i="75"/>
  <c r="A9" i="75"/>
  <c r="A5" i="75"/>
  <c r="A4" i="75"/>
  <c r="A3" i="75"/>
  <c r="A65" i="72"/>
  <c r="A64" i="72"/>
  <c r="A63" i="72"/>
  <c r="A62" i="72"/>
  <c r="A61" i="72"/>
  <c r="A60" i="72"/>
  <c r="A59" i="72"/>
  <c r="A58" i="72"/>
  <c r="A57" i="72"/>
  <c r="A56" i="72"/>
  <c r="A52" i="72"/>
  <c r="A51" i="72"/>
  <c r="A50" i="72"/>
  <c r="A49" i="72"/>
  <c r="A48" i="72"/>
  <c r="A47" i="72"/>
  <c r="A46" i="72"/>
  <c r="A45" i="72"/>
  <c r="A44" i="72"/>
  <c r="A43" i="72"/>
  <c r="A42" i="72"/>
  <c r="A41" i="72"/>
  <c r="A40" i="72"/>
  <c r="A39" i="72"/>
  <c r="A38" i="72"/>
  <c r="A37" i="72"/>
  <c r="A36" i="72"/>
  <c r="A35" i="72"/>
  <c r="A34" i="72"/>
  <c r="A33" i="72"/>
  <c r="A32" i="72"/>
  <c r="A31" i="72"/>
  <c r="A30" i="72"/>
  <c r="A26" i="72"/>
  <c r="A25" i="72"/>
  <c r="A24" i="72"/>
  <c r="A23" i="72"/>
  <c r="A22" i="72"/>
  <c r="A21" i="72"/>
  <c r="A20" i="72"/>
  <c r="A19" i="72"/>
  <c r="A18" i="72"/>
  <c r="A17" i="72"/>
  <c r="A16" i="72"/>
  <c r="A15" i="72"/>
  <c r="A14" i="72"/>
  <c r="A13" i="72"/>
  <c r="A12" i="72"/>
  <c r="A11" i="72"/>
  <c r="A10" i="72"/>
  <c r="A9" i="72"/>
  <c r="A5" i="72"/>
  <c r="A4" i="72"/>
  <c r="A3" i="72"/>
  <c r="A65" i="13"/>
  <c r="A64" i="13"/>
  <c r="A63" i="13"/>
  <c r="A62" i="13"/>
  <c r="A61" i="13"/>
  <c r="A60" i="13"/>
  <c r="A59" i="13"/>
  <c r="A58" i="13"/>
  <c r="A57" i="13"/>
  <c r="A56" i="13"/>
  <c r="A52" i="13"/>
  <c r="A51" i="13"/>
  <c r="A50" i="13"/>
  <c r="A49" i="13"/>
  <c r="A48" i="13"/>
  <c r="A47" i="13"/>
  <c r="A46" i="13"/>
  <c r="A45" i="13"/>
  <c r="A44" i="13"/>
  <c r="A43" i="13"/>
  <c r="A42" i="13"/>
  <c r="A41" i="13"/>
  <c r="A40" i="13"/>
  <c r="A39" i="13"/>
  <c r="A38" i="13"/>
  <c r="A37" i="13"/>
  <c r="A36" i="13"/>
  <c r="A35" i="13"/>
  <c r="A34" i="13"/>
  <c r="A33" i="13"/>
  <c r="A32" i="13"/>
  <c r="A31" i="13"/>
  <c r="A30" i="13"/>
  <c r="A26" i="13"/>
  <c r="A25" i="13"/>
  <c r="A24" i="13"/>
  <c r="A23" i="13"/>
  <c r="A22" i="13"/>
  <c r="A21" i="13"/>
  <c r="A20" i="13"/>
  <c r="A19" i="13"/>
  <c r="A18" i="13"/>
  <c r="A17" i="13"/>
  <c r="A16" i="13"/>
  <c r="A15" i="13"/>
  <c r="A14" i="13"/>
  <c r="A13" i="13"/>
  <c r="A12" i="13"/>
  <c r="A11" i="13"/>
  <c r="A10" i="13"/>
  <c r="A9" i="13"/>
  <c r="A5" i="13"/>
  <c r="A4" i="13"/>
  <c r="A3" i="13"/>
  <c r="A65" i="71"/>
  <c r="A64" i="71"/>
  <c r="A63" i="71"/>
  <c r="A62" i="71"/>
  <c r="A61" i="71"/>
  <c r="A60" i="71"/>
  <c r="A59" i="71"/>
  <c r="A58" i="71"/>
  <c r="A57" i="71"/>
  <c r="A56" i="71"/>
  <c r="A52" i="71"/>
  <c r="A51" i="71"/>
  <c r="A50" i="71"/>
  <c r="A49" i="71"/>
  <c r="A48" i="71"/>
  <c r="A47" i="71"/>
  <c r="A46" i="71"/>
  <c r="A45" i="71"/>
  <c r="A44" i="71"/>
  <c r="A43" i="71"/>
  <c r="A42" i="71"/>
  <c r="A41" i="71"/>
  <c r="A40" i="71"/>
  <c r="A39" i="71"/>
  <c r="A38" i="71"/>
  <c r="A37" i="71"/>
  <c r="A36" i="71"/>
  <c r="A35" i="71"/>
  <c r="A34" i="71"/>
  <c r="A33" i="71"/>
  <c r="A32" i="71"/>
  <c r="A31" i="71"/>
  <c r="A30" i="71"/>
  <c r="A26" i="71"/>
  <c r="A25" i="71"/>
  <c r="A24" i="71"/>
  <c r="A23" i="71"/>
  <c r="A22" i="71"/>
  <c r="A21" i="71"/>
  <c r="A20" i="71"/>
  <c r="A19" i="71"/>
  <c r="A18" i="71"/>
  <c r="A17" i="71"/>
  <c r="A16" i="71"/>
  <c r="A15" i="71"/>
  <c r="A14" i="71"/>
  <c r="A13" i="71"/>
  <c r="A12" i="71"/>
  <c r="A11" i="71"/>
  <c r="A10" i="71"/>
  <c r="A9" i="71"/>
  <c r="A5" i="71"/>
  <c r="A4" i="71"/>
  <c r="A3" i="71"/>
  <c r="H160" i="90"/>
  <c r="G160" i="90"/>
  <c r="F160" i="90"/>
  <c r="E160" i="90"/>
  <c r="D160" i="90"/>
  <c r="F627" i="119" a="1"/>
  <c r="F627" i="119" s="1"/>
  <c r="E627" i="119" a="1"/>
  <c r="E627" i="119" s="1"/>
  <c r="D627" i="119" a="1"/>
  <c r="D627" i="119" s="1"/>
  <c r="F609" i="119" a="1"/>
  <c r="F609" i="119" s="1"/>
  <c r="E609" i="119" a="1"/>
  <c r="E609" i="119" s="1"/>
  <c r="D609" i="119" a="1"/>
  <c r="D609" i="119" s="1"/>
  <c r="F490" i="119" a="1"/>
  <c r="F490" i="119" s="1"/>
  <c r="E490" i="119" a="1"/>
  <c r="E490" i="119" s="1"/>
  <c r="D490" i="119" a="1"/>
  <c r="D490" i="119" s="1"/>
  <c r="F448" i="119" a="1"/>
  <c r="F448" i="119" s="1"/>
  <c r="J448" i="119" s="1" a="1"/>
  <c r="J448" i="119" s="1"/>
  <c r="E448" i="119" a="1"/>
  <c r="E448" i="119" s="1"/>
  <c r="D448" i="119" a="1"/>
  <c r="D448" i="119" s="1"/>
  <c r="F430" i="119" a="1"/>
  <c r="F430" i="119" s="1"/>
  <c r="E430" i="119" a="1"/>
  <c r="E430" i="119" s="1"/>
  <c r="D430" i="119" a="1"/>
  <c r="D430" i="119" s="1"/>
  <c r="G336" i="119" a="1"/>
  <c r="G336" i="119" s="1"/>
  <c r="L336" i="119" s="1"/>
  <c r="F336" i="119" a="1"/>
  <c r="F336" i="119" s="1"/>
  <c r="K336" i="119" s="1" a="1"/>
  <c r="K336" i="119" s="1"/>
  <c r="E336" i="119" a="1"/>
  <c r="E336" i="119" s="1"/>
  <c r="D336" i="119" a="1"/>
  <c r="D336" i="119" s="1"/>
  <c r="D305" i="119" a="1"/>
  <c r="D305" i="119" s="1"/>
  <c r="AD237" i="119" a="1"/>
  <c r="AD237" i="119" s="1"/>
  <c r="AC237" i="119" a="1"/>
  <c r="AC237" i="119" s="1"/>
  <c r="Z237" i="119" a="1"/>
  <c r="Z237" i="119" s="1"/>
  <c r="Y237" i="119" a="1"/>
  <c r="Y237" i="119" s="1"/>
  <c r="V237" i="119" a="1"/>
  <c r="V237" i="119" s="1"/>
  <c r="U237" i="119" a="1"/>
  <c r="U237" i="119" s="1"/>
  <c r="R237" i="119" a="1"/>
  <c r="R237" i="119" s="1"/>
  <c r="Q237" i="119" a="1"/>
  <c r="Q237" i="119" s="1"/>
  <c r="P237" i="119" a="1"/>
  <c r="P237" i="119" s="1"/>
  <c r="O237" i="119" a="1"/>
  <c r="O237" i="119" s="1"/>
  <c r="D237" i="119" a="1"/>
  <c r="D237" i="119" s="1"/>
  <c r="D221" i="119" a="1"/>
  <c r="D221" i="119" s="1"/>
  <c r="AA119" i="119" a="1"/>
  <c r="AA119" i="119" s="1"/>
  <c r="Z119" i="119" a="1"/>
  <c r="Z119" i="119" s="1"/>
  <c r="Y119" i="119" a="1"/>
  <c r="Y119" i="119" s="1"/>
  <c r="W119" i="119" a="1"/>
  <c r="W119" i="119" s="1"/>
  <c r="V119" i="119" a="1"/>
  <c r="V119" i="119" s="1"/>
  <c r="U119" i="119" a="1"/>
  <c r="U119" i="119" s="1"/>
  <c r="S119" i="119" a="1"/>
  <c r="S119" i="119" s="1"/>
  <c r="R119" i="119" a="1"/>
  <c r="R119" i="119" s="1"/>
  <c r="Q119" i="119" a="1"/>
  <c r="Q119" i="119" s="1"/>
  <c r="O119" i="119" a="1"/>
  <c r="O119" i="119" s="1"/>
  <c r="N119" i="119" a="1"/>
  <c r="N119" i="119" s="1"/>
  <c r="M119" i="119" a="1"/>
  <c r="M119" i="119" s="1"/>
  <c r="E119" i="119" a="1"/>
  <c r="E119" i="119" s="1"/>
  <c r="D119" i="119" a="1"/>
  <c r="D119" i="119" s="1"/>
  <c r="H42" i="119" a="1"/>
  <c r="H42" i="119" s="1"/>
  <c r="E42" i="119" a="1"/>
  <c r="E42" i="119" s="1"/>
  <c r="D42" i="119" a="1"/>
  <c r="D42" i="119" s="1"/>
  <c r="D32" i="104"/>
  <c r="D25" i="104"/>
  <c r="F39" i="103"/>
  <c r="M39" i="103" s="1" a="1"/>
  <c r="M39" i="103" s="1"/>
  <c r="D37" i="103"/>
  <c r="D34" i="103"/>
  <c r="D33" i="103"/>
  <c r="D25" i="103"/>
  <c r="D75" i="97"/>
  <c r="D74" i="97"/>
  <c r="D73" i="97"/>
  <c r="D72" i="97"/>
  <c r="D71" i="97"/>
  <c r="D70" i="97"/>
  <c r="D69" i="97"/>
  <c r="D68" i="97"/>
  <c r="D134" i="96" a="1"/>
  <c r="D134" i="96" s="1"/>
  <c r="D102" i="96" a="1"/>
  <c r="D102" i="96" s="1"/>
  <c r="G25" i="95" a="1"/>
  <c r="G25" i="95" s="1"/>
  <c r="F25" i="95" a="1"/>
  <c r="F25" i="95" s="1"/>
  <c r="D25" i="95" a="1"/>
  <c r="D25" i="95" s="1"/>
  <c r="H20" i="94" a="1"/>
  <c r="H20" i="94" s="1"/>
  <c r="E20" i="94" a="1"/>
  <c r="E20" i="94" s="1"/>
  <c r="D20" i="94" a="1"/>
  <c r="D20" i="94" s="1"/>
  <c r="N97" i="92" a="1"/>
  <c r="N97" i="92" s="1"/>
  <c r="N87" i="92" a="1"/>
  <c r="N87" i="92" s="1"/>
  <c r="N55" i="92" a="1"/>
  <c r="N55" i="92" s="1"/>
  <c r="N45" i="92" a="1"/>
  <c r="N45" i="92" s="1"/>
  <c r="J21" i="102" a="1"/>
  <c r="J21" i="102" s="1"/>
  <c r="G21" i="102" a="1"/>
  <c r="G21" i="102" s="1"/>
  <c r="J20" i="102" a="1"/>
  <c r="J20" i="102" s="1"/>
  <c r="G20" i="102" a="1"/>
  <c r="G20" i="102" s="1"/>
  <c r="J19" i="102" a="1"/>
  <c r="J19" i="102" s="1"/>
  <c r="G19" i="102" a="1"/>
  <c r="G19" i="102" s="1"/>
  <c r="J18" i="102" a="1"/>
  <c r="J18" i="102" s="1"/>
  <c r="G18" i="102" a="1"/>
  <c r="G18" i="102" s="1"/>
  <c r="J17" i="102" a="1"/>
  <c r="J17" i="102" s="1"/>
  <c r="G17" i="102" a="1"/>
  <c r="G17" i="102" s="1"/>
  <c r="H16" i="113" a="1"/>
  <c r="H16" i="113" s="1"/>
  <c r="H15" i="113" a="1"/>
  <c r="H15" i="113" s="1"/>
  <c r="H14" i="113" a="1"/>
  <c r="H14" i="113" s="1"/>
  <c r="H13" i="113" a="1"/>
  <c r="H13" i="113" s="1"/>
  <c r="H12" i="113" a="1"/>
  <c r="H12" i="113" s="1"/>
  <c r="H11" i="113" a="1"/>
  <c r="H11" i="113" s="1"/>
  <c r="H10" i="113" a="1"/>
  <c r="H10" i="113" s="1"/>
  <c r="F27" i="122" a="1"/>
  <c r="F27" i="122" s="1"/>
  <c r="E27" i="122" a="1"/>
  <c r="E27" i="122" s="1"/>
  <c r="D27" i="122" a="1"/>
  <c r="D27" i="122" s="1"/>
  <c r="F26" i="122" a="1"/>
  <c r="F26" i="122" s="1"/>
  <c r="E26" i="122" a="1"/>
  <c r="E26" i="122" s="1"/>
  <c r="D26" i="122" a="1"/>
  <c r="D26" i="122" s="1"/>
  <c r="F25" i="122" a="1"/>
  <c r="F25" i="122" s="1"/>
  <c r="E25" i="122" a="1"/>
  <c r="E25" i="122" s="1"/>
  <c r="D25" i="122" a="1"/>
  <c r="D25" i="122" s="1"/>
  <c r="F24" i="122" a="1"/>
  <c r="F24" i="122" s="1"/>
  <c r="E24" i="122" a="1"/>
  <c r="E24" i="122" s="1"/>
  <c r="D24" i="122" a="1"/>
  <c r="D24" i="122" s="1"/>
  <c r="F23" i="122" a="1"/>
  <c r="F23" i="122" s="1"/>
  <c r="E23" i="122" a="1"/>
  <c r="E23" i="122" s="1"/>
  <c r="D23" i="122" a="1"/>
  <c r="D23" i="122" s="1"/>
  <c r="F22" i="122" a="1"/>
  <c r="F22" i="122" s="1"/>
  <c r="E22" i="122" a="1"/>
  <c r="E22" i="122" s="1"/>
  <c r="D22" i="122" a="1"/>
  <c r="D22" i="122" s="1"/>
  <c r="F21" i="122" a="1"/>
  <c r="F21" i="122" s="1"/>
  <c r="E21" i="122" a="1"/>
  <c r="E21" i="122" s="1"/>
  <c r="D21" i="122" a="1"/>
  <c r="D21" i="122" s="1"/>
  <c r="F20" i="122" a="1"/>
  <c r="F20" i="122" s="1"/>
  <c r="E20" i="122" a="1"/>
  <c r="E20" i="122" s="1"/>
  <c r="D20" i="122" a="1"/>
  <c r="D20" i="122" s="1"/>
  <c r="F19" i="122" a="1"/>
  <c r="F19" i="122" s="1"/>
  <c r="E19" i="122" a="1"/>
  <c r="E19" i="122" s="1"/>
  <c r="D19" i="122" a="1"/>
  <c r="D19" i="122" s="1"/>
  <c r="F18" i="122" a="1"/>
  <c r="F18" i="122" s="1"/>
  <c r="E18" i="122" a="1"/>
  <c r="E18" i="122" s="1"/>
  <c r="D18" i="122" a="1"/>
  <c r="D18" i="122" s="1"/>
  <c r="F17" i="122" a="1"/>
  <c r="F17" i="122" s="1"/>
  <c r="E17" i="122" a="1"/>
  <c r="E17" i="122" s="1"/>
  <c r="D17" i="122" a="1"/>
  <c r="D17" i="122" s="1"/>
  <c r="F16" i="122" a="1"/>
  <c r="F16" i="122" s="1"/>
  <c r="E16" i="122" a="1"/>
  <c r="E16" i="122" s="1"/>
  <c r="D16" i="122" a="1"/>
  <c r="D16" i="122" s="1"/>
  <c r="F15" i="122" a="1"/>
  <c r="F15" i="122" s="1"/>
  <c r="E11" i="88" s="1"/>
  <c r="E15" i="122" a="1"/>
  <c r="E15" i="122" s="1"/>
  <c r="D11" i="88" s="1"/>
  <c r="D118" i="79" s="1"/>
  <c r="D15" i="122" a="1"/>
  <c r="D15" i="122" s="1"/>
  <c r="F14" i="122" a="1"/>
  <c r="F14" i="122" s="1"/>
  <c r="E10" i="88" s="1"/>
  <c r="E14" i="122" a="1"/>
  <c r="E14" i="122" s="1"/>
  <c r="D10" i="88" s="1"/>
  <c r="D14" i="122" a="1"/>
  <c r="D14" i="122" s="1"/>
  <c r="F13" i="122" a="1"/>
  <c r="F13" i="122" s="1"/>
  <c r="E9" i="88" s="1"/>
  <c r="E13" i="122" a="1"/>
  <c r="E13" i="122" s="1"/>
  <c r="D9" i="88" s="1"/>
  <c r="D84" i="79" s="1"/>
  <c r="D13" i="122" a="1"/>
  <c r="D13" i="122" s="1"/>
  <c r="F12" i="122" a="1"/>
  <c r="F12" i="122" s="1"/>
  <c r="E12" i="122" a="1"/>
  <c r="E12" i="122" s="1"/>
  <c r="D12" i="122" a="1"/>
  <c r="D12" i="122" s="1"/>
  <c r="F11" i="122" a="1"/>
  <c r="F11" i="122" s="1"/>
  <c r="E11" i="122" a="1"/>
  <c r="E11" i="122" s="1"/>
  <c r="D11" i="122" a="1"/>
  <c r="D11" i="122" s="1"/>
  <c r="F10" i="122" a="1"/>
  <c r="F10" i="122" s="1"/>
  <c r="E8" i="88" s="1"/>
  <c r="E10" i="122" a="1"/>
  <c r="E10" i="122" s="1"/>
  <c r="D8" i="88" s="1"/>
  <c r="D10" i="122" a="1"/>
  <c r="D10" i="122" s="1"/>
  <c r="D8" i="122" a="1"/>
  <c r="D8" i="122" s="1"/>
  <c r="D7" i="122" a="1"/>
  <c r="D7" i="122" s="1"/>
  <c r="D6" i="122" a="1"/>
  <c r="D6" i="122" s="1"/>
  <c r="I237" i="121" a="1"/>
  <c r="I237" i="121" s="1"/>
  <c r="H237" i="121" a="1"/>
  <c r="H237" i="121" s="1"/>
  <c r="G237" i="121" a="1"/>
  <c r="G237" i="121" s="1"/>
  <c r="F237" i="121" a="1"/>
  <c r="F237" i="121" s="1"/>
  <c r="E237" i="121" a="1"/>
  <c r="E237" i="121" s="1"/>
  <c r="D237" i="121" a="1"/>
  <c r="D237" i="121" s="1"/>
  <c r="I236" i="121" a="1"/>
  <c r="I236" i="121" s="1"/>
  <c r="H236" i="121" a="1"/>
  <c r="H236" i="121" s="1"/>
  <c r="G236" i="121" a="1"/>
  <c r="G236" i="121" s="1"/>
  <c r="F236" i="121" a="1"/>
  <c r="F236" i="121" s="1"/>
  <c r="E236" i="121" a="1"/>
  <c r="E236" i="121" s="1"/>
  <c r="D236" i="121" a="1"/>
  <c r="D236" i="121" s="1"/>
  <c r="I235" i="121" a="1"/>
  <c r="I235" i="121" s="1"/>
  <c r="H235" i="121" a="1"/>
  <c r="H235" i="121" s="1"/>
  <c r="G235" i="121" a="1"/>
  <c r="G235" i="121" s="1"/>
  <c r="F235" i="121" a="1"/>
  <c r="F235" i="121" s="1"/>
  <c r="E235" i="121" a="1"/>
  <c r="E235" i="121" s="1"/>
  <c r="D235" i="121" a="1"/>
  <c r="D235" i="121" s="1"/>
  <c r="I231" i="121" a="1"/>
  <c r="I231" i="121" s="1"/>
  <c r="H231" i="121" a="1"/>
  <c r="H231" i="121" s="1"/>
  <c r="G231" i="121" a="1"/>
  <c r="G231" i="121" s="1"/>
  <c r="F231" i="121" a="1"/>
  <c r="F231" i="121" s="1"/>
  <c r="E231" i="121" a="1"/>
  <c r="E231" i="121" s="1"/>
  <c r="D231" i="121" a="1"/>
  <c r="D231" i="121" s="1"/>
  <c r="I230" i="121" a="1"/>
  <c r="I230" i="121" s="1"/>
  <c r="H230" i="121" a="1"/>
  <c r="H230" i="121" s="1"/>
  <c r="G230" i="121" a="1"/>
  <c r="G230" i="121" s="1"/>
  <c r="F230" i="121" a="1"/>
  <c r="F230" i="121" s="1"/>
  <c r="E230" i="121" a="1"/>
  <c r="E230" i="121" s="1"/>
  <c r="D230" i="121" a="1"/>
  <c r="D230" i="121" s="1"/>
  <c r="I229" i="121" a="1"/>
  <c r="I229" i="121" s="1"/>
  <c r="H229" i="121" a="1"/>
  <c r="H229" i="121" s="1"/>
  <c r="G229" i="121" a="1"/>
  <c r="G229" i="121" s="1"/>
  <c r="F229" i="121" a="1"/>
  <c r="F229" i="121" s="1"/>
  <c r="E229" i="121" a="1"/>
  <c r="E229" i="121" s="1"/>
  <c r="D229" i="121" a="1"/>
  <c r="D229" i="121" s="1"/>
  <c r="I228" i="121" a="1"/>
  <c r="I228" i="121" s="1"/>
  <c r="H228" i="121" a="1"/>
  <c r="H228" i="121" s="1"/>
  <c r="G228" i="121" a="1"/>
  <c r="G228" i="121" s="1"/>
  <c r="F228" i="121" a="1"/>
  <c r="F228" i="121" s="1"/>
  <c r="E228" i="121" a="1"/>
  <c r="E228" i="121" s="1"/>
  <c r="D228" i="121" a="1"/>
  <c r="D228" i="121" s="1"/>
  <c r="I227" i="121" a="1"/>
  <c r="I227" i="121" s="1"/>
  <c r="H227" i="121" a="1"/>
  <c r="H227" i="121" s="1"/>
  <c r="G227" i="121" a="1"/>
  <c r="G227" i="121" s="1"/>
  <c r="F227" i="121" a="1"/>
  <c r="F227" i="121" s="1"/>
  <c r="E227" i="121" a="1"/>
  <c r="E227" i="121" s="1"/>
  <c r="D227" i="121" a="1"/>
  <c r="D227" i="121" s="1"/>
  <c r="I226" i="121" a="1"/>
  <c r="I226" i="121" s="1"/>
  <c r="H226" i="121" a="1"/>
  <c r="H226" i="121" s="1"/>
  <c r="G226" i="121" a="1"/>
  <c r="G226" i="121" s="1"/>
  <c r="F226" i="121" a="1"/>
  <c r="F226" i="121" s="1"/>
  <c r="E226" i="121" a="1"/>
  <c r="E226" i="121" s="1"/>
  <c r="D226" i="121" a="1"/>
  <c r="D226" i="121" s="1"/>
  <c r="I225" i="121" a="1"/>
  <c r="I225" i="121" s="1"/>
  <c r="H225" i="121" a="1"/>
  <c r="H225" i="121" s="1"/>
  <c r="G225" i="121" a="1"/>
  <c r="G225" i="121" s="1"/>
  <c r="F225" i="121" a="1"/>
  <c r="F225" i="121" s="1"/>
  <c r="E225" i="121" a="1"/>
  <c r="E225" i="121" s="1"/>
  <c r="D225" i="121" a="1"/>
  <c r="D225" i="121" s="1"/>
  <c r="I224" i="121" a="1"/>
  <c r="I224" i="121" s="1"/>
  <c r="H224" i="121" a="1"/>
  <c r="H224" i="121" s="1"/>
  <c r="G224" i="121" a="1"/>
  <c r="G224" i="121" s="1"/>
  <c r="F224" i="121" a="1"/>
  <c r="F224" i="121" s="1"/>
  <c r="E224" i="121" a="1"/>
  <c r="E224" i="121" s="1"/>
  <c r="D224" i="121" a="1"/>
  <c r="D224" i="121" s="1"/>
  <c r="I223" i="121" a="1"/>
  <c r="I223" i="121" s="1"/>
  <c r="H223" i="121" a="1"/>
  <c r="H223" i="121" s="1"/>
  <c r="G223" i="121" a="1"/>
  <c r="G223" i="121" s="1"/>
  <c r="F223" i="121" a="1"/>
  <c r="F223" i="121" s="1"/>
  <c r="E223" i="121" a="1"/>
  <c r="E223" i="121" s="1"/>
  <c r="D223" i="121" a="1"/>
  <c r="D223" i="121" s="1"/>
  <c r="I222" i="121" a="1"/>
  <c r="I222" i="121" s="1"/>
  <c r="H222" i="121" a="1"/>
  <c r="H222" i="121" s="1"/>
  <c r="G222" i="121" a="1"/>
  <c r="G222" i="121" s="1"/>
  <c r="F222" i="121" a="1"/>
  <c r="F222" i="121" s="1"/>
  <c r="E222" i="121" a="1"/>
  <c r="E222" i="121" s="1"/>
  <c r="D222" i="121" a="1"/>
  <c r="D222" i="121" s="1"/>
  <c r="I221" i="121" a="1"/>
  <c r="I221" i="121" s="1"/>
  <c r="H221" i="121" a="1"/>
  <c r="H221" i="121" s="1"/>
  <c r="G221" i="121" a="1"/>
  <c r="G221" i="121" s="1"/>
  <c r="F221" i="121" a="1"/>
  <c r="F221" i="121" s="1"/>
  <c r="E221" i="121" a="1"/>
  <c r="E221" i="121" s="1"/>
  <c r="D221" i="121" a="1"/>
  <c r="D221" i="121" s="1"/>
  <c r="I220" i="121" a="1"/>
  <c r="I220" i="121" s="1"/>
  <c r="H220" i="121" a="1"/>
  <c r="H220" i="121" s="1"/>
  <c r="G220" i="121" a="1"/>
  <c r="G220" i="121" s="1"/>
  <c r="F220" i="121" a="1"/>
  <c r="F220" i="121" s="1"/>
  <c r="E220" i="121" a="1"/>
  <c r="E220" i="121" s="1"/>
  <c r="D220" i="121" a="1"/>
  <c r="D220" i="121" s="1"/>
  <c r="I216" i="121" a="1"/>
  <c r="I216" i="121" s="1"/>
  <c r="H216" i="121" a="1"/>
  <c r="H216" i="121" s="1"/>
  <c r="G216" i="121" a="1"/>
  <c r="G216" i="121" s="1"/>
  <c r="F216" i="121" a="1"/>
  <c r="F216" i="121" s="1"/>
  <c r="E216" i="121" a="1"/>
  <c r="E216" i="121" s="1"/>
  <c r="D216" i="121" a="1"/>
  <c r="D216" i="121" s="1"/>
  <c r="I215" i="121" a="1"/>
  <c r="I215" i="121" s="1"/>
  <c r="H215" i="121" a="1"/>
  <c r="H215" i="121" s="1"/>
  <c r="G215" i="121" a="1"/>
  <c r="G215" i="121" s="1"/>
  <c r="F215" i="121" a="1"/>
  <c r="F215" i="121" s="1"/>
  <c r="E215" i="121" a="1"/>
  <c r="E215" i="121" s="1"/>
  <c r="D215" i="121" a="1"/>
  <c r="D215" i="121" s="1"/>
  <c r="I214" i="121" a="1"/>
  <c r="I214" i="121" s="1"/>
  <c r="H214" i="121" a="1"/>
  <c r="H214" i="121" s="1"/>
  <c r="G214" i="121" a="1"/>
  <c r="G214" i="121" s="1"/>
  <c r="F214" i="121" a="1"/>
  <c r="F214" i="121" s="1"/>
  <c r="E214" i="121" a="1"/>
  <c r="E214" i="121" s="1"/>
  <c r="D214" i="121" a="1"/>
  <c r="D214" i="121" s="1"/>
  <c r="I213" i="121" a="1"/>
  <c r="I213" i="121" s="1"/>
  <c r="H213" i="121" a="1"/>
  <c r="H213" i="121" s="1"/>
  <c r="G213" i="121" a="1"/>
  <c r="G213" i="121" s="1"/>
  <c r="F213" i="121" a="1"/>
  <c r="F213" i="121" s="1"/>
  <c r="E213" i="121" a="1"/>
  <c r="E213" i="121" s="1"/>
  <c r="D213" i="121" a="1"/>
  <c r="D213" i="121" s="1"/>
  <c r="I209" i="121" a="1"/>
  <c r="I209" i="121" s="1"/>
  <c r="H209" i="121" a="1"/>
  <c r="H209" i="121" s="1"/>
  <c r="G209" i="121" a="1"/>
  <c r="G209" i="121" s="1"/>
  <c r="F209" i="121" a="1"/>
  <c r="F209" i="121" s="1"/>
  <c r="E209" i="121" a="1"/>
  <c r="E209" i="121" s="1"/>
  <c r="D27" i="115" s="1"/>
  <c r="D470" i="119" s="1"/>
  <c r="D209" i="121" a="1"/>
  <c r="D209" i="121" s="1"/>
  <c r="I208" i="121" a="1"/>
  <c r="I208" i="121" s="1"/>
  <c r="H208" i="121" a="1"/>
  <c r="H208" i="121" s="1"/>
  <c r="G208" i="121" a="1"/>
  <c r="G208" i="121" s="1"/>
  <c r="F208" i="121" a="1"/>
  <c r="F208" i="121" s="1"/>
  <c r="E208" i="121" a="1"/>
  <c r="E208" i="121" s="1"/>
  <c r="D26" i="115" s="1"/>
  <c r="D469" i="119" s="1"/>
  <c r="F469" i="119" s="1" a="1"/>
  <c r="F469" i="119" s="1"/>
  <c r="D208" i="121" a="1"/>
  <c r="D208" i="121" s="1"/>
  <c r="I207" i="121" a="1"/>
  <c r="I207" i="121" s="1"/>
  <c r="H207" i="121" a="1"/>
  <c r="H207" i="121" s="1"/>
  <c r="G207" i="121" a="1"/>
  <c r="G207" i="121" s="1"/>
  <c r="F207" i="121" a="1"/>
  <c r="F207" i="121" s="1"/>
  <c r="E207" i="121" a="1"/>
  <c r="E207" i="121" s="1"/>
  <c r="D25" i="115" s="1"/>
  <c r="D468" i="119" s="1"/>
  <c r="F468" i="119" s="1" a="1"/>
  <c r="F468" i="119" s="1"/>
  <c r="D207" i="121" a="1"/>
  <c r="D207" i="121" s="1"/>
  <c r="I206" i="121" a="1"/>
  <c r="I206" i="121" s="1"/>
  <c r="H206" i="121" a="1"/>
  <c r="H206" i="121" s="1"/>
  <c r="G206" i="121" a="1"/>
  <c r="G206" i="121" s="1"/>
  <c r="F206" i="121" a="1"/>
  <c r="F206" i="121" s="1"/>
  <c r="E206" i="121" a="1"/>
  <c r="E206" i="121" s="1"/>
  <c r="D206" i="121" a="1"/>
  <c r="D206" i="121" s="1"/>
  <c r="I205" i="121" a="1"/>
  <c r="I205" i="121" s="1"/>
  <c r="H205" i="121" a="1"/>
  <c r="H205" i="121" s="1"/>
  <c r="G205" i="121" a="1"/>
  <c r="G205" i="121" s="1"/>
  <c r="F205" i="121" a="1"/>
  <c r="F205" i="121" s="1"/>
  <c r="E205" i="121" a="1"/>
  <c r="E205" i="121" s="1"/>
  <c r="D24" i="115" s="1"/>
  <c r="D467" i="119" s="1"/>
  <c r="D205" i="121" a="1"/>
  <c r="D205" i="121" s="1"/>
  <c r="I204" i="121" a="1"/>
  <c r="I204" i="121" s="1"/>
  <c r="H204" i="121" a="1"/>
  <c r="H204" i="121" s="1"/>
  <c r="G204" i="121" a="1"/>
  <c r="G204" i="121" s="1"/>
  <c r="F204" i="121" a="1"/>
  <c r="F204" i="121" s="1"/>
  <c r="E204" i="121" a="1"/>
  <c r="E204" i="121" s="1"/>
  <c r="D23" i="115" s="1"/>
  <c r="D466" i="119" s="1"/>
  <c r="F466" i="119" s="1" a="1"/>
  <c r="F466" i="119" s="1"/>
  <c r="D204" i="121" a="1"/>
  <c r="D204" i="121" s="1"/>
  <c r="I203" i="121" a="1"/>
  <c r="I203" i="121" s="1"/>
  <c r="H203" i="121" a="1"/>
  <c r="H203" i="121" s="1"/>
  <c r="G203" i="121" a="1"/>
  <c r="G203" i="121" s="1"/>
  <c r="F203" i="121" a="1"/>
  <c r="F203" i="121" s="1"/>
  <c r="E203" i="121" a="1"/>
  <c r="E203" i="121" s="1"/>
  <c r="D48" i="116" s="1"/>
  <c r="D480" i="119" s="1"/>
  <c r="D203" i="121" a="1"/>
  <c r="D203" i="121" s="1"/>
  <c r="I202" i="121" a="1"/>
  <c r="I202" i="121" s="1"/>
  <c r="H202" i="121" a="1"/>
  <c r="H202" i="121" s="1"/>
  <c r="G202" i="121" a="1"/>
  <c r="G202" i="121" s="1"/>
  <c r="F202" i="121" a="1"/>
  <c r="F202" i="121" s="1"/>
  <c r="E202" i="121" a="1"/>
  <c r="E202" i="121" s="1"/>
  <c r="D202" i="121" a="1"/>
  <c r="D202" i="121" s="1"/>
  <c r="M198" i="121" a="1"/>
  <c r="M198" i="121" s="1"/>
  <c r="L198" i="121" a="1"/>
  <c r="L198" i="121" s="1"/>
  <c r="K198" i="121" a="1"/>
  <c r="K198" i="121" s="1"/>
  <c r="F198" i="121" a="1"/>
  <c r="F198" i="121" s="1"/>
  <c r="E198" i="121" a="1"/>
  <c r="E198" i="121" s="1"/>
  <c r="D198" i="121" a="1"/>
  <c r="D198" i="121" s="1"/>
  <c r="M197" i="121" a="1"/>
  <c r="M197" i="121" s="1"/>
  <c r="L197" i="121" a="1"/>
  <c r="L197" i="121" s="1"/>
  <c r="K197" i="121" a="1"/>
  <c r="K197" i="121" s="1"/>
  <c r="F197" i="121" a="1"/>
  <c r="F197" i="121" s="1"/>
  <c r="E197" i="121" a="1"/>
  <c r="E197" i="121" s="1"/>
  <c r="D197" i="121" a="1"/>
  <c r="D197" i="121" s="1"/>
  <c r="M196" i="121" a="1"/>
  <c r="M196" i="121" s="1"/>
  <c r="L196" i="121" a="1"/>
  <c r="L196" i="121" s="1"/>
  <c r="K196" i="121" a="1"/>
  <c r="K196" i="121" s="1"/>
  <c r="F196" i="121" a="1"/>
  <c r="F196" i="121" s="1"/>
  <c r="E196" i="121" a="1"/>
  <c r="E196" i="121" s="1"/>
  <c r="D196" i="121" a="1"/>
  <c r="D196" i="121" s="1"/>
  <c r="M195" i="121" a="1"/>
  <c r="M195" i="121" s="1"/>
  <c r="L195" i="121" a="1"/>
  <c r="L195" i="121" s="1"/>
  <c r="K195" i="121" a="1"/>
  <c r="K195" i="121" s="1"/>
  <c r="F195" i="121" a="1"/>
  <c r="F195" i="121" s="1"/>
  <c r="E195" i="121" a="1"/>
  <c r="E195" i="121" s="1"/>
  <c r="D195" i="121" a="1"/>
  <c r="D195" i="121" s="1"/>
  <c r="M194" i="121" a="1"/>
  <c r="M194" i="121" s="1"/>
  <c r="L194" i="121" a="1"/>
  <c r="L194" i="121" s="1"/>
  <c r="K194" i="121" a="1"/>
  <c r="K194" i="121" s="1"/>
  <c r="F194" i="121" a="1"/>
  <c r="F194" i="121" s="1"/>
  <c r="E194" i="121" a="1"/>
  <c r="E194" i="121" s="1"/>
  <c r="D194" i="121" a="1"/>
  <c r="D194" i="121" s="1"/>
  <c r="M193" i="121" a="1"/>
  <c r="M193" i="121" s="1"/>
  <c r="L193" i="121" a="1"/>
  <c r="L193" i="121" s="1"/>
  <c r="K193" i="121" a="1"/>
  <c r="K193" i="121" s="1"/>
  <c r="F193" i="121" a="1"/>
  <c r="F193" i="121" s="1"/>
  <c r="E193" i="121" a="1"/>
  <c r="E193" i="121" s="1"/>
  <c r="D193" i="121" a="1"/>
  <c r="D193" i="121" s="1"/>
  <c r="M192" i="121" a="1"/>
  <c r="M192" i="121" s="1"/>
  <c r="L192" i="121" a="1"/>
  <c r="L192" i="121" s="1"/>
  <c r="K192" i="121" a="1"/>
  <c r="K192" i="121" s="1"/>
  <c r="F192" i="121" a="1"/>
  <c r="F192" i="121" s="1"/>
  <c r="E192" i="121" a="1"/>
  <c r="E192" i="121" s="1"/>
  <c r="D192" i="121" a="1"/>
  <c r="D192" i="121" s="1"/>
  <c r="M191" i="121" a="1"/>
  <c r="M191" i="121" s="1"/>
  <c r="L191" i="121" a="1"/>
  <c r="L191" i="121" s="1"/>
  <c r="K191" i="121" a="1"/>
  <c r="K191" i="121" s="1"/>
  <c r="F191" i="121" a="1"/>
  <c r="F191" i="121" s="1"/>
  <c r="E191" i="121" a="1"/>
  <c r="E191" i="121" s="1"/>
  <c r="D191" i="121" a="1"/>
  <c r="D191" i="121" s="1"/>
  <c r="M190" i="121" a="1"/>
  <c r="M190" i="121" s="1"/>
  <c r="L190" i="121" a="1"/>
  <c r="L190" i="121" s="1"/>
  <c r="K190" i="121" a="1"/>
  <c r="K190" i="121" s="1"/>
  <c r="F190" i="121" a="1"/>
  <c r="F190" i="121" s="1"/>
  <c r="E190" i="121" a="1"/>
  <c r="E190" i="121" s="1"/>
  <c r="D190" i="121" a="1"/>
  <c r="D190" i="121" s="1"/>
  <c r="M189" i="121" a="1"/>
  <c r="M189" i="121" s="1"/>
  <c r="L189" i="121" a="1"/>
  <c r="L189" i="121" s="1"/>
  <c r="K189" i="121" a="1"/>
  <c r="K189" i="121" s="1"/>
  <c r="F189" i="121" a="1"/>
  <c r="F189" i="121" s="1"/>
  <c r="E189" i="121" a="1"/>
  <c r="E189" i="121" s="1"/>
  <c r="D189" i="121" a="1"/>
  <c r="D189" i="121" s="1"/>
  <c r="M188" i="121" a="1"/>
  <c r="M188" i="121" s="1"/>
  <c r="L188" i="121" a="1"/>
  <c r="L188" i="121" s="1"/>
  <c r="K188" i="121" a="1"/>
  <c r="K188" i="121" s="1"/>
  <c r="F188" i="121" a="1"/>
  <c r="F188" i="121" s="1"/>
  <c r="E188" i="121" a="1"/>
  <c r="E188" i="121" s="1"/>
  <c r="D188" i="121" a="1"/>
  <c r="D188" i="121" s="1"/>
  <c r="M187" i="121" a="1"/>
  <c r="M187" i="121" s="1"/>
  <c r="L187" i="121" a="1"/>
  <c r="L187" i="121" s="1"/>
  <c r="K187" i="121" a="1"/>
  <c r="K187" i="121" s="1"/>
  <c r="F187" i="121" a="1"/>
  <c r="F187" i="121" s="1"/>
  <c r="E187" i="121" a="1"/>
  <c r="E187" i="121" s="1"/>
  <c r="D187" i="121" a="1"/>
  <c r="D187" i="121" s="1"/>
  <c r="M186" i="121" a="1"/>
  <c r="M186" i="121" s="1"/>
  <c r="L186" i="121" a="1"/>
  <c r="L186" i="121" s="1"/>
  <c r="K186" i="121" a="1"/>
  <c r="K186" i="121" s="1"/>
  <c r="F186" i="121" a="1"/>
  <c r="F186" i="121" s="1"/>
  <c r="E186" i="121" a="1"/>
  <c r="E186" i="121" s="1"/>
  <c r="D186" i="121" a="1"/>
  <c r="D186" i="121" s="1"/>
  <c r="M185" i="121" a="1"/>
  <c r="M185" i="121" s="1"/>
  <c r="L185" i="121" a="1"/>
  <c r="L185" i="121" s="1"/>
  <c r="K185" i="121" a="1"/>
  <c r="K185" i="121" s="1"/>
  <c r="F185" i="121" a="1"/>
  <c r="F185" i="121" s="1"/>
  <c r="E185" i="121" a="1"/>
  <c r="E185" i="121" s="1"/>
  <c r="D185" i="121" a="1"/>
  <c r="D185" i="121" s="1"/>
  <c r="M184" i="121" a="1"/>
  <c r="M184" i="121" s="1"/>
  <c r="L184" i="121" a="1"/>
  <c r="L184" i="121" s="1"/>
  <c r="K184" i="121" a="1"/>
  <c r="K184" i="121" s="1"/>
  <c r="F184" i="121" a="1"/>
  <c r="F184" i="121" s="1"/>
  <c r="E184" i="121" a="1"/>
  <c r="E184" i="121" s="1"/>
  <c r="D184" i="121" a="1"/>
  <c r="D184" i="121" s="1"/>
  <c r="M183" i="121" a="1"/>
  <c r="M183" i="121" s="1"/>
  <c r="L183" i="121" a="1"/>
  <c r="L183" i="121" s="1"/>
  <c r="K183" i="121" a="1"/>
  <c r="K183" i="121" s="1"/>
  <c r="F183" i="121" a="1"/>
  <c r="F183" i="121" s="1"/>
  <c r="E183" i="121" a="1"/>
  <c r="E183" i="121" s="1"/>
  <c r="D183" i="121" a="1"/>
  <c r="D183" i="121" s="1"/>
  <c r="M182" i="121" a="1"/>
  <c r="M182" i="121" s="1"/>
  <c r="L182" i="121" a="1"/>
  <c r="L182" i="121" s="1"/>
  <c r="K182" i="121" a="1"/>
  <c r="K182" i="121" s="1"/>
  <c r="F182" i="121" a="1"/>
  <c r="F182" i="121" s="1"/>
  <c r="E182" i="121" a="1"/>
  <c r="E182" i="121" s="1"/>
  <c r="D182" i="121" a="1"/>
  <c r="D182" i="121" s="1"/>
  <c r="M181" i="121" a="1"/>
  <c r="M181" i="121" s="1"/>
  <c r="L181" i="121" a="1"/>
  <c r="L181" i="121" s="1"/>
  <c r="K181" i="121" a="1"/>
  <c r="K181" i="121" s="1"/>
  <c r="F181" i="121" a="1"/>
  <c r="F181" i="121" s="1"/>
  <c r="E181" i="121" a="1"/>
  <c r="E181" i="121" s="1"/>
  <c r="D181" i="121" a="1"/>
  <c r="D181" i="121" s="1"/>
  <c r="M180" i="121" a="1"/>
  <c r="M180" i="121" s="1"/>
  <c r="L180" i="121" a="1"/>
  <c r="L180" i="121" s="1"/>
  <c r="K180" i="121" a="1"/>
  <c r="K180" i="121" s="1"/>
  <c r="F180" i="121" a="1"/>
  <c r="F180" i="121" s="1"/>
  <c r="E180" i="121" a="1"/>
  <c r="E180" i="121" s="1"/>
  <c r="D180" i="121" a="1"/>
  <c r="D180" i="121" s="1"/>
  <c r="M179" i="121" a="1"/>
  <c r="M179" i="121" s="1"/>
  <c r="L179" i="121" a="1"/>
  <c r="L179" i="121" s="1"/>
  <c r="K179" i="121" a="1"/>
  <c r="K179" i="121" s="1"/>
  <c r="F179" i="121" a="1"/>
  <c r="F179" i="121" s="1"/>
  <c r="E179" i="121" a="1"/>
  <c r="E179" i="121" s="1"/>
  <c r="D179" i="121" a="1"/>
  <c r="D179" i="121" s="1"/>
  <c r="M178" i="121" a="1"/>
  <c r="M178" i="121" s="1"/>
  <c r="L178" i="121" a="1"/>
  <c r="L178" i="121" s="1"/>
  <c r="K178" i="121" a="1"/>
  <c r="K178" i="121" s="1"/>
  <c r="F178" i="121" a="1"/>
  <c r="F178" i="121" s="1"/>
  <c r="E178" i="121" a="1"/>
  <c r="E178" i="121" s="1"/>
  <c r="D178" i="121" a="1"/>
  <c r="D178" i="121" s="1"/>
  <c r="M177" i="121" a="1"/>
  <c r="M177" i="121" s="1"/>
  <c r="L177" i="121" a="1"/>
  <c r="L177" i="121" s="1"/>
  <c r="K177" i="121" a="1"/>
  <c r="K177" i="121" s="1"/>
  <c r="F177" i="121" a="1"/>
  <c r="F177" i="121" s="1"/>
  <c r="E177" i="121" a="1"/>
  <c r="E177" i="121" s="1"/>
  <c r="D177" i="121" a="1"/>
  <c r="D177" i="121" s="1"/>
  <c r="M176" i="121" a="1"/>
  <c r="M176" i="121" s="1"/>
  <c r="L176" i="121" a="1"/>
  <c r="L176" i="121" s="1"/>
  <c r="K176" i="121" a="1"/>
  <c r="K176" i="121" s="1"/>
  <c r="F176" i="121" a="1"/>
  <c r="F176" i="121" s="1"/>
  <c r="E176" i="121" a="1"/>
  <c r="E176" i="121" s="1"/>
  <c r="D176" i="121" a="1"/>
  <c r="D176" i="121" s="1"/>
  <c r="M175" i="121" a="1"/>
  <c r="M175" i="121" s="1"/>
  <c r="L175" i="121" a="1"/>
  <c r="L175" i="121" s="1"/>
  <c r="K175" i="121" a="1"/>
  <c r="K175" i="121" s="1"/>
  <c r="F175" i="121" a="1"/>
  <c r="F175" i="121" s="1"/>
  <c r="E175" i="121" a="1"/>
  <c r="E175" i="121" s="1"/>
  <c r="D175" i="121" a="1"/>
  <c r="D175" i="121" s="1"/>
  <c r="M174" i="121" a="1"/>
  <c r="M174" i="121" s="1"/>
  <c r="L174" i="121" a="1"/>
  <c r="L174" i="121" s="1"/>
  <c r="K174" i="121" a="1"/>
  <c r="K174" i="121" s="1"/>
  <c r="F174" i="121" a="1"/>
  <c r="F174" i="121" s="1"/>
  <c r="E174" i="121" a="1"/>
  <c r="E174" i="121" s="1"/>
  <c r="D174" i="121" a="1"/>
  <c r="D174" i="121" s="1"/>
  <c r="I170" i="121" a="1"/>
  <c r="I170" i="121" s="1"/>
  <c r="H170" i="121" a="1"/>
  <c r="H170" i="121" s="1"/>
  <c r="G170" i="121" a="1"/>
  <c r="G170" i="121" s="1"/>
  <c r="F170" i="121" a="1"/>
  <c r="F170" i="121" s="1"/>
  <c r="E170" i="121" a="1"/>
  <c r="E170" i="121" s="1"/>
  <c r="D170" i="121" a="1"/>
  <c r="D170" i="121" s="1"/>
  <c r="I169" i="121" a="1"/>
  <c r="I169" i="121" s="1"/>
  <c r="H169" i="121" a="1"/>
  <c r="H169" i="121" s="1"/>
  <c r="G169" i="121" a="1"/>
  <c r="G169" i="121" s="1"/>
  <c r="F169" i="121" a="1"/>
  <c r="F169" i="121" s="1"/>
  <c r="E169" i="121" a="1"/>
  <c r="E169" i="121" s="1"/>
  <c r="D169" i="121" a="1"/>
  <c r="D169" i="121" s="1"/>
  <c r="I168" i="121" a="1"/>
  <c r="I168" i="121" s="1"/>
  <c r="H168" i="121" a="1"/>
  <c r="H168" i="121" s="1"/>
  <c r="G168" i="121" a="1"/>
  <c r="G168" i="121" s="1"/>
  <c r="F168" i="121" a="1"/>
  <c r="F168" i="121" s="1"/>
  <c r="E168" i="121" a="1"/>
  <c r="E168" i="121" s="1"/>
  <c r="D7" i="116" s="1" a="1"/>
  <c r="D168" i="121" a="1"/>
  <c r="D168" i="121" s="1"/>
  <c r="I165" i="121" a="1"/>
  <c r="I165" i="121" s="1"/>
  <c r="H165" i="121" a="1"/>
  <c r="H165" i="121" s="1"/>
  <c r="G165" i="121" a="1"/>
  <c r="G165" i="121" s="1"/>
  <c r="F165" i="121" a="1"/>
  <c r="F165" i="121" s="1"/>
  <c r="E165" i="121" a="1"/>
  <c r="E165" i="121" s="1"/>
  <c r="D165" i="121" a="1"/>
  <c r="D165" i="121" s="1"/>
  <c r="I164" i="121" a="1"/>
  <c r="I164" i="121" s="1"/>
  <c r="H164" i="121" a="1"/>
  <c r="H164" i="121" s="1"/>
  <c r="G164" i="121" a="1"/>
  <c r="G164" i="121" s="1"/>
  <c r="F164" i="121" a="1"/>
  <c r="F164" i="121" s="1"/>
  <c r="E164" i="121" a="1"/>
  <c r="E164" i="121" s="1"/>
  <c r="D164" i="121" a="1"/>
  <c r="D164" i="121" s="1"/>
  <c r="I163" i="121" a="1"/>
  <c r="I163" i="121" s="1"/>
  <c r="H163" i="121" a="1"/>
  <c r="H163" i="121" s="1"/>
  <c r="G163" i="121" a="1"/>
  <c r="G163" i="121" s="1"/>
  <c r="F163" i="121" a="1"/>
  <c r="F163" i="121" s="1"/>
  <c r="E163" i="121" a="1"/>
  <c r="E163" i="121" s="1"/>
  <c r="D163" i="121" a="1"/>
  <c r="D163" i="121" s="1"/>
  <c r="I162" i="121" a="1"/>
  <c r="I162" i="121" s="1"/>
  <c r="H162" i="121" a="1"/>
  <c r="H162" i="121" s="1"/>
  <c r="G162" i="121" a="1"/>
  <c r="G162" i="121" s="1"/>
  <c r="F162" i="121" a="1"/>
  <c r="F162" i="121" s="1"/>
  <c r="E162" i="121" a="1"/>
  <c r="E162" i="121" s="1"/>
  <c r="D162" i="121" a="1"/>
  <c r="D162" i="121" s="1"/>
  <c r="I159" i="121" a="1"/>
  <c r="I159" i="121" s="1"/>
  <c r="H159" i="121" a="1"/>
  <c r="H159" i="121" s="1"/>
  <c r="G159" i="121" a="1"/>
  <c r="G159" i="121" s="1"/>
  <c r="F159" i="121" a="1"/>
  <c r="F159" i="121" s="1"/>
  <c r="O159" i="121" s="1"/>
  <c r="E159" i="121" a="1"/>
  <c r="E159" i="121" s="1"/>
  <c r="N159" i="121" s="1"/>
  <c r="P158" i="121" s="1"/>
  <c r="D159" i="121" a="1"/>
  <c r="D159" i="121" s="1"/>
  <c r="I158" i="121" a="1"/>
  <c r="I158" i="121" s="1"/>
  <c r="H158" i="121" a="1"/>
  <c r="H158" i="121" s="1"/>
  <c r="G158" i="121" a="1"/>
  <c r="G158" i="121" s="1"/>
  <c r="F158" i="121" a="1"/>
  <c r="F158" i="121" s="1"/>
  <c r="L158" i="121" s="1"/>
  <c r="E158" i="121" a="1"/>
  <c r="E158" i="121" s="1"/>
  <c r="K158" i="121" s="1"/>
  <c r="M157" i="121" s="1"/>
  <c r="D158" i="121" a="1"/>
  <c r="D158" i="121" s="1"/>
  <c r="I157" i="121" a="1"/>
  <c r="I157" i="121" s="1"/>
  <c r="H157" i="121" a="1"/>
  <c r="H157" i="121" s="1"/>
  <c r="G157" i="121" a="1"/>
  <c r="G157" i="121" s="1"/>
  <c r="F157" i="121" a="1"/>
  <c r="F157" i="121" s="1"/>
  <c r="O157" i="121" s="1"/>
  <c r="E157" i="121" a="1"/>
  <c r="E157" i="121" s="1"/>
  <c r="N157" i="121" s="1"/>
  <c r="P156" i="121" s="1"/>
  <c r="D157" i="121" a="1"/>
  <c r="D157" i="121" s="1"/>
  <c r="I156" i="121" a="1"/>
  <c r="I156" i="121" s="1"/>
  <c r="H156" i="121" a="1"/>
  <c r="H156" i="121" s="1"/>
  <c r="G156" i="121" a="1"/>
  <c r="G156" i="121" s="1"/>
  <c r="F156" i="121" a="1"/>
  <c r="F156" i="121" s="1"/>
  <c r="L156" i="121" s="1"/>
  <c r="E156" i="121" a="1"/>
  <c r="E156" i="121" s="1"/>
  <c r="K156" i="121" s="1"/>
  <c r="M155" i="121" s="1"/>
  <c r="D156" i="121" a="1"/>
  <c r="D156" i="121" s="1"/>
  <c r="I155" i="121" a="1"/>
  <c r="I155" i="121" s="1"/>
  <c r="H155" i="121" a="1"/>
  <c r="H155" i="121" s="1"/>
  <c r="G155" i="121" a="1"/>
  <c r="G155" i="121" s="1"/>
  <c r="F155" i="121" a="1"/>
  <c r="F155" i="121" s="1"/>
  <c r="O155" i="121" s="1"/>
  <c r="E155" i="121" a="1"/>
  <c r="E155" i="121" s="1"/>
  <c r="N155" i="121" s="1"/>
  <c r="P154" i="121" s="1"/>
  <c r="D155" i="121" a="1"/>
  <c r="D155" i="121" s="1"/>
  <c r="I154" i="121" a="1"/>
  <c r="I154" i="121" s="1"/>
  <c r="H154" i="121" a="1"/>
  <c r="H154" i="121" s="1"/>
  <c r="G154" i="121" a="1"/>
  <c r="G154" i="121" s="1"/>
  <c r="F154" i="121" a="1"/>
  <c r="F154" i="121" s="1"/>
  <c r="L154" i="121" s="1"/>
  <c r="E154" i="121" a="1"/>
  <c r="E154" i="121" s="1"/>
  <c r="K154" i="121" s="1"/>
  <c r="M153" i="121" s="1"/>
  <c r="D154" i="121" a="1"/>
  <c r="D154" i="121" s="1"/>
  <c r="I153" i="121" a="1"/>
  <c r="I153" i="121" s="1"/>
  <c r="H153" i="121" a="1"/>
  <c r="H153" i="121" s="1"/>
  <c r="G153" i="121" a="1"/>
  <c r="G153" i="121" s="1"/>
  <c r="F153" i="121" a="1"/>
  <c r="F153" i="121" s="1"/>
  <c r="O153" i="121" s="1"/>
  <c r="E153" i="121" a="1"/>
  <c r="E153" i="121" s="1"/>
  <c r="N153" i="121" s="1"/>
  <c r="P152" i="121" s="1"/>
  <c r="D153" i="121" a="1"/>
  <c r="D153" i="121" s="1"/>
  <c r="I152" i="121" a="1"/>
  <c r="I152" i="121" s="1"/>
  <c r="H152" i="121" a="1"/>
  <c r="H152" i="121" s="1"/>
  <c r="G152" i="121" a="1"/>
  <c r="G152" i="121" s="1"/>
  <c r="F152" i="121" a="1"/>
  <c r="F152" i="121" s="1"/>
  <c r="L152" i="121" s="1"/>
  <c r="E152" i="121" a="1"/>
  <c r="E152" i="121" s="1"/>
  <c r="K152" i="121" s="1"/>
  <c r="M151" i="121" s="1"/>
  <c r="D152" i="121" a="1"/>
  <c r="D152" i="121" s="1"/>
  <c r="I151" i="121" a="1"/>
  <c r="I151" i="121" s="1"/>
  <c r="H151" i="121" a="1"/>
  <c r="H151" i="121" s="1"/>
  <c r="G151" i="121" a="1"/>
  <c r="G151" i="121" s="1"/>
  <c r="F151" i="121" a="1"/>
  <c r="F151" i="121" s="1"/>
  <c r="O151" i="121" s="1"/>
  <c r="E151" i="121" a="1"/>
  <c r="E151" i="121" s="1"/>
  <c r="N151" i="121" s="1"/>
  <c r="D151" i="121" a="1"/>
  <c r="D151" i="121" s="1"/>
  <c r="I150" i="121" a="1"/>
  <c r="I150" i="121" s="1"/>
  <c r="H150" i="121" a="1"/>
  <c r="H150" i="121" s="1"/>
  <c r="G150" i="121" a="1"/>
  <c r="G150" i="121" s="1"/>
  <c r="F150" i="121" a="1"/>
  <c r="F150" i="121" s="1"/>
  <c r="O150" i="121" s="1"/>
  <c r="E150" i="121" a="1"/>
  <c r="E150" i="121" s="1"/>
  <c r="N150" i="121" s="1"/>
  <c r="D150" i="121" a="1"/>
  <c r="D150" i="121" s="1"/>
  <c r="I149" i="121" a="1"/>
  <c r="I149" i="121" s="1"/>
  <c r="H149" i="121" a="1"/>
  <c r="H149" i="121" s="1"/>
  <c r="G149" i="121" a="1"/>
  <c r="G149" i="121" s="1"/>
  <c r="F149" i="121" a="1"/>
  <c r="F149" i="121" s="1"/>
  <c r="O149" i="121" s="1"/>
  <c r="E149" i="121" a="1"/>
  <c r="E149" i="121" s="1"/>
  <c r="N149" i="121" s="1"/>
  <c r="D149" i="121" a="1"/>
  <c r="D149" i="121" s="1"/>
  <c r="I148" i="121" a="1"/>
  <c r="I148" i="121" s="1"/>
  <c r="H148" i="121" a="1"/>
  <c r="H148" i="121" s="1"/>
  <c r="G148" i="121" a="1"/>
  <c r="G148" i="121" s="1"/>
  <c r="F148" i="121" a="1"/>
  <c r="F148" i="121" s="1"/>
  <c r="O148" i="121" s="1"/>
  <c r="E148" i="121" a="1"/>
  <c r="E148" i="121" s="1"/>
  <c r="N148" i="121" s="1"/>
  <c r="D148" i="121" a="1"/>
  <c r="D148" i="121" s="1"/>
  <c r="I147" i="121" a="1"/>
  <c r="I147" i="121" s="1"/>
  <c r="H147" i="121" a="1"/>
  <c r="H147" i="121" s="1"/>
  <c r="G147" i="121" a="1"/>
  <c r="G147" i="121" s="1"/>
  <c r="F147" i="121" a="1"/>
  <c r="F147" i="121" s="1"/>
  <c r="O147" i="121" s="1"/>
  <c r="E147" i="121" a="1"/>
  <c r="E147" i="121" s="1"/>
  <c r="N147" i="121" s="1"/>
  <c r="D147" i="121" a="1"/>
  <c r="D147" i="121" s="1"/>
  <c r="I146" i="121" a="1"/>
  <c r="I146" i="121" s="1"/>
  <c r="H146" i="121" a="1"/>
  <c r="H146" i="121" s="1"/>
  <c r="G146" i="121" a="1"/>
  <c r="G146" i="121" s="1"/>
  <c r="F146" i="121" a="1"/>
  <c r="F146" i="121" s="1"/>
  <c r="O146" i="121" s="1"/>
  <c r="E146" i="121" a="1"/>
  <c r="E146" i="121" s="1"/>
  <c r="N146" i="121" s="1"/>
  <c r="D146" i="121" a="1"/>
  <c r="D146" i="121" s="1"/>
  <c r="I145" i="121" a="1"/>
  <c r="I145" i="121" s="1"/>
  <c r="H145" i="121" a="1"/>
  <c r="H145" i="121" s="1"/>
  <c r="G145" i="121" a="1"/>
  <c r="G145" i="121" s="1"/>
  <c r="F145" i="121" a="1"/>
  <c r="F145" i="121" s="1"/>
  <c r="O145" i="121" s="1"/>
  <c r="E145" i="121" a="1"/>
  <c r="E145" i="121" s="1"/>
  <c r="N145" i="121" s="1"/>
  <c r="P144" i="121" s="1"/>
  <c r="D145" i="121" a="1"/>
  <c r="D145" i="121" s="1"/>
  <c r="I144" i="121" a="1"/>
  <c r="I144" i="121" s="1"/>
  <c r="H144" i="121" a="1"/>
  <c r="H144" i="121" s="1"/>
  <c r="G144" i="121" a="1"/>
  <c r="G144" i="121" s="1"/>
  <c r="F144" i="121" a="1"/>
  <c r="F144" i="121" s="1"/>
  <c r="L144" i="121" s="1"/>
  <c r="E144" i="121" a="1"/>
  <c r="E144" i="121" s="1"/>
  <c r="K144" i="121" s="1"/>
  <c r="D144" i="121" a="1"/>
  <c r="D144" i="121" s="1"/>
  <c r="I143" i="121" a="1"/>
  <c r="I143" i="121" s="1"/>
  <c r="H143" i="121" a="1"/>
  <c r="H143" i="121" s="1"/>
  <c r="G143" i="121" a="1"/>
  <c r="G143" i="121" s="1"/>
  <c r="F143" i="121" a="1"/>
  <c r="F143" i="121" s="1"/>
  <c r="L143" i="121" s="1"/>
  <c r="E143" i="121" a="1"/>
  <c r="E143" i="121" s="1"/>
  <c r="K143" i="121" s="1"/>
  <c r="D143" i="121" a="1"/>
  <c r="D143" i="121" s="1"/>
  <c r="I142" i="121" a="1"/>
  <c r="I142" i="121" s="1"/>
  <c r="H142" i="121" a="1"/>
  <c r="H142" i="121" s="1"/>
  <c r="G142" i="121" a="1"/>
  <c r="G142" i="121" s="1"/>
  <c r="F142" i="121" a="1"/>
  <c r="F142" i="121" s="1"/>
  <c r="L142" i="121" s="1"/>
  <c r="E142" i="121" a="1"/>
  <c r="E142" i="121" s="1"/>
  <c r="K142" i="121" s="1"/>
  <c r="D142" i="121" a="1"/>
  <c r="D142" i="121" s="1"/>
  <c r="I141" i="121" a="1"/>
  <c r="I141" i="121" s="1"/>
  <c r="H141" i="121" a="1"/>
  <c r="H141" i="121" s="1"/>
  <c r="G141" i="121" a="1"/>
  <c r="G141" i="121" s="1"/>
  <c r="F141" i="121" a="1"/>
  <c r="F141" i="121" s="1"/>
  <c r="L141" i="121" s="1"/>
  <c r="E141" i="121" a="1"/>
  <c r="E141" i="121" s="1"/>
  <c r="K141" i="121" s="1"/>
  <c r="D141" i="121" a="1"/>
  <c r="D141" i="121" s="1"/>
  <c r="I140" i="121" a="1"/>
  <c r="I140" i="121" s="1"/>
  <c r="H140" i="121" a="1"/>
  <c r="H140" i="121" s="1"/>
  <c r="G140" i="121" a="1"/>
  <c r="G140" i="121" s="1"/>
  <c r="F140" i="121" a="1"/>
  <c r="F140" i="121" s="1"/>
  <c r="L140" i="121" s="1"/>
  <c r="E140" i="121" a="1"/>
  <c r="E140" i="121" s="1"/>
  <c r="K140" i="121" s="1"/>
  <c r="D140" i="121" a="1"/>
  <c r="D140" i="121" s="1"/>
  <c r="I139" i="121" a="1"/>
  <c r="I139" i="121" s="1"/>
  <c r="H139" i="121" a="1"/>
  <c r="H139" i="121" s="1"/>
  <c r="G139" i="121" a="1"/>
  <c r="G139" i="121" s="1"/>
  <c r="F139" i="121" a="1"/>
  <c r="F139" i="121" s="1"/>
  <c r="L139" i="121" s="1"/>
  <c r="E139" i="121" a="1"/>
  <c r="E139" i="121" s="1"/>
  <c r="K139" i="121" s="1"/>
  <c r="M138" i="121" s="1"/>
  <c r="D139" i="121" a="1"/>
  <c r="D139" i="121" s="1"/>
  <c r="I138" i="121" a="1"/>
  <c r="I138" i="121" s="1"/>
  <c r="H138" i="121" a="1"/>
  <c r="H138" i="121" s="1"/>
  <c r="G138" i="121" a="1"/>
  <c r="G138" i="121" s="1"/>
  <c r="F138" i="121" a="1"/>
  <c r="F138" i="121" s="1"/>
  <c r="O138" i="121" s="1"/>
  <c r="E138" i="121" a="1"/>
  <c r="E138" i="121" s="1"/>
  <c r="N138" i="121" s="1"/>
  <c r="D138" i="121" a="1"/>
  <c r="D138" i="121" s="1"/>
  <c r="I137" i="121" a="1"/>
  <c r="I137" i="121" s="1"/>
  <c r="H137" i="121" a="1"/>
  <c r="H137" i="121" s="1"/>
  <c r="G137" i="121" a="1"/>
  <c r="G137" i="121" s="1"/>
  <c r="F137" i="121" a="1"/>
  <c r="F137" i="121" s="1"/>
  <c r="O137" i="121" s="1"/>
  <c r="E137" i="121" a="1"/>
  <c r="E137" i="121" s="1"/>
  <c r="N137" i="121" s="1"/>
  <c r="D137" i="121" a="1"/>
  <c r="D137" i="121" s="1"/>
  <c r="I136" i="121" a="1"/>
  <c r="I136" i="121" s="1"/>
  <c r="H136" i="121" a="1"/>
  <c r="H136" i="121" s="1"/>
  <c r="G136" i="121" a="1"/>
  <c r="G136" i="121" s="1"/>
  <c r="F136" i="121" a="1"/>
  <c r="F136" i="121" s="1"/>
  <c r="O136" i="121" s="1"/>
  <c r="E136" i="121" a="1"/>
  <c r="E136" i="121" s="1"/>
  <c r="N136" i="121" s="1"/>
  <c r="D136" i="121" a="1"/>
  <c r="D136" i="121" s="1"/>
  <c r="I135" i="121" a="1"/>
  <c r="I135" i="121" s="1"/>
  <c r="H135" i="121" a="1"/>
  <c r="H135" i="121" s="1"/>
  <c r="G135" i="121" a="1"/>
  <c r="G135" i="121" s="1"/>
  <c r="F135" i="121" a="1"/>
  <c r="F135" i="121" s="1"/>
  <c r="O135" i="121" s="1"/>
  <c r="E135" i="121" a="1"/>
  <c r="E135" i="121" s="1"/>
  <c r="N135" i="121" s="1"/>
  <c r="D135" i="121" a="1"/>
  <c r="D135" i="121" s="1"/>
  <c r="I134" i="121" a="1"/>
  <c r="I134" i="121" s="1"/>
  <c r="H134" i="121" a="1"/>
  <c r="H134" i="121" s="1"/>
  <c r="G134" i="121" a="1"/>
  <c r="G134" i="121" s="1"/>
  <c r="F134" i="121" a="1"/>
  <c r="F134" i="121" s="1"/>
  <c r="O134" i="121" s="1"/>
  <c r="E134" i="121" a="1"/>
  <c r="E134" i="121" s="1"/>
  <c r="N134" i="121" s="1"/>
  <c r="D134" i="121" a="1"/>
  <c r="D134" i="121" s="1"/>
  <c r="I133" i="121" a="1"/>
  <c r="I133" i="121" s="1"/>
  <c r="H133" i="121" a="1"/>
  <c r="H133" i="121" s="1"/>
  <c r="G133" i="121" a="1"/>
  <c r="G133" i="121" s="1"/>
  <c r="F133" i="121" a="1"/>
  <c r="F133" i="121" s="1"/>
  <c r="O133" i="121" s="1"/>
  <c r="E133" i="121" a="1"/>
  <c r="E133" i="121" s="1"/>
  <c r="N133" i="121" s="1"/>
  <c r="D133" i="121" a="1"/>
  <c r="D133" i="121" s="1"/>
  <c r="I132" i="121" a="1"/>
  <c r="I132" i="121" s="1"/>
  <c r="H132" i="121" a="1"/>
  <c r="H132" i="121" s="1"/>
  <c r="G132" i="121" a="1"/>
  <c r="G132" i="121" s="1"/>
  <c r="F132" i="121" a="1"/>
  <c r="F132" i="121" s="1"/>
  <c r="O132" i="121" s="1"/>
  <c r="E132" i="121" a="1"/>
  <c r="E132" i="121" s="1"/>
  <c r="N132" i="121" s="1"/>
  <c r="P131" i="121" s="1"/>
  <c r="D132" i="121" a="1"/>
  <c r="D132" i="121" s="1"/>
  <c r="I131" i="121" a="1"/>
  <c r="I131" i="121" s="1"/>
  <c r="H131" i="121" a="1"/>
  <c r="H131" i="121" s="1"/>
  <c r="G131" i="121" a="1"/>
  <c r="G131" i="121" s="1"/>
  <c r="F131" i="121" a="1"/>
  <c r="F131" i="121" s="1"/>
  <c r="L131" i="121" s="1"/>
  <c r="E131" i="121" a="1"/>
  <c r="E131" i="121" s="1"/>
  <c r="K131" i="121" s="1"/>
  <c r="D131" i="121" a="1"/>
  <c r="D131" i="121" s="1"/>
  <c r="I130" i="121" a="1"/>
  <c r="I130" i="121" s="1"/>
  <c r="H130" i="121" a="1"/>
  <c r="H130" i="121" s="1"/>
  <c r="G130" i="121" a="1"/>
  <c r="G130" i="121" s="1"/>
  <c r="F130" i="121" a="1"/>
  <c r="F130" i="121" s="1"/>
  <c r="L130" i="121" s="1"/>
  <c r="E130" i="121" a="1"/>
  <c r="E130" i="121" s="1"/>
  <c r="K130" i="121" s="1"/>
  <c r="D130" i="121" a="1"/>
  <c r="D130" i="121" s="1"/>
  <c r="I129" i="121" a="1"/>
  <c r="I129" i="121" s="1"/>
  <c r="H129" i="121" a="1"/>
  <c r="H129" i="121" s="1"/>
  <c r="G129" i="121" a="1"/>
  <c r="G129" i="121" s="1"/>
  <c r="F129" i="121" a="1"/>
  <c r="F129" i="121" s="1"/>
  <c r="L129" i="121" s="1"/>
  <c r="E129" i="121" a="1"/>
  <c r="E129" i="121" s="1"/>
  <c r="K129" i="121" s="1"/>
  <c r="D129" i="121" a="1"/>
  <c r="D129" i="121" s="1"/>
  <c r="I128" i="121" a="1"/>
  <c r="I128" i="121" s="1"/>
  <c r="H128" i="121" a="1"/>
  <c r="H128" i="121" s="1"/>
  <c r="G128" i="121" a="1"/>
  <c r="G128" i="121" s="1"/>
  <c r="F128" i="121" a="1"/>
  <c r="F128" i="121" s="1"/>
  <c r="L128" i="121" s="1"/>
  <c r="E128" i="121" a="1"/>
  <c r="E128" i="121" s="1"/>
  <c r="K128" i="121" s="1"/>
  <c r="D128" i="121" a="1"/>
  <c r="D128" i="121" s="1"/>
  <c r="I127" i="121" a="1"/>
  <c r="I127" i="121" s="1"/>
  <c r="H127" i="121" a="1"/>
  <c r="H127" i="121" s="1"/>
  <c r="G127" i="121" a="1"/>
  <c r="G127" i="121" s="1"/>
  <c r="F127" i="121" a="1"/>
  <c r="F127" i="121" s="1"/>
  <c r="L127" i="121" s="1"/>
  <c r="E127" i="121" a="1"/>
  <c r="E127" i="121" s="1"/>
  <c r="K127" i="121" s="1"/>
  <c r="D127" i="121" a="1"/>
  <c r="D127" i="121" s="1"/>
  <c r="I126" i="121" a="1"/>
  <c r="I126" i="121" s="1"/>
  <c r="H126" i="121" a="1"/>
  <c r="H126" i="121" s="1"/>
  <c r="G126" i="121" a="1"/>
  <c r="G126" i="121" s="1"/>
  <c r="F126" i="121" a="1"/>
  <c r="F126" i="121" s="1"/>
  <c r="L126" i="121" s="1"/>
  <c r="E126" i="121" a="1"/>
  <c r="E126" i="121" s="1"/>
  <c r="K126" i="121" s="1"/>
  <c r="M125" i="121" s="1"/>
  <c r="D126" i="121" a="1"/>
  <c r="D126" i="121" s="1"/>
  <c r="I125" i="121" a="1"/>
  <c r="I125" i="121" s="1"/>
  <c r="H125" i="121" a="1"/>
  <c r="H125" i="121" s="1"/>
  <c r="G125" i="121" a="1"/>
  <c r="G125" i="121" s="1"/>
  <c r="F125" i="121" a="1"/>
  <c r="F125" i="121" s="1"/>
  <c r="O125" i="121" s="1"/>
  <c r="E125" i="121" a="1"/>
  <c r="E125" i="121" s="1"/>
  <c r="N125" i="121" s="1"/>
  <c r="D125" i="121" a="1"/>
  <c r="D125" i="121" s="1"/>
  <c r="I124" i="121" a="1"/>
  <c r="I124" i="121" s="1"/>
  <c r="H124" i="121" a="1"/>
  <c r="H124" i="121" s="1"/>
  <c r="G124" i="121" a="1"/>
  <c r="G124" i="121" s="1"/>
  <c r="F124" i="121" a="1"/>
  <c r="F124" i="121" s="1"/>
  <c r="O124" i="121" s="1"/>
  <c r="E124" i="121" a="1"/>
  <c r="E124" i="121" s="1"/>
  <c r="N124" i="121" s="1"/>
  <c r="D124" i="121" a="1"/>
  <c r="D124" i="121" s="1"/>
  <c r="I123" i="121" a="1"/>
  <c r="I123" i="121" s="1"/>
  <c r="H123" i="121" a="1"/>
  <c r="H123" i="121" s="1"/>
  <c r="G123" i="121" a="1"/>
  <c r="G123" i="121" s="1"/>
  <c r="F123" i="121" a="1"/>
  <c r="F123" i="121" s="1"/>
  <c r="O123" i="121" s="1"/>
  <c r="E123" i="121" a="1"/>
  <c r="E123" i="121" s="1"/>
  <c r="N123" i="121" s="1"/>
  <c r="D123" i="121" a="1"/>
  <c r="D123" i="121" s="1"/>
  <c r="I122" i="121" a="1"/>
  <c r="I122" i="121" s="1"/>
  <c r="H122" i="121" a="1"/>
  <c r="H122" i="121" s="1"/>
  <c r="G122" i="121" a="1"/>
  <c r="G122" i="121" s="1"/>
  <c r="F122" i="121" a="1"/>
  <c r="F122" i="121" s="1"/>
  <c r="O122" i="121" s="1"/>
  <c r="E122" i="121" a="1"/>
  <c r="E122" i="121" s="1"/>
  <c r="N122" i="121" s="1"/>
  <c r="D122" i="121" a="1"/>
  <c r="D122" i="121" s="1"/>
  <c r="I121" i="121" a="1"/>
  <c r="I121" i="121" s="1"/>
  <c r="H121" i="121" a="1"/>
  <c r="H121" i="121" s="1"/>
  <c r="G121" i="121" a="1"/>
  <c r="G121" i="121" s="1"/>
  <c r="F121" i="121" a="1"/>
  <c r="F121" i="121" s="1"/>
  <c r="O121" i="121" s="1"/>
  <c r="E121" i="121" a="1"/>
  <c r="E121" i="121" s="1"/>
  <c r="N121" i="121" s="1"/>
  <c r="D121" i="121" a="1"/>
  <c r="D121" i="121" s="1"/>
  <c r="I120" i="121" a="1"/>
  <c r="I120" i="121" s="1"/>
  <c r="H120" i="121" a="1"/>
  <c r="H120" i="121" s="1"/>
  <c r="G120" i="121" a="1"/>
  <c r="G120" i="121" s="1"/>
  <c r="F120" i="121" a="1"/>
  <c r="F120" i="121" s="1"/>
  <c r="O120" i="121" s="1"/>
  <c r="E120" i="121" a="1"/>
  <c r="E120" i="121" s="1"/>
  <c r="N120" i="121" s="1"/>
  <c r="D120" i="121" a="1"/>
  <c r="D120" i="121" s="1"/>
  <c r="I119" i="121" a="1"/>
  <c r="I119" i="121" s="1"/>
  <c r="H119" i="121" a="1"/>
  <c r="H119" i="121" s="1"/>
  <c r="G119" i="121" a="1"/>
  <c r="G119" i="121" s="1"/>
  <c r="F119" i="121" a="1"/>
  <c r="F119" i="121" s="1"/>
  <c r="O119" i="121" s="1"/>
  <c r="E119" i="121" a="1"/>
  <c r="E119" i="121" s="1"/>
  <c r="N119" i="121" s="1"/>
  <c r="P118" i="121" s="1"/>
  <c r="D119" i="121" a="1"/>
  <c r="D119" i="121" s="1"/>
  <c r="I118" i="121" a="1"/>
  <c r="I118" i="121" s="1"/>
  <c r="H118" i="121" a="1"/>
  <c r="H118" i="121" s="1"/>
  <c r="G118" i="121" a="1"/>
  <c r="G118" i="121" s="1"/>
  <c r="F118" i="121" a="1"/>
  <c r="F118" i="121" s="1"/>
  <c r="L118" i="121" s="1"/>
  <c r="E118" i="121" a="1"/>
  <c r="E118" i="121" s="1"/>
  <c r="K118" i="121" s="1"/>
  <c r="D118" i="121" a="1"/>
  <c r="D118" i="121" s="1"/>
  <c r="I117" i="121" a="1"/>
  <c r="I117" i="121" s="1"/>
  <c r="H117" i="121" a="1"/>
  <c r="H117" i="121" s="1"/>
  <c r="G117" i="121" a="1"/>
  <c r="G117" i="121" s="1"/>
  <c r="F117" i="121" a="1"/>
  <c r="F117" i="121" s="1"/>
  <c r="L117" i="121" s="1"/>
  <c r="E117" i="121" a="1"/>
  <c r="E117" i="121" s="1"/>
  <c r="K117" i="121" s="1"/>
  <c r="D117" i="121" a="1"/>
  <c r="D117" i="121" s="1"/>
  <c r="I116" i="121" a="1"/>
  <c r="I116" i="121" s="1"/>
  <c r="H116" i="121" a="1"/>
  <c r="H116" i="121" s="1"/>
  <c r="G116" i="121" a="1"/>
  <c r="G116" i="121" s="1"/>
  <c r="F116" i="121" a="1"/>
  <c r="F116" i="121" s="1"/>
  <c r="L116" i="121" s="1"/>
  <c r="E116" i="121" a="1"/>
  <c r="E116" i="121" s="1"/>
  <c r="K116" i="121" s="1"/>
  <c r="D116" i="121" a="1"/>
  <c r="D116" i="121" s="1"/>
  <c r="I115" i="121" a="1"/>
  <c r="I115" i="121" s="1"/>
  <c r="H115" i="121" a="1"/>
  <c r="H115" i="121" s="1"/>
  <c r="G115" i="121" a="1"/>
  <c r="G115" i="121" s="1"/>
  <c r="F115" i="121" a="1"/>
  <c r="F115" i="121" s="1"/>
  <c r="L115" i="121" s="1"/>
  <c r="E115" i="121" a="1"/>
  <c r="E115" i="121" s="1"/>
  <c r="K115" i="121" s="1"/>
  <c r="D115" i="121" a="1"/>
  <c r="D115" i="121" s="1"/>
  <c r="I114" i="121" a="1"/>
  <c r="I114" i="121" s="1"/>
  <c r="H114" i="121" a="1"/>
  <c r="H114" i="121" s="1"/>
  <c r="G114" i="121" a="1"/>
  <c r="G114" i="121" s="1"/>
  <c r="F114" i="121" a="1"/>
  <c r="F114" i="121" s="1"/>
  <c r="L114" i="121" s="1"/>
  <c r="E114" i="121" a="1"/>
  <c r="E114" i="121" s="1"/>
  <c r="K114" i="121" s="1"/>
  <c r="D114" i="121" a="1"/>
  <c r="D114" i="121" s="1"/>
  <c r="I113" i="121" a="1"/>
  <c r="I113" i="121" s="1"/>
  <c r="H113" i="121" a="1"/>
  <c r="H113" i="121" s="1"/>
  <c r="G113" i="121" a="1"/>
  <c r="G113" i="121" s="1"/>
  <c r="F113" i="121" a="1"/>
  <c r="F113" i="121" s="1"/>
  <c r="L113" i="121" s="1"/>
  <c r="E113" i="121" a="1"/>
  <c r="E113" i="121" s="1"/>
  <c r="K113" i="121" s="1"/>
  <c r="D113" i="121" a="1"/>
  <c r="D113" i="121" s="1"/>
  <c r="I112" i="121" a="1"/>
  <c r="I112" i="121" s="1"/>
  <c r="H112" i="121" a="1"/>
  <c r="H112" i="121" s="1"/>
  <c r="G112" i="121" a="1"/>
  <c r="G112" i="121" s="1"/>
  <c r="F112" i="121" a="1"/>
  <c r="F112" i="121" s="1"/>
  <c r="L112" i="121" s="1"/>
  <c r="E112" i="121" a="1"/>
  <c r="E112" i="121" s="1"/>
  <c r="K112" i="121" s="1"/>
  <c r="D112" i="121" a="1"/>
  <c r="D112" i="121" s="1"/>
  <c r="I111" i="121" a="1"/>
  <c r="I111" i="121" s="1"/>
  <c r="H111" i="121" a="1"/>
  <c r="H111" i="121" s="1"/>
  <c r="G111" i="121" a="1"/>
  <c r="G111" i="121" s="1"/>
  <c r="F111" i="121" a="1"/>
  <c r="F111" i="121" s="1"/>
  <c r="L111" i="121" s="1"/>
  <c r="E111" i="121" a="1"/>
  <c r="E111" i="121" s="1"/>
  <c r="K111" i="121" s="1"/>
  <c r="M110" i="121" s="1"/>
  <c r="D111" i="121" a="1"/>
  <c r="D111" i="121" s="1"/>
  <c r="I110" i="121" a="1"/>
  <c r="I110" i="121" s="1"/>
  <c r="H110" i="121" a="1"/>
  <c r="H110" i="121" s="1"/>
  <c r="G110" i="121" a="1"/>
  <c r="G110" i="121" s="1"/>
  <c r="F110" i="121" a="1"/>
  <c r="F110" i="121" s="1"/>
  <c r="O110" i="121" s="1"/>
  <c r="E110" i="121" a="1"/>
  <c r="E110" i="121" s="1"/>
  <c r="N110" i="121" s="1"/>
  <c r="D110" i="121" a="1"/>
  <c r="D110" i="121" s="1"/>
  <c r="I109" i="121" a="1"/>
  <c r="I109" i="121" s="1"/>
  <c r="H109" i="121" a="1"/>
  <c r="H109" i="121" s="1"/>
  <c r="G109" i="121" a="1"/>
  <c r="G109" i="121" s="1"/>
  <c r="F109" i="121" a="1"/>
  <c r="F109" i="121" s="1"/>
  <c r="O109" i="121" s="1"/>
  <c r="E109" i="121" a="1"/>
  <c r="E109" i="121" s="1"/>
  <c r="N109" i="121" s="1"/>
  <c r="D109" i="121" a="1"/>
  <c r="D109" i="121" s="1"/>
  <c r="I108" i="121" a="1"/>
  <c r="I108" i="121" s="1"/>
  <c r="H108" i="121" a="1"/>
  <c r="H108" i="121" s="1"/>
  <c r="G108" i="121" a="1"/>
  <c r="G108" i="121" s="1"/>
  <c r="F108" i="121" a="1"/>
  <c r="F108" i="121" s="1"/>
  <c r="O108" i="121" s="1"/>
  <c r="E108" i="121" a="1"/>
  <c r="E108" i="121" s="1"/>
  <c r="N108" i="121" s="1"/>
  <c r="D108" i="121" a="1"/>
  <c r="D108" i="121" s="1"/>
  <c r="I107" i="121" a="1"/>
  <c r="I107" i="121" s="1"/>
  <c r="H107" i="121" a="1"/>
  <c r="H107" i="121" s="1"/>
  <c r="G107" i="121" a="1"/>
  <c r="G107" i="121" s="1"/>
  <c r="F107" i="121" a="1"/>
  <c r="F107" i="121" s="1"/>
  <c r="O107" i="121" s="1"/>
  <c r="E107" i="121" a="1"/>
  <c r="E107" i="121" s="1"/>
  <c r="N107" i="121" s="1"/>
  <c r="D107" i="121" a="1"/>
  <c r="D107" i="121" s="1"/>
  <c r="I106" i="121" a="1"/>
  <c r="I106" i="121" s="1"/>
  <c r="H106" i="121" a="1"/>
  <c r="H106" i="121" s="1"/>
  <c r="G106" i="121" a="1"/>
  <c r="G106" i="121" s="1"/>
  <c r="F106" i="121" a="1"/>
  <c r="F106" i="121" s="1"/>
  <c r="O106" i="121" s="1"/>
  <c r="E106" i="121" a="1"/>
  <c r="E106" i="121" s="1"/>
  <c r="N106" i="121" s="1"/>
  <c r="P105" i="121" s="1"/>
  <c r="D106" i="121" a="1"/>
  <c r="D106" i="121" s="1"/>
  <c r="I105" i="121" a="1"/>
  <c r="I105" i="121" s="1"/>
  <c r="H105" i="121" a="1"/>
  <c r="H105" i="121" s="1"/>
  <c r="G105" i="121" a="1"/>
  <c r="G105" i="121" s="1"/>
  <c r="F105" i="121" a="1"/>
  <c r="F105" i="121" s="1"/>
  <c r="L105" i="121" s="1"/>
  <c r="E105" i="121" a="1"/>
  <c r="E105" i="121" s="1"/>
  <c r="K105" i="121" s="1"/>
  <c r="D105" i="121" a="1"/>
  <c r="D105" i="121" s="1"/>
  <c r="I104" i="121" a="1"/>
  <c r="I104" i="121" s="1"/>
  <c r="H104" i="121" a="1"/>
  <c r="H104" i="121" s="1"/>
  <c r="G104" i="121" a="1"/>
  <c r="G104" i="121" s="1"/>
  <c r="F104" i="121" a="1"/>
  <c r="F104" i="121" s="1"/>
  <c r="L104" i="121" s="1"/>
  <c r="E104" i="121" a="1"/>
  <c r="E104" i="121" s="1"/>
  <c r="K104" i="121" s="1"/>
  <c r="D104" i="121" a="1"/>
  <c r="D104" i="121" s="1"/>
  <c r="I103" i="121" a="1"/>
  <c r="I103" i="121" s="1"/>
  <c r="H103" i="121" a="1"/>
  <c r="H103" i="121" s="1"/>
  <c r="G103" i="121" a="1"/>
  <c r="G103" i="121" s="1"/>
  <c r="F103" i="121" a="1"/>
  <c r="F103" i="121" s="1"/>
  <c r="L103" i="121" s="1"/>
  <c r="E103" i="121" a="1"/>
  <c r="E103" i="121" s="1"/>
  <c r="K103" i="121" s="1"/>
  <c r="D103" i="121" a="1"/>
  <c r="D103" i="121" s="1"/>
  <c r="I102" i="121" a="1"/>
  <c r="I102" i="121" s="1"/>
  <c r="H102" i="121" a="1"/>
  <c r="H102" i="121" s="1"/>
  <c r="G102" i="121" a="1"/>
  <c r="G102" i="121" s="1"/>
  <c r="F102" i="121" a="1"/>
  <c r="F102" i="121" s="1"/>
  <c r="L102" i="121" s="1"/>
  <c r="E102" i="121" a="1"/>
  <c r="E102" i="121" s="1"/>
  <c r="K102" i="121" s="1"/>
  <c r="D102" i="121" a="1"/>
  <c r="D102" i="121" s="1"/>
  <c r="I101" i="121" a="1"/>
  <c r="I101" i="121" s="1"/>
  <c r="H101" i="121" a="1"/>
  <c r="H101" i="121" s="1"/>
  <c r="G101" i="121" a="1"/>
  <c r="G101" i="121" s="1"/>
  <c r="F101" i="121" a="1"/>
  <c r="F101" i="121" s="1"/>
  <c r="L101" i="121" s="1"/>
  <c r="E101" i="121" a="1"/>
  <c r="E101" i="121" s="1"/>
  <c r="K101" i="121" s="1"/>
  <c r="D101" i="121" a="1"/>
  <c r="D101" i="121" s="1"/>
  <c r="I100" i="121" a="1"/>
  <c r="I100" i="121" s="1"/>
  <c r="H100" i="121" a="1"/>
  <c r="H100" i="121" s="1"/>
  <c r="G100" i="121" a="1"/>
  <c r="G100" i="121" s="1"/>
  <c r="F100" i="121" a="1"/>
  <c r="F100" i="121" s="1"/>
  <c r="L100" i="121" s="1"/>
  <c r="E100" i="121" a="1"/>
  <c r="E100" i="121" s="1"/>
  <c r="K100" i="121" s="1"/>
  <c r="D100" i="121" a="1"/>
  <c r="D100" i="121" s="1"/>
  <c r="I99" i="121" a="1"/>
  <c r="I99" i="121" s="1"/>
  <c r="H99" i="121" a="1"/>
  <c r="H99" i="121" s="1"/>
  <c r="G99" i="121" a="1"/>
  <c r="G99" i="121" s="1"/>
  <c r="F99" i="121" a="1"/>
  <c r="F99" i="121" s="1"/>
  <c r="L99" i="121" s="1"/>
  <c r="E99" i="121" a="1"/>
  <c r="E99" i="121" s="1"/>
  <c r="K99" i="121" s="1"/>
  <c r="M98" i="121" s="1"/>
  <c r="D99" i="121" a="1"/>
  <c r="D99" i="121" s="1"/>
  <c r="I98" i="121" a="1"/>
  <c r="I98" i="121" s="1"/>
  <c r="H98" i="121" a="1"/>
  <c r="H98" i="121" s="1"/>
  <c r="G98" i="121" a="1"/>
  <c r="G98" i="121" s="1"/>
  <c r="F98" i="121" a="1"/>
  <c r="F98" i="121" s="1"/>
  <c r="O98" i="121" s="1"/>
  <c r="E98" i="121" a="1"/>
  <c r="E98" i="121" s="1"/>
  <c r="N98" i="121" s="1"/>
  <c r="D98" i="121" a="1"/>
  <c r="D98" i="121" s="1"/>
  <c r="I97" i="121" a="1"/>
  <c r="I97" i="121" s="1"/>
  <c r="H97" i="121" a="1"/>
  <c r="H97" i="121" s="1"/>
  <c r="G97" i="121" a="1"/>
  <c r="G97" i="121" s="1"/>
  <c r="F97" i="121" a="1"/>
  <c r="F97" i="121" s="1"/>
  <c r="O97" i="121" s="1"/>
  <c r="E97" i="121" a="1"/>
  <c r="E97" i="121" s="1"/>
  <c r="N97" i="121" s="1"/>
  <c r="D97" i="121" a="1"/>
  <c r="D97" i="121" s="1"/>
  <c r="I96" i="121" a="1"/>
  <c r="I96" i="121" s="1"/>
  <c r="H96" i="121" a="1"/>
  <c r="H96" i="121" s="1"/>
  <c r="G96" i="121" a="1"/>
  <c r="G96" i="121" s="1"/>
  <c r="F96" i="121" a="1"/>
  <c r="F96" i="121" s="1"/>
  <c r="O96" i="121" s="1"/>
  <c r="E96" i="121" a="1"/>
  <c r="E96" i="121" s="1"/>
  <c r="N96" i="121" s="1"/>
  <c r="D96" i="121" a="1"/>
  <c r="D96" i="121" s="1"/>
  <c r="I95" i="121" a="1"/>
  <c r="I95" i="121" s="1"/>
  <c r="H95" i="121" a="1"/>
  <c r="H95" i="121" s="1"/>
  <c r="G95" i="121" a="1"/>
  <c r="G95" i="121" s="1"/>
  <c r="F95" i="121" a="1"/>
  <c r="F95" i="121" s="1"/>
  <c r="O95" i="121" s="1"/>
  <c r="E95" i="121" a="1"/>
  <c r="E95" i="121" s="1"/>
  <c r="N95" i="121" s="1"/>
  <c r="D95" i="121" a="1"/>
  <c r="D95" i="121" s="1"/>
  <c r="I94" i="121" a="1"/>
  <c r="I94" i="121" s="1"/>
  <c r="H94" i="121" a="1"/>
  <c r="H94" i="121" s="1"/>
  <c r="G94" i="121" a="1"/>
  <c r="G94" i="121" s="1"/>
  <c r="F94" i="121" a="1"/>
  <c r="F94" i="121" s="1"/>
  <c r="O94" i="121" s="1"/>
  <c r="E94" i="121" a="1"/>
  <c r="E94" i="121" s="1"/>
  <c r="N94" i="121" s="1"/>
  <c r="D94" i="121" a="1"/>
  <c r="D94" i="121" s="1"/>
  <c r="I93" i="121" a="1"/>
  <c r="I93" i="121" s="1"/>
  <c r="H93" i="121" a="1"/>
  <c r="H93" i="121" s="1"/>
  <c r="G93" i="121" a="1"/>
  <c r="G93" i="121" s="1"/>
  <c r="F93" i="121" a="1"/>
  <c r="F93" i="121" s="1"/>
  <c r="O93" i="121" s="1"/>
  <c r="E93" i="121" a="1"/>
  <c r="E93" i="121" s="1"/>
  <c r="N93" i="121" s="1"/>
  <c r="D93" i="121" a="1"/>
  <c r="D93" i="121" s="1"/>
  <c r="I92" i="121" a="1"/>
  <c r="I92" i="121" s="1"/>
  <c r="H92" i="121" a="1"/>
  <c r="H92" i="121" s="1"/>
  <c r="G92" i="121" a="1"/>
  <c r="G92" i="121" s="1"/>
  <c r="F92" i="121" a="1"/>
  <c r="F92" i="121" s="1"/>
  <c r="O92" i="121" s="1"/>
  <c r="E92" i="121" a="1"/>
  <c r="E92" i="121" s="1"/>
  <c r="N92" i="121" s="1"/>
  <c r="D92" i="121" a="1"/>
  <c r="D92" i="121" s="1"/>
  <c r="I91" i="121" a="1"/>
  <c r="I91" i="121" s="1"/>
  <c r="H91" i="121" a="1"/>
  <c r="H91" i="121" s="1"/>
  <c r="G91" i="121" a="1"/>
  <c r="G91" i="121" s="1"/>
  <c r="F91" i="121" a="1"/>
  <c r="F91" i="121" s="1"/>
  <c r="O91" i="121" s="1"/>
  <c r="E91" i="121" a="1"/>
  <c r="E91" i="121" s="1"/>
  <c r="N91" i="121" s="1"/>
  <c r="P90" i="121" s="1"/>
  <c r="D91" i="121" a="1"/>
  <c r="D91" i="121" s="1"/>
  <c r="I90" i="121" a="1"/>
  <c r="I90" i="121" s="1"/>
  <c r="H90" i="121" a="1"/>
  <c r="H90" i="121" s="1"/>
  <c r="G90" i="121" a="1"/>
  <c r="G90" i="121" s="1"/>
  <c r="F90" i="121" a="1"/>
  <c r="F90" i="121" s="1"/>
  <c r="L90" i="121" s="1"/>
  <c r="E90" i="121" a="1"/>
  <c r="E90" i="121" s="1"/>
  <c r="D90" i="121" a="1"/>
  <c r="D90" i="121" s="1"/>
  <c r="I86" i="121" a="1"/>
  <c r="I86" i="121" s="1"/>
  <c r="H86" i="121" a="1"/>
  <c r="H86" i="121" s="1"/>
  <c r="G86" i="121"/>
  <c r="G86" i="121" a="1"/>
  <c r="F86" i="121" a="1"/>
  <c r="F86" i="121" s="1"/>
  <c r="E86" i="121" a="1"/>
  <c r="E86" i="121" s="1"/>
  <c r="D86" i="121" a="1"/>
  <c r="D86" i="121" s="1"/>
  <c r="I85" i="121" a="1"/>
  <c r="I85" i="121" s="1"/>
  <c r="H85" i="121" a="1"/>
  <c r="H85" i="121" s="1"/>
  <c r="G85" i="121" a="1"/>
  <c r="G85" i="121" s="1"/>
  <c r="F85" i="121" a="1"/>
  <c r="F85" i="121" s="1"/>
  <c r="E85" i="121" a="1"/>
  <c r="E85" i="121" s="1"/>
  <c r="D85" i="121" a="1"/>
  <c r="D85" i="121" s="1"/>
  <c r="I84" i="121" a="1"/>
  <c r="I84" i="121" s="1"/>
  <c r="H84" i="121" a="1"/>
  <c r="H84" i="121" s="1"/>
  <c r="G84" i="121" a="1"/>
  <c r="G84" i="121" s="1"/>
  <c r="F84" i="121" a="1"/>
  <c r="F84" i="121" s="1"/>
  <c r="E84" i="121" a="1"/>
  <c r="E84" i="121" s="1"/>
  <c r="D84" i="121"/>
  <c r="D84" i="121" a="1"/>
  <c r="I83" i="121" a="1"/>
  <c r="I83" i="121" s="1"/>
  <c r="H83" i="121" a="1"/>
  <c r="H83" i="121" s="1"/>
  <c r="G83" i="121" a="1"/>
  <c r="G83" i="121" s="1"/>
  <c r="F83" i="121" a="1"/>
  <c r="F83" i="121" s="1"/>
  <c r="E83" i="121" a="1"/>
  <c r="E83" i="121" s="1"/>
  <c r="D83" i="121" a="1"/>
  <c r="D83" i="121" s="1"/>
  <c r="I80" i="121" a="1"/>
  <c r="I80" i="121" s="1"/>
  <c r="H80" i="121" a="1"/>
  <c r="H80" i="121" s="1"/>
  <c r="G80" i="121" a="1"/>
  <c r="G80" i="121" s="1"/>
  <c r="F80" i="121" a="1"/>
  <c r="F80" i="121" s="1"/>
  <c r="E80" i="121" a="1"/>
  <c r="E80" i="121" s="1"/>
  <c r="D80" i="121" a="1"/>
  <c r="D80" i="121" s="1"/>
  <c r="I79" i="121" a="1"/>
  <c r="I79" i="121" s="1"/>
  <c r="H79" i="121" a="1"/>
  <c r="H79" i="121" s="1"/>
  <c r="G79" i="121" a="1"/>
  <c r="G79" i="121" s="1"/>
  <c r="F79" i="121" a="1"/>
  <c r="F79" i="121" s="1"/>
  <c r="E79" i="121" a="1"/>
  <c r="E79" i="121" s="1"/>
  <c r="D79" i="121" a="1"/>
  <c r="D79" i="121" s="1"/>
  <c r="I78" i="121" a="1"/>
  <c r="I78" i="121" s="1"/>
  <c r="H78" i="121" a="1"/>
  <c r="H78" i="121" s="1"/>
  <c r="G78" i="121" a="1"/>
  <c r="G78" i="121" s="1"/>
  <c r="F78" i="121" a="1"/>
  <c r="F78" i="121" s="1"/>
  <c r="E78" i="121" a="1"/>
  <c r="E78" i="121" s="1"/>
  <c r="D78" i="121" a="1"/>
  <c r="D78" i="121" s="1"/>
  <c r="I74" i="121" a="1"/>
  <c r="I74" i="121" s="1"/>
  <c r="H74" i="121" a="1"/>
  <c r="H74" i="121" s="1"/>
  <c r="G74" i="121" a="1"/>
  <c r="G74" i="121" s="1"/>
  <c r="F74" i="121" a="1"/>
  <c r="F74" i="121" s="1"/>
  <c r="E74" i="121" a="1"/>
  <c r="E74" i="121" s="1"/>
  <c r="D74" i="121" a="1"/>
  <c r="D74" i="121" s="1"/>
  <c r="I73" i="121" a="1"/>
  <c r="I73" i="121" s="1"/>
  <c r="H73" i="121" a="1"/>
  <c r="H73" i="121" s="1"/>
  <c r="G73" i="121" a="1"/>
  <c r="G73" i="121" s="1"/>
  <c r="F73" i="121" a="1"/>
  <c r="F73" i="121" s="1"/>
  <c r="E73" i="121" a="1"/>
  <c r="E73" i="121" s="1"/>
  <c r="D73" i="121" a="1"/>
  <c r="D73" i="121" s="1"/>
  <c r="I72" i="121" a="1"/>
  <c r="I72" i="121" s="1"/>
  <c r="H72" i="121" a="1"/>
  <c r="H72" i="121" s="1"/>
  <c r="G72" i="121" a="1"/>
  <c r="G72" i="121" s="1"/>
  <c r="F72" i="121" a="1"/>
  <c r="F72" i="121" s="1"/>
  <c r="E72" i="121" a="1"/>
  <c r="E72" i="121" s="1"/>
  <c r="D72" i="121" a="1"/>
  <c r="D72" i="121" s="1"/>
  <c r="I71" i="121" a="1"/>
  <c r="I71" i="121" s="1"/>
  <c r="H71" i="121" a="1"/>
  <c r="H71" i="121" s="1"/>
  <c r="G71" i="121" a="1"/>
  <c r="G71" i="121" s="1"/>
  <c r="F71" i="121" a="1"/>
  <c r="F71" i="121" s="1"/>
  <c r="E71" i="121" a="1"/>
  <c r="E71" i="121" s="1"/>
  <c r="D71" i="121" a="1"/>
  <c r="D71" i="121" s="1"/>
  <c r="I70" i="121" a="1"/>
  <c r="I70" i="121" s="1"/>
  <c r="H70" i="121" a="1"/>
  <c r="H70" i="121" s="1"/>
  <c r="G70" i="121" a="1"/>
  <c r="G70" i="121" s="1"/>
  <c r="F70" i="121" a="1"/>
  <c r="F70" i="121" s="1"/>
  <c r="E70" i="121" a="1"/>
  <c r="E70" i="121" s="1"/>
  <c r="D70" i="121" a="1"/>
  <c r="D70" i="121" s="1"/>
  <c r="I69" i="121" a="1"/>
  <c r="I69" i="121" s="1"/>
  <c r="H69" i="121" a="1"/>
  <c r="H69" i="121" s="1"/>
  <c r="G69" i="121" a="1"/>
  <c r="G69" i="121" s="1"/>
  <c r="F69" i="121" a="1"/>
  <c r="F69" i="121" s="1"/>
  <c r="E69" i="121" a="1"/>
  <c r="E69" i="121" s="1"/>
  <c r="D69" i="121" a="1"/>
  <c r="D69" i="121" s="1"/>
  <c r="I68" i="121" a="1"/>
  <c r="I68" i="121" s="1"/>
  <c r="H68" i="121" a="1"/>
  <c r="H68" i="121" s="1"/>
  <c r="G68" i="121" a="1"/>
  <c r="G68" i="121" s="1"/>
  <c r="F68" i="121" a="1"/>
  <c r="F68" i="121" s="1"/>
  <c r="E68" i="121" a="1"/>
  <c r="E68" i="121" s="1"/>
  <c r="D68" i="121" a="1"/>
  <c r="D68" i="121" s="1"/>
  <c r="I67" i="121" a="1"/>
  <c r="I67" i="121" s="1"/>
  <c r="H67" i="121" a="1"/>
  <c r="H67" i="121" s="1"/>
  <c r="G67" i="121" a="1"/>
  <c r="G67" i="121" s="1"/>
  <c r="F67" i="121" a="1"/>
  <c r="F67" i="121" s="1"/>
  <c r="E67" i="121" a="1"/>
  <c r="E67" i="121" s="1"/>
  <c r="D67" i="121" a="1"/>
  <c r="D67" i="121" s="1"/>
  <c r="I66" i="121" a="1"/>
  <c r="I66" i="121" s="1"/>
  <c r="H66" i="121" a="1"/>
  <c r="H66" i="121" s="1"/>
  <c r="G66" i="121" a="1"/>
  <c r="G66" i="121" s="1"/>
  <c r="F66" i="121" a="1"/>
  <c r="F66" i="121" s="1"/>
  <c r="E66" i="121" a="1"/>
  <c r="E66" i="121" s="1"/>
  <c r="D66" i="121" a="1"/>
  <c r="D66" i="121" s="1"/>
  <c r="I65" i="121" a="1"/>
  <c r="I65" i="121" s="1"/>
  <c r="H65" i="121" a="1"/>
  <c r="H65" i="121" s="1"/>
  <c r="G65" i="121" a="1"/>
  <c r="G65" i="121" s="1"/>
  <c r="F65" i="121" a="1"/>
  <c r="F65" i="121" s="1"/>
  <c r="E65" i="121" a="1"/>
  <c r="E65" i="121" s="1"/>
  <c r="D65" i="121" a="1"/>
  <c r="D65" i="121" s="1"/>
  <c r="I64" i="121" a="1"/>
  <c r="I64" i="121" s="1"/>
  <c r="H64" i="121" a="1"/>
  <c r="H64" i="121" s="1"/>
  <c r="G64" i="121" a="1"/>
  <c r="G64" i="121" s="1"/>
  <c r="F64" i="121" a="1"/>
  <c r="F64" i="121" s="1"/>
  <c r="E64" i="121" a="1"/>
  <c r="E64" i="121" s="1"/>
  <c r="D64" i="121" a="1"/>
  <c r="D64" i="121" s="1"/>
  <c r="I63" i="121" a="1"/>
  <c r="I63" i="121" s="1"/>
  <c r="H63" i="121" a="1"/>
  <c r="H63" i="121" s="1"/>
  <c r="G63" i="121" a="1"/>
  <c r="G63" i="121" s="1"/>
  <c r="F63" i="121" a="1"/>
  <c r="F63" i="121" s="1"/>
  <c r="E63" i="121" a="1"/>
  <c r="E63" i="121" s="1"/>
  <c r="D63" i="121" a="1"/>
  <c r="D63" i="121" s="1"/>
  <c r="I62" i="121" a="1"/>
  <c r="I62" i="121" s="1"/>
  <c r="H62" i="121" a="1"/>
  <c r="H62" i="121" s="1"/>
  <c r="G62" i="121" a="1"/>
  <c r="G62" i="121" s="1"/>
  <c r="F62" i="121" a="1"/>
  <c r="F62" i="121" s="1"/>
  <c r="E62" i="121" a="1"/>
  <c r="E62" i="121" s="1"/>
  <c r="D62" i="121" a="1"/>
  <c r="D62" i="121" s="1"/>
  <c r="I61" i="121" a="1"/>
  <c r="I61" i="121" s="1"/>
  <c r="H61" i="121" a="1"/>
  <c r="H61" i="121" s="1"/>
  <c r="G61" i="121" a="1"/>
  <c r="G61" i="121" s="1"/>
  <c r="F61" i="121" a="1"/>
  <c r="F61" i="121" s="1"/>
  <c r="E61" i="121" a="1"/>
  <c r="E61" i="121" s="1"/>
  <c r="D61" i="121" a="1"/>
  <c r="D61" i="121" s="1"/>
  <c r="I60" i="121" a="1"/>
  <c r="I60" i="121" s="1"/>
  <c r="H60" i="121" a="1"/>
  <c r="H60" i="121" s="1"/>
  <c r="G60" i="121" a="1"/>
  <c r="G60" i="121" s="1"/>
  <c r="F60" i="121" a="1"/>
  <c r="F60" i="121" s="1"/>
  <c r="E60" i="121" a="1"/>
  <c r="E60" i="121" s="1"/>
  <c r="D60" i="121" a="1"/>
  <c r="D60" i="121" s="1"/>
  <c r="I59" i="121" a="1"/>
  <c r="I59" i="121" s="1"/>
  <c r="H59" i="121" a="1"/>
  <c r="H59" i="121" s="1"/>
  <c r="G59" i="121" a="1"/>
  <c r="G59" i="121" s="1"/>
  <c r="F59" i="121" a="1"/>
  <c r="F59" i="121" s="1"/>
  <c r="E59" i="121" a="1"/>
  <c r="E59" i="121" s="1"/>
  <c r="D59" i="121" a="1"/>
  <c r="D59" i="121" s="1"/>
  <c r="I58" i="121" a="1"/>
  <c r="I58" i="121" s="1"/>
  <c r="H58" i="121" a="1"/>
  <c r="H58" i="121" s="1"/>
  <c r="G58" i="121" a="1"/>
  <c r="G58" i="121" s="1"/>
  <c r="F58" i="121" a="1"/>
  <c r="F58" i="121" s="1"/>
  <c r="E58" i="121" a="1"/>
  <c r="E58" i="121" s="1"/>
  <c r="D58" i="121" a="1"/>
  <c r="D58" i="121" s="1"/>
  <c r="I57" i="121" a="1"/>
  <c r="I57" i="121" s="1"/>
  <c r="H57" i="121" a="1"/>
  <c r="H57" i="121" s="1"/>
  <c r="G57" i="121" a="1"/>
  <c r="G57" i="121" s="1"/>
  <c r="F57" i="121" a="1"/>
  <c r="F57" i="121" s="1"/>
  <c r="E57" i="121" a="1"/>
  <c r="E57" i="121" s="1"/>
  <c r="D57" i="121" a="1"/>
  <c r="D57" i="121" s="1"/>
  <c r="I56" i="121" a="1"/>
  <c r="I56" i="121" s="1"/>
  <c r="H56" i="121" a="1"/>
  <c r="H56" i="121" s="1"/>
  <c r="G56" i="121" a="1"/>
  <c r="G56" i="121" s="1"/>
  <c r="F56" i="121" a="1"/>
  <c r="F56" i="121" s="1"/>
  <c r="E56" i="121" a="1"/>
  <c r="E56" i="121" s="1"/>
  <c r="D56" i="121" a="1"/>
  <c r="D56" i="121" s="1"/>
  <c r="I55" i="121" a="1"/>
  <c r="I55" i="121" s="1"/>
  <c r="H55" i="121" a="1"/>
  <c r="H55" i="121" s="1"/>
  <c r="G55" i="121" a="1"/>
  <c r="G55" i="121" s="1"/>
  <c r="F55" i="121" a="1"/>
  <c r="F55" i="121" s="1"/>
  <c r="E55" i="121" a="1"/>
  <c r="E55" i="121" s="1"/>
  <c r="D55" i="121" a="1"/>
  <c r="D55" i="121" s="1"/>
  <c r="I54" i="121" a="1"/>
  <c r="I54" i="121" s="1"/>
  <c r="H54" i="121" a="1"/>
  <c r="H54" i="121" s="1"/>
  <c r="G54" i="121" a="1"/>
  <c r="G54" i="121" s="1"/>
  <c r="F54" i="121" a="1"/>
  <c r="F54" i="121" s="1"/>
  <c r="E54" i="121" a="1"/>
  <c r="E54" i="121" s="1"/>
  <c r="D54" i="121" a="1"/>
  <c r="D54" i="121" s="1"/>
  <c r="I53" i="121" a="1"/>
  <c r="I53" i="121" s="1"/>
  <c r="H53" i="121" a="1"/>
  <c r="H53" i="121" s="1"/>
  <c r="G53" i="121" a="1"/>
  <c r="G53" i="121" s="1"/>
  <c r="F53" i="121" a="1"/>
  <c r="F53" i="121" s="1"/>
  <c r="E53" i="121" a="1"/>
  <c r="E53" i="121" s="1"/>
  <c r="D53" i="121" a="1"/>
  <c r="D53" i="121" s="1"/>
  <c r="I52" i="121" a="1"/>
  <c r="I52" i="121" s="1"/>
  <c r="H52" i="121" a="1"/>
  <c r="H52" i="121" s="1"/>
  <c r="G52" i="121" a="1"/>
  <c r="G52" i="121" s="1"/>
  <c r="F52" i="121" a="1"/>
  <c r="F52" i="121" s="1"/>
  <c r="E52" i="121" a="1"/>
  <c r="E52" i="121" s="1"/>
  <c r="D52" i="121" a="1"/>
  <c r="D52" i="121" s="1"/>
  <c r="I51" i="121" a="1"/>
  <c r="I51" i="121" s="1"/>
  <c r="H51" i="121" a="1"/>
  <c r="H51" i="121" s="1"/>
  <c r="G51" i="121" a="1"/>
  <c r="G51" i="121" s="1"/>
  <c r="F51" i="121" a="1"/>
  <c r="F51" i="121" s="1"/>
  <c r="E51" i="121" a="1"/>
  <c r="E51" i="121" s="1"/>
  <c r="D51" i="121" a="1"/>
  <c r="D51" i="121" s="1"/>
  <c r="I50" i="121" a="1"/>
  <c r="I50" i="121" s="1"/>
  <c r="H50" i="121" a="1"/>
  <c r="H50" i="121" s="1"/>
  <c r="G50" i="121" a="1"/>
  <c r="G50" i="121" s="1"/>
  <c r="F50" i="121" a="1"/>
  <c r="F50" i="121" s="1"/>
  <c r="E50" i="121" a="1"/>
  <c r="E50" i="121" s="1"/>
  <c r="D50" i="121" a="1"/>
  <c r="D50" i="121" s="1"/>
  <c r="I49" i="121" a="1"/>
  <c r="I49" i="121" s="1"/>
  <c r="H49" i="121" a="1"/>
  <c r="H49" i="121" s="1"/>
  <c r="G49" i="121" a="1"/>
  <c r="G49" i="121" s="1"/>
  <c r="F49" i="121" a="1"/>
  <c r="F49" i="121" s="1"/>
  <c r="E49" i="121" a="1"/>
  <c r="E49" i="121" s="1"/>
  <c r="D49" i="121" a="1"/>
  <c r="D49" i="121" s="1"/>
  <c r="I48" i="121" a="1"/>
  <c r="I48" i="121" s="1"/>
  <c r="H48" i="121" a="1"/>
  <c r="H48" i="121" s="1"/>
  <c r="G48" i="121" a="1"/>
  <c r="G48" i="121" s="1"/>
  <c r="F48" i="121" a="1"/>
  <c r="F48" i="121" s="1"/>
  <c r="E48" i="121" a="1"/>
  <c r="E48" i="121" s="1"/>
  <c r="D48" i="121" a="1"/>
  <c r="D48" i="121" s="1"/>
  <c r="I47" i="121" a="1"/>
  <c r="I47" i="121" s="1"/>
  <c r="H47" i="121" a="1"/>
  <c r="H47" i="121" s="1"/>
  <c r="G47" i="121" a="1"/>
  <c r="G47" i="121" s="1"/>
  <c r="F47" i="121" a="1"/>
  <c r="F47" i="121" s="1"/>
  <c r="E47" i="121" a="1"/>
  <c r="E47" i="121" s="1"/>
  <c r="D47" i="121" a="1"/>
  <c r="D47" i="121" s="1"/>
  <c r="I46" i="121" a="1"/>
  <c r="I46" i="121" s="1"/>
  <c r="H46" i="121" a="1"/>
  <c r="H46" i="121" s="1"/>
  <c r="G46" i="121" a="1"/>
  <c r="G46" i="121" s="1"/>
  <c r="F46" i="121" a="1"/>
  <c r="F46" i="121" s="1"/>
  <c r="E46" i="121" a="1"/>
  <c r="E46" i="121" s="1"/>
  <c r="D46" i="121" a="1"/>
  <c r="D46" i="121" s="1"/>
  <c r="I45" i="121" a="1"/>
  <c r="I45" i="121" s="1"/>
  <c r="H45" i="121" a="1"/>
  <c r="H45" i="121" s="1"/>
  <c r="G45" i="121" a="1"/>
  <c r="G45" i="121" s="1"/>
  <c r="F45" i="121" a="1"/>
  <c r="F45" i="121" s="1"/>
  <c r="E45" i="121" a="1"/>
  <c r="E45" i="121" s="1"/>
  <c r="D45" i="121" a="1"/>
  <c r="D45" i="121" s="1"/>
  <c r="I44" i="121" a="1"/>
  <c r="I44" i="121" s="1"/>
  <c r="H44" i="121" a="1"/>
  <c r="H44" i="121" s="1"/>
  <c r="G44" i="121" a="1"/>
  <c r="G44" i="121" s="1"/>
  <c r="F44" i="121" a="1"/>
  <c r="F44" i="121" s="1"/>
  <c r="E44" i="121" a="1"/>
  <c r="E44" i="121" s="1"/>
  <c r="D44" i="121" a="1"/>
  <c r="D44" i="121" s="1"/>
  <c r="I43" i="121" a="1"/>
  <c r="I43" i="121" s="1"/>
  <c r="H43" i="121" a="1"/>
  <c r="H43" i="121" s="1"/>
  <c r="G43" i="121" a="1"/>
  <c r="G43" i="121" s="1"/>
  <c r="F43" i="121" a="1"/>
  <c r="F43" i="121" s="1"/>
  <c r="E43" i="121" a="1"/>
  <c r="E43" i="121" s="1"/>
  <c r="D43" i="121" a="1"/>
  <c r="D43" i="121" s="1"/>
  <c r="I42" i="121" a="1"/>
  <c r="I42" i="121" s="1"/>
  <c r="H42" i="121" a="1"/>
  <c r="H42" i="121" s="1"/>
  <c r="G42" i="121" a="1"/>
  <c r="G42" i="121" s="1"/>
  <c r="F42" i="121" a="1"/>
  <c r="F42" i="121" s="1"/>
  <c r="E42" i="121" a="1"/>
  <c r="E42" i="121" s="1"/>
  <c r="D42" i="121" a="1"/>
  <c r="D42" i="121" s="1"/>
  <c r="I41" i="121" a="1"/>
  <c r="I41" i="121" s="1"/>
  <c r="H41" i="121" a="1"/>
  <c r="H41" i="121" s="1"/>
  <c r="G41" i="121" a="1"/>
  <c r="G41" i="121" s="1"/>
  <c r="F41" i="121" a="1"/>
  <c r="F41" i="121" s="1"/>
  <c r="E41" i="121" a="1"/>
  <c r="E41" i="121" s="1"/>
  <c r="D41" i="121" a="1"/>
  <c r="D41" i="121" s="1"/>
  <c r="I40" i="121" a="1"/>
  <c r="I40" i="121" s="1"/>
  <c r="H40" i="121" a="1"/>
  <c r="H40" i="121" s="1"/>
  <c r="G40" i="121" a="1"/>
  <c r="G40" i="121" s="1"/>
  <c r="F40" i="121" a="1"/>
  <c r="F40" i="121" s="1"/>
  <c r="E40" i="121" a="1"/>
  <c r="E40" i="121" s="1"/>
  <c r="D40" i="121" a="1"/>
  <c r="D40" i="121" s="1"/>
  <c r="I39" i="121" a="1"/>
  <c r="I39" i="121" s="1"/>
  <c r="H39" i="121" a="1"/>
  <c r="H39" i="121" s="1"/>
  <c r="G39" i="121" a="1"/>
  <c r="G39" i="121" s="1"/>
  <c r="F39" i="121" a="1"/>
  <c r="F39" i="121" s="1"/>
  <c r="E39" i="121" a="1"/>
  <c r="E39" i="121" s="1"/>
  <c r="D39" i="121" a="1"/>
  <c r="D39" i="121" s="1"/>
  <c r="I38" i="121" a="1"/>
  <c r="I38" i="121" s="1"/>
  <c r="H38" i="121" a="1"/>
  <c r="H38" i="121" s="1"/>
  <c r="G38" i="121" a="1"/>
  <c r="G38" i="121" s="1"/>
  <c r="F38" i="121" a="1"/>
  <c r="F38" i="121" s="1"/>
  <c r="E38" i="121" a="1"/>
  <c r="E38" i="121" s="1"/>
  <c r="D38" i="121" a="1"/>
  <c r="D38" i="121" s="1"/>
  <c r="I37" i="121" a="1"/>
  <c r="I37" i="121" s="1"/>
  <c r="H37" i="121" a="1"/>
  <c r="H37" i="121" s="1"/>
  <c r="G37" i="121" a="1"/>
  <c r="G37" i="121" s="1"/>
  <c r="F37" i="121" a="1"/>
  <c r="F37" i="121" s="1"/>
  <c r="E37" i="121" a="1"/>
  <c r="E37" i="121" s="1"/>
  <c r="D37" i="121" a="1"/>
  <c r="D37" i="121" s="1"/>
  <c r="I36" i="121" a="1"/>
  <c r="I36" i="121" s="1"/>
  <c r="H36" i="121" a="1"/>
  <c r="H36" i="121" s="1"/>
  <c r="G36" i="121" a="1"/>
  <c r="G36" i="121" s="1"/>
  <c r="F36" i="121" a="1"/>
  <c r="F36" i="121" s="1"/>
  <c r="E36" i="121" a="1"/>
  <c r="E36" i="121" s="1"/>
  <c r="D36" i="121" a="1"/>
  <c r="D36" i="121" s="1"/>
  <c r="I35" i="121" a="1"/>
  <c r="I35" i="121" s="1"/>
  <c r="H35" i="121" a="1"/>
  <c r="H35" i="121" s="1"/>
  <c r="G35" i="121" a="1"/>
  <c r="G35" i="121" s="1"/>
  <c r="F35" i="121" a="1"/>
  <c r="F35" i="121" s="1"/>
  <c r="E35" i="121" a="1"/>
  <c r="E35" i="121" s="1"/>
  <c r="D35" i="121" a="1"/>
  <c r="D35" i="121" s="1"/>
  <c r="I34" i="121" a="1"/>
  <c r="I34" i="121" s="1"/>
  <c r="H34" i="121" a="1"/>
  <c r="H34" i="121" s="1"/>
  <c r="G34" i="121" a="1"/>
  <c r="G34" i="121" s="1"/>
  <c r="F34" i="121" a="1"/>
  <c r="F34" i="121" s="1"/>
  <c r="E34" i="121" a="1"/>
  <c r="E34" i="121" s="1"/>
  <c r="D34" i="121" a="1"/>
  <c r="D34" i="121" s="1"/>
  <c r="R85" i="120" a="1"/>
  <c r="R85" i="120" s="1"/>
  <c r="N85" i="120" a="1"/>
  <c r="N85" i="120" s="1"/>
  <c r="H85" i="120" a="1"/>
  <c r="H85" i="120" s="1"/>
  <c r="D85" i="120" a="1"/>
  <c r="D85" i="120" s="1"/>
  <c r="O83" i="120" a="1"/>
  <c r="O83" i="120" s="1"/>
  <c r="E83" i="120" a="1"/>
  <c r="E83" i="120" s="1"/>
  <c r="O82" i="120" a="1"/>
  <c r="O82" i="120" s="1"/>
  <c r="E82" i="120" a="1"/>
  <c r="E82" i="120" s="1"/>
  <c r="N78" i="120" a="1"/>
  <c r="N78" i="120" s="1"/>
  <c r="D78" i="120" a="1"/>
  <c r="D78" i="120" s="1"/>
  <c r="N77" i="120" a="1"/>
  <c r="N77" i="120" s="1"/>
  <c r="D77" i="120" a="1"/>
  <c r="D77" i="120" s="1"/>
  <c r="I72" i="120"/>
  <c r="I71" i="120"/>
  <c r="I70" i="120"/>
  <c r="S67" i="120"/>
  <c r="Q67" i="120" a="1"/>
  <c r="Q67" i="120" s="1"/>
  <c r="N67" i="120" a="1"/>
  <c r="N67" i="120" s="1"/>
  <c r="I67" i="120"/>
  <c r="G67" i="120" a="1"/>
  <c r="G67" i="120" s="1"/>
  <c r="D67" i="120" a="1"/>
  <c r="D67" i="120" s="1"/>
  <c r="O65" i="120" a="1"/>
  <c r="O65" i="120" s="1"/>
  <c r="E65" i="120" a="1"/>
  <c r="E65" i="120" s="1"/>
  <c r="P74" i="120" s="1"/>
  <c r="O64" i="120" a="1"/>
  <c r="O64" i="120" s="1"/>
  <c r="E64" i="120" a="1"/>
  <c r="E64" i="120" s="1"/>
  <c r="N60" i="120" a="1"/>
  <c r="N60" i="120" s="1"/>
  <c r="D60" i="120" a="1"/>
  <c r="D60" i="120" s="1"/>
  <c r="N59" i="120" a="1"/>
  <c r="N59" i="120" s="1"/>
  <c r="D59" i="120" a="1"/>
  <c r="D59" i="120" s="1"/>
  <c r="I52" i="120"/>
  <c r="I51" i="120"/>
  <c r="Q48" i="120" a="1"/>
  <c r="Q48" i="120" s="1"/>
  <c r="N48" i="120" a="1"/>
  <c r="N48" i="120" s="1"/>
  <c r="G48" i="120" a="1"/>
  <c r="G48" i="120" s="1"/>
  <c r="D48" i="120" a="1"/>
  <c r="D48" i="120" s="1"/>
  <c r="O46" i="120" a="1"/>
  <c r="O46" i="120" s="1"/>
  <c r="E46" i="120" a="1"/>
  <c r="E46" i="120" s="1"/>
  <c r="O45" i="120" a="1"/>
  <c r="O45" i="120" s="1"/>
  <c r="E45" i="120" a="1"/>
  <c r="E45" i="120" s="1"/>
  <c r="N41" i="120" a="1"/>
  <c r="N41" i="120" s="1"/>
  <c r="D41" i="120" a="1"/>
  <c r="D41" i="120" s="1"/>
  <c r="N40" i="120" a="1"/>
  <c r="N40" i="120" s="1"/>
  <c r="D40" i="120" a="1"/>
  <c r="D40" i="120" s="1"/>
  <c r="S32" i="120"/>
  <c r="Q32" i="120" a="1"/>
  <c r="Q32" i="120" s="1"/>
  <c r="N32" i="120" a="1"/>
  <c r="N32" i="120" s="1"/>
  <c r="I32" i="120"/>
  <c r="G32" i="120" a="1"/>
  <c r="G32" i="120" s="1"/>
  <c r="D32" i="120" a="1"/>
  <c r="D32" i="120" s="1"/>
  <c r="O30" i="120" a="1"/>
  <c r="O30" i="120" s="1"/>
  <c r="P35" i="120" s="1"/>
  <c r="E30" i="120" a="1"/>
  <c r="E30" i="120" s="1"/>
  <c r="F35" i="120" s="1"/>
  <c r="O29" i="120" a="1"/>
  <c r="O29" i="120" s="1"/>
  <c r="E29" i="120" a="1"/>
  <c r="E29" i="120" s="1"/>
  <c r="N25" i="120" a="1"/>
  <c r="N25" i="120" s="1"/>
  <c r="D25" i="120" a="1"/>
  <c r="D25" i="120" s="1"/>
  <c r="N24" i="120" a="1"/>
  <c r="N24" i="120" s="1"/>
  <c r="D24" i="120" a="1"/>
  <c r="D24" i="120" s="1"/>
  <c r="J16" i="120"/>
  <c r="T13" i="120"/>
  <c r="R13" i="120" a="1"/>
  <c r="R13" i="120" s="1"/>
  <c r="N13" i="120" a="1"/>
  <c r="N13" i="120" s="1"/>
  <c r="J13" i="120"/>
  <c r="H13" i="120" a="1"/>
  <c r="H13" i="120" s="1"/>
  <c r="D13" i="120" a="1"/>
  <c r="D13" i="120" s="1"/>
  <c r="O11" i="120" a="1"/>
  <c r="O11" i="120" s="1"/>
  <c r="E11" i="120" a="1"/>
  <c r="E11" i="120" s="1"/>
  <c r="O10" i="120" a="1"/>
  <c r="O10" i="120" s="1"/>
  <c r="E10" i="120" a="1"/>
  <c r="E10" i="120" s="1"/>
  <c r="N6" i="120" a="1"/>
  <c r="N6" i="120" s="1"/>
  <c r="D6" i="120" a="1"/>
  <c r="D6" i="120" s="1"/>
  <c r="N5" i="120" a="1"/>
  <c r="N5" i="120" s="1"/>
  <c r="D5" i="120" a="1"/>
  <c r="D5" i="120" s="1"/>
  <c r="J615" i="119" a="1"/>
  <c r="J615" i="119" s="1"/>
  <c r="G601" i="119" a="1"/>
  <c r="G601" i="119" s="1"/>
  <c r="D601" i="119" a="1"/>
  <c r="D601" i="119" s="1"/>
  <c r="E599" i="119" a="1"/>
  <c r="E599" i="119" s="1"/>
  <c r="E598" i="119" a="1"/>
  <c r="E598" i="119" s="1"/>
  <c r="D593" i="119" a="1"/>
  <c r="D593" i="119" s="1"/>
  <c r="D592" i="119" a="1"/>
  <c r="D592" i="119" s="1"/>
  <c r="E586" i="119" a="1"/>
  <c r="E586" i="119" s="1"/>
  <c r="F588" i="119" s="1"/>
  <c r="E585" i="119" a="1"/>
  <c r="E585" i="119" s="1"/>
  <c r="D583" i="119" a="1"/>
  <c r="D583" i="119" s="1"/>
  <c r="D582" i="119" a="1"/>
  <c r="D582" i="119" s="1"/>
  <c r="N578" i="119" a="1"/>
  <c r="N578" i="119" s="1"/>
  <c r="F578" i="119" a="1"/>
  <c r="F578" i="119" s="1"/>
  <c r="L575" i="119" a="1"/>
  <c r="L575" i="119" s="1"/>
  <c r="D575" i="119" a="1"/>
  <c r="D575" i="119" s="1"/>
  <c r="P569" i="119" a="1"/>
  <c r="P569" i="119" s="1"/>
  <c r="L569" i="119" a="1"/>
  <c r="L569" i="119" s="1"/>
  <c r="H569" i="119" a="1"/>
  <c r="H569" i="119" s="1"/>
  <c r="D569" i="119" a="1"/>
  <c r="D569" i="119" s="1"/>
  <c r="E565" i="119" a="1"/>
  <c r="E565" i="119" s="1"/>
  <c r="N573" i="119" s="1"/>
  <c r="E564" i="119" a="1"/>
  <c r="E564" i="119" s="1"/>
  <c r="D560" i="119" a="1"/>
  <c r="D560" i="119" s="1"/>
  <c r="D559" i="119" a="1"/>
  <c r="D559" i="119" s="1"/>
  <c r="I553" i="119"/>
  <c r="I549" i="119"/>
  <c r="I548" i="119"/>
  <c r="I547" i="119"/>
  <c r="G547" i="119" a="1"/>
  <c r="G547" i="119" s="1"/>
  <c r="D547" i="119" a="1"/>
  <c r="D547" i="119" s="1"/>
  <c r="E545" i="119" a="1"/>
  <c r="E545" i="119" s="1"/>
  <c r="E544" i="119" a="1"/>
  <c r="E544" i="119" s="1"/>
  <c r="D539" i="119" a="1"/>
  <c r="D539" i="119" s="1"/>
  <c r="D538" i="119" a="1"/>
  <c r="D538" i="119" s="1"/>
  <c r="D537" i="119" a="1"/>
  <c r="D537" i="119" s="1"/>
  <c r="I531" i="119"/>
  <c r="I529" i="119"/>
  <c r="G529" i="119" a="1"/>
  <c r="G529" i="119" s="1"/>
  <c r="D529" i="119" a="1"/>
  <c r="D529" i="119" s="1"/>
  <c r="E527" i="119" a="1"/>
  <c r="E527" i="119" s="1"/>
  <c r="E526" i="119" a="1"/>
  <c r="E526" i="119" s="1"/>
  <c r="D522" i="119" a="1"/>
  <c r="D522" i="119" s="1"/>
  <c r="D521" i="119" a="1"/>
  <c r="D521" i="119" s="1"/>
  <c r="G515" i="119" a="1"/>
  <c r="G515" i="119" s="1"/>
  <c r="D515" i="119" a="1"/>
  <c r="D515" i="119" s="1"/>
  <c r="E513" i="119" a="1"/>
  <c r="E513" i="119" s="1"/>
  <c r="E512" i="119" a="1"/>
  <c r="E512" i="119" s="1"/>
  <c r="D507" i="119" a="1"/>
  <c r="D507" i="119" s="1"/>
  <c r="D506" i="119" a="1"/>
  <c r="D506" i="119" s="1"/>
  <c r="K495" i="119" a="1"/>
  <c r="K495" i="119" s="1"/>
  <c r="K493" i="119" a="1"/>
  <c r="K493" i="119" s="1"/>
  <c r="K492" i="119" a="1"/>
  <c r="K492" i="119" s="1"/>
  <c r="K491" i="119" a="1"/>
  <c r="K491" i="119" s="1"/>
  <c r="K494" i="119" a="1"/>
  <c r="K494" i="119" s="1"/>
  <c r="E481" i="119"/>
  <c r="I481" i="119" s="1" a="1"/>
  <c r="I481" i="119" s="1"/>
  <c r="E480" i="119"/>
  <c r="E479" i="119"/>
  <c r="I479" i="119" s="1" a="1"/>
  <c r="I479" i="119" s="1"/>
  <c r="E470" i="119"/>
  <c r="I470" i="119" s="1" a="1"/>
  <c r="I470" i="119" s="1"/>
  <c r="E469" i="119"/>
  <c r="E468" i="119"/>
  <c r="I468" i="119" s="1" a="1"/>
  <c r="I468" i="119" s="1"/>
  <c r="E467" i="119"/>
  <c r="E466" i="119"/>
  <c r="I466" i="119" s="1" a="1"/>
  <c r="I466" i="119" s="1"/>
  <c r="J449" i="119" a="1"/>
  <c r="J449" i="119" s="1"/>
  <c r="J453" i="119" a="1"/>
  <c r="J453" i="119" s="1"/>
  <c r="J435" i="119" a="1"/>
  <c r="J435" i="119" s="1"/>
  <c r="G424" i="119" a="1"/>
  <c r="G424" i="119" s="1"/>
  <c r="D424" i="119" a="1"/>
  <c r="D424" i="119" s="1"/>
  <c r="E422" i="119" a="1"/>
  <c r="E422" i="119" s="1"/>
  <c r="E421" i="119" a="1"/>
  <c r="E421" i="119" s="1"/>
  <c r="D416" i="119" a="1"/>
  <c r="D416" i="119" s="1"/>
  <c r="D415" i="119" a="1"/>
  <c r="D415" i="119" s="1"/>
  <c r="J407" i="119" a="1"/>
  <c r="J407" i="119" s="1"/>
  <c r="J406" i="119" a="1"/>
  <c r="J406" i="119" s="1"/>
  <c r="K404" i="119"/>
  <c r="J404" i="119" a="1"/>
  <c r="J404" i="119" s="1"/>
  <c r="J402" i="119" a="1"/>
  <c r="J402" i="119" s="1"/>
  <c r="J400" i="119" a="1"/>
  <c r="J400" i="119" s="1"/>
  <c r="J403" i="119" a="1"/>
  <c r="J403" i="119" s="1"/>
  <c r="F392" i="119" a="1"/>
  <c r="F392" i="119" s="1"/>
  <c r="D392" i="119" a="1"/>
  <c r="D392" i="119" s="1"/>
  <c r="E390" i="119" a="1"/>
  <c r="E390" i="119" s="1"/>
  <c r="E389" i="119" a="1"/>
  <c r="E389" i="119" s="1"/>
  <c r="D384" i="119" a="1"/>
  <c r="D384" i="119" s="1"/>
  <c r="D383" i="119" a="1"/>
  <c r="D383" i="119" s="1"/>
  <c r="F362" i="119" a="1"/>
  <c r="F362" i="119" s="1"/>
  <c r="D362" i="119" a="1"/>
  <c r="D362" i="119" s="1"/>
  <c r="E360" i="119" a="1"/>
  <c r="E360" i="119" s="1"/>
  <c r="E359" i="119" a="1"/>
  <c r="E359" i="119" s="1"/>
  <c r="D354" i="119" a="1"/>
  <c r="D354" i="119" s="1"/>
  <c r="D353" i="119" a="1"/>
  <c r="D353" i="119" s="1"/>
  <c r="D352" i="119" a="1"/>
  <c r="D352" i="119" s="1"/>
  <c r="K345" i="119" a="1"/>
  <c r="K345" i="119" s="1"/>
  <c r="L343" i="119"/>
  <c r="K343" i="119" a="1"/>
  <c r="K343" i="119" s="1"/>
  <c r="L342" i="119"/>
  <c r="K342" i="119" a="1"/>
  <c r="K342" i="119" s="1"/>
  <c r="L341" i="119"/>
  <c r="L340" i="119"/>
  <c r="L339" i="119"/>
  <c r="K339" i="119" a="1"/>
  <c r="K339" i="119" s="1"/>
  <c r="L338" i="119"/>
  <c r="K338" i="119" a="1"/>
  <c r="K338" i="119" s="1"/>
  <c r="L337" i="119"/>
  <c r="K337" i="119" a="1"/>
  <c r="K337" i="119" s="1"/>
  <c r="L345" i="119"/>
  <c r="K341" i="119" a="1"/>
  <c r="K341" i="119" s="1"/>
  <c r="G329" i="119" a="1"/>
  <c r="G329" i="119" s="1"/>
  <c r="D329" i="119" a="1"/>
  <c r="D329" i="119" s="1"/>
  <c r="E327" i="119" a="1"/>
  <c r="E327" i="119" s="1"/>
  <c r="E326" i="119" a="1"/>
  <c r="E326" i="119" s="1"/>
  <c r="D322" i="119" a="1"/>
  <c r="D322" i="119" s="1"/>
  <c r="D321" i="119" a="1"/>
  <c r="D321" i="119" s="1"/>
  <c r="F296" i="119" a="1"/>
  <c r="F296" i="119" s="1"/>
  <c r="D296" i="119" a="1"/>
  <c r="D296" i="119" s="1"/>
  <c r="E294" i="119" a="1"/>
  <c r="E294" i="119" s="1"/>
  <c r="E293" i="119" a="1"/>
  <c r="E293" i="119" s="1"/>
  <c r="D289" i="119" a="1"/>
  <c r="D289" i="119" s="1"/>
  <c r="D288" i="119" a="1"/>
  <c r="D288" i="119" s="1"/>
  <c r="G265" i="119" a="1"/>
  <c r="G265" i="119" s="1"/>
  <c r="D265" i="119" a="1"/>
  <c r="D265" i="119" s="1"/>
  <c r="E263" i="119" a="1"/>
  <c r="E263" i="119" s="1"/>
  <c r="E262" i="119" a="1"/>
  <c r="E262" i="119" s="1"/>
  <c r="D257" i="119" a="1"/>
  <c r="D257" i="119" s="1"/>
  <c r="D256" i="119" a="1"/>
  <c r="D256" i="119" s="1"/>
  <c r="G209" i="119" a="1"/>
  <c r="G209" i="119" s="1"/>
  <c r="D209" i="119" a="1"/>
  <c r="D209" i="119" s="1"/>
  <c r="E207" i="119"/>
  <c r="E207" i="119" a="1"/>
  <c r="E206" i="119" a="1"/>
  <c r="E206" i="119" s="1"/>
  <c r="D202" i="119" a="1"/>
  <c r="D202" i="119" s="1"/>
  <c r="D201" i="119" a="1"/>
  <c r="D201" i="119" s="1"/>
  <c r="D200" i="119" a="1"/>
  <c r="D200" i="119" s="1"/>
  <c r="G194" i="119" a="1"/>
  <c r="G194" i="119" s="1"/>
  <c r="D194" i="119" a="1"/>
  <c r="D194" i="119" s="1"/>
  <c r="E192" i="119" a="1"/>
  <c r="E192" i="119" s="1"/>
  <c r="E191" i="119" a="1"/>
  <c r="E191" i="119" s="1"/>
  <c r="D187" i="119" a="1"/>
  <c r="D187" i="119" s="1"/>
  <c r="D186" i="119" a="1"/>
  <c r="D186" i="119" s="1"/>
  <c r="G180" i="119" a="1"/>
  <c r="G180" i="119" s="1"/>
  <c r="D180" i="119" a="1"/>
  <c r="D180" i="119" s="1"/>
  <c r="E178" i="119" a="1"/>
  <c r="E178" i="119" s="1"/>
  <c r="E177" i="119" a="1"/>
  <c r="E177" i="119" s="1"/>
  <c r="D173" i="119" a="1"/>
  <c r="D173" i="119" s="1"/>
  <c r="D172" i="119" a="1"/>
  <c r="D172" i="119" s="1"/>
  <c r="D171" i="119" a="1"/>
  <c r="D171" i="119" s="1"/>
  <c r="E164" i="119"/>
  <c r="I164" i="119" s="1" a="1"/>
  <c r="I164" i="119" s="1"/>
  <c r="E163" i="119"/>
  <c r="I163" i="119" s="1" a="1"/>
  <c r="I163" i="119" s="1"/>
  <c r="E162" i="119"/>
  <c r="I162" i="119" s="1" a="1"/>
  <c r="I162" i="119" s="1"/>
  <c r="G157" i="119" a="1"/>
  <c r="G157" i="119" s="1"/>
  <c r="D157" i="119" a="1"/>
  <c r="D157" i="119" s="1"/>
  <c r="E155" i="119" a="1"/>
  <c r="E155" i="119" s="1"/>
  <c r="E154" i="119" a="1"/>
  <c r="E154" i="119" s="1"/>
  <c r="D150" i="119" a="1"/>
  <c r="D150" i="119" s="1"/>
  <c r="D149" i="119" a="1"/>
  <c r="D149" i="119" s="1"/>
  <c r="E139" i="119"/>
  <c r="E138" i="119"/>
  <c r="E137" i="119"/>
  <c r="I137" i="119" s="1" a="1"/>
  <c r="I137" i="119" s="1"/>
  <c r="E136" i="119"/>
  <c r="I136" i="119" s="1" a="1"/>
  <c r="I136" i="119" s="1"/>
  <c r="G106" i="119" a="1"/>
  <c r="G106" i="119" s="1"/>
  <c r="D106" i="119" a="1"/>
  <c r="D106" i="119" s="1"/>
  <c r="E104" i="119" a="1"/>
  <c r="E104" i="119" s="1"/>
  <c r="E103" i="119" a="1"/>
  <c r="E103" i="119" s="1"/>
  <c r="D99" i="119" a="1"/>
  <c r="D99" i="119" s="1"/>
  <c r="D98" i="119" a="1"/>
  <c r="D98" i="119" s="1"/>
  <c r="G13" i="119" a="1"/>
  <c r="G13" i="119" s="1"/>
  <c r="D13" i="119" a="1"/>
  <c r="D13" i="119" s="1"/>
  <c r="E11" i="119" a="1"/>
  <c r="E11" i="119" s="1"/>
  <c r="E10" i="119" a="1"/>
  <c r="E10" i="119" s="1"/>
  <c r="D6" i="119" a="1"/>
  <c r="D6" i="119" s="1"/>
  <c r="D5" i="119" a="1"/>
  <c r="D5" i="119" s="1"/>
  <c r="R19" i="115"/>
  <c r="O19" i="115"/>
  <c r="H19" i="115"/>
  <c r="L19" i="115" s="1"/>
  <c r="O18" i="115"/>
  <c r="L18" i="115"/>
  <c r="H18" i="115"/>
  <c r="R18" i="115" s="1"/>
  <c r="H17" i="115"/>
  <c r="R17" i="115" s="1"/>
  <c r="H16" i="115"/>
  <c r="O16" i="115" s="1"/>
  <c r="H15" i="115"/>
  <c r="L15" i="115" s="1"/>
  <c r="R14" i="115"/>
  <c r="O14" i="115"/>
  <c r="L14" i="115"/>
  <c r="H14" i="115"/>
  <c r="H13" i="115"/>
  <c r="R13" i="115" s="1"/>
  <c r="O12" i="115"/>
  <c r="L12" i="115"/>
  <c r="H12" i="115"/>
  <c r="R12" i="115" s="1"/>
  <c r="H11" i="115"/>
  <c r="R11" i="115" s="1"/>
  <c r="H10" i="115"/>
  <c r="R10" i="115" s="1"/>
  <c r="Q8" i="115"/>
  <c r="Q8" i="115" a="1"/>
  <c r="N8" i="115" a="1"/>
  <c r="N8" i="115" s="1"/>
  <c r="K8" i="115"/>
  <c r="K8" i="115" a="1"/>
  <c r="F235" i="112" a="1"/>
  <c r="F235" i="112" s="1"/>
  <c r="E235" i="112" a="1"/>
  <c r="E235" i="112" s="1"/>
  <c r="D235" i="112" a="1"/>
  <c r="D235" i="112" s="1"/>
  <c r="F234" i="112" a="1"/>
  <c r="F234" i="112" s="1"/>
  <c r="E234" i="112" a="1"/>
  <c r="E234" i="112" s="1"/>
  <c r="D234" i="112" a="1"/>
  <c r="D234" i="112" s="1"/>
  <c r="F233" i="112" a="1"/>
  <c r="F233" i="112" s="1"/>
  <c r="E233" i="112" a="1"/>
  <c r="E233" i="112" s="1"/>
  <c r="D233" i="112" a="1"/>
  <c r="D233" i="112" s="1"/>
  <c r="F232" i="112" a="1"/>
  <c r="F232" i="112" s="1"/>
  <c r="E232" i="112" a="1"/>
  <c r="E232" i="112" s="1"/>
  <c r="D232" i="112" a="1"/>
  <c r="D232" i="112" s="1"/>
  <c r="F231" i="112" a="1"/>
  <c r="F231" i="112" s="1"/>
  <c r="E231" i="112" a="1"/>
  <c r="E231" i="112" s="1"/>
  <c r="D231" i="112" a="1"/>
  <c r="D231" i="112" s="1"/>
  <c r="F230" i="112" a="1"/>
  <c r="F230" i="112" s="1"/>
  <c r="E230" i="112" a="1"/>
  <c r="E230" i="112" s="1"/>
  <c r="D230" i="112" a="1"/>
  <c r="D230" i="112" s="1"/>
  <c r="F229" i="112" a="1"/>
  <c r="F229" i="112" s="1"/>
  <c r="E229" i="112" a="1"/>
  <c r="E229" i="112" s="1"/>
  <c r="D229" i="112" a="1"/>
  <c r="D229" i="112" s="1"/>
  <c r="F228" i="112" a="1"/>
  <c r="F228" i="112" s="1"/>
  <c r="E228" i="112" a="1"/>
  <c r="E228" i="112" s="1"/>
  <c r="D228" i="112" a="1"/>
  <c r="D228" i="112" s="1"/>
  <c r="F227" i="112" a="1"/>
  <c r="F227" i="112" s="1"/>
  <c r="E227" i="112" a="1"/>
  <c r="E227" i="112" s="1"/>
  <c r="D227" i="112" a="1"/>
  <c r="D227" i="112" s="1"/>
  <c r="F226" i="112" a="1"/>
  <c r="F226" i="112" s="1"/>
  <c r="E226" i="112" a="1"/>
  <c r="E226" i="112" s="1"/>
  <c r="D226" i="112" a="1"/>
  <c r="D226" i="112" s="1"/>
  <c r="F225" i="112" a="1"/>
  <c r="F225" i="112" s="1"/>
  <c r="E225" i="112" a="1"/>
  <c r="E225" i="112" s="1"/>
  <c r="D225" i="112" a="1"/>
  <c r="D225" i="112" s="1"/>
  <c r="F224" i="112" a="1"/>
  <c r="F224" i="112" s="1"/>
  <c r="E224" i="112" a="1"/>
  <c r="E224" i="112" s="1"/>
  <c r="D224" i="112" a="1"/>
  <c r="D224" i="112" s="1"/>
  <c r="F223" i="112" a="1"/>
  <c r="F223" i="112" s="1"/>
  <c r="E223" i="112" a="1"/>
  <c r="E223" i="112" s="1"/>
  <c r="D223" i="112" a="1"/>
  <c r="D223" i="112" s="1"/>
  <c r="F222" i="112" a="1"/>
  <c r="F222" i="112" s="1"/>
  <c r="E222" i="112" a="1"/>
  <c r="E222" i="112" s="1"/>
  <c r="D222" i="112" a="1"/>
  <c r="D222" i="112" s="1"/>
  <c r="F221" i="112" a="1"/>
  <c r="F221" i="112" s="1"/>
  <c r="E221" i="112" a="1"/>
  <c r="E221" i="112" s="1"/>
  <c r="D221" i="112" a="1"/>
  <c r="D221" i="112" s="1"/>
  <c r="F220" i="112" a="1"/>
  <c r="F220" i="112" s="1"/>
  <c r="E220" i="112" a="1"/>
  <c r="E220" i="112" s="1"/>
  <c r="D220" i="112" a="1"/>
  <c r="D220" i="112" s="1"/>
  <c r="F219" i="112" a="1"/>
  <c r="F219" i="112" s="1"/>
  <c r="E219" i="112" a="1"/>
  <c r="E219" i="112" s="1"/>
  <c r="D219" i="112" a="1"/>
  <c r="D219" i="112" s="1"/>
  <c r="F218" i="112" a="1"/>
  <c r="F218" i="112" s="1"/>
  <c r="E218" i="112" a="1"/>
  <c r="E218" i="112" s="1"/>
  <c r="D218" i="112" a="1"/>
  <c r="D218" i="112" s="1"/>
  <c r="F217" i="112" a="1"/>
  <c r="F217" i="112" s="1"/>
  <c r="E217" i="112" a="1"/>
  <c r="E217" i="112" s="1"/>
  <c r="D217" i="112" a="1"/>
  <c r="D217" i="112" s="1"/>
  <c r="F216" i="112" a="1"/>
  <c r="F216" i="112" s="1"/>
  <c r="E216" i="112" a="1"/>
  <c r="E216" i="112" s="1"/>
  <c r="D216" i="112" a="1"/>
  <c r="D216" i="112" s="1"/>
  <c r="F215" i="112" a="1"/>
  <c r="F215" i="112" s="1"/>
  <c r="E215" i="112" a="1"/>
  <c r="E215" i="112" s="1"/>
  <c r="D215" i="112" a="1"/>
  <c r="D215" i="112" s="1"/>
  <c r="F214" i="112" a="1"/>
  <c r="F214" i="112" s="1"/>
  <c r="E214" i="112" a="1"/>
  <c r="E214" i="112" s="1"/>
  <c r="D214" i="112" a="1"/>
  <c r="D214" i="112" s="1"/>
  <c r="F213" i="112" a="1"/>
  <c r="F213" i="112" s="1"/>
  <c r="E213" i="112" a="1"/>
  <c r="E213" i="112" s="1"/>
  <c r="D213" i="112" a="1"/>
  <c r="D213" i="112" s="1"/>
  <c r="F212" i="112" a="1"/>
  <c r="F212" i="112" s="1"/>
  <c r="E212" i="112" a="1"/>
  <c r="E212" i="112" s="1"/>
  <c r="D212" i="112" a="1"/>
  <c r="D212" i="112" s="1"/>
  <c r="F211" i="112" a="1"/>
  <c r="F211" i="112" s="1"/>
  <c r="E211" i="112" a="1"/>
  <c r="E211" i="112" s="1"/>
  <c r="D211" i="112" a="1"/>
  <c r="D211" i="112" s="1"/>
  <c r="F210" i="112" a="1"/>
  <c r="F210" i="112" s="1"/>
  <c r="E210" i="112" a="1"/>
  <c r="E210" i="112" s="1"/>
  <c r="D210" i="112" a="1"/>
  <c r="D210" i="112" s="1"/>
  <c r="F209" i="112" a="1"/>
  <c r="F209" i="112" s="1"/>
  <c r="E209" i="112" a="1"/>
  <c r="E209" i="112" s="1"/>
  <c r="D209" i="112" a="1"/>
  <c r="D209" i="112" s="1"/>
  <c r="F208" i="112" a="1"/>
  <c r="F208" i="112" s="1"/>
  <c r="E208" i="112" a="1"/>
  <c r="E208" i="112" s="1"/>
  <c r="D208" i="112" a="1"/>
  <c r="D208" i="112" s="1"/>
  <c r="F207" i="112" a="1"/>
  <c r="F207" i="112" s="1"/>
  <c r="E207" i="112" a="1"/>
  <c r="E207" i="112" s="1"/>
  <c r="D207" i="112" a="1"/>
  <c r="D207" i="112" s="1"/>
  <c r="F206" i="112" a="1"/>
  <c r="F206" i="112" s="1"/>
  <c r="E206" i="112" a="1"/>
  <c r="E206" i="112" s="1"/>
  <c r="D206" i="112" a="1"/>
  <c r="D206" i="112" s="1"/>
  <c r="F205" i="112" a="1"/>
  <c r="F205" i="112" s="1"/>
  <c r="E205" i="112" a="1"/>
  <c r="E205" i="112" s="1"/>
  <c r="D205" i="112" a="1"/>
  <c r="D205" i="112" s="1"/>
  <c r="F204" i="112" a="1"/>
  <c r="F204" i="112" s="1"/>
  <c r="E204" i="112" a="1"/>
  <c r="E204" i="112" s="1"/>
  <c r="D204" i="112" a="1"/>
  <c r="D204" i="112" s="1"/>
  <c r="F203" i="112" a="1"/>
  <c r="F203" i="112" s="1"/>
  <c r="E203" i="112" a="1"/>
  <c r="E203" i="112" s="1"/>
  <c r="D203" i="112" a="1"/>
  <c r="D203" i="112" s="1"/>
  <c r="F202" i="112" a="1"/>
  <c r="F202" i="112" s="1"/>
  <c r="E202" i="112" a="1"/>
  <c r="E202" i="112" s="1"/>
  <c r="D202" i="112" a="1"/>
  <c r="D202" i="112" s="1"/>
  <c r="F201" i="112" a="1"/>
  <c r="F201" i="112" s="1"/>
  <c r="E201" i="112" a="1"/>
  <c r="E201" i="112" s="1"/>
  <c r="D201" i="112" a="1"/>
  <c r="D201" i="112" s="1"/>
  <c r="F200" i="112" a="1"/>
  <c r="F200" i="112" s="1"/>
  <c r="E200" i="112" a="1"/>
  <c r="E200" i="112" s="1"/>
  <c r="D200" i="112" a="1"/>
  <c r="D200" i="112" s="1"/>
  <c r="F199" i="112" a="1"/>
  <c r="F199" i="112" s="1"/>
  <c r="E199" i="112" a="1"/>
  <c r="E199" i="112" s="1"/>
  <c r="D199" i="112" a="1"/>
  <c r="D199" i="112" s="1"/>
  <c r="F198" i="112" a="1"/>
  <c r="F198" i="112" s="1"/>
  <c r="E198" i="112" a="1"/>
  <c r="E198" i="112" s="1"/>
  <c r="D198" i="112" a="1"/>
  <c r="D198" i="112" s="1"/>
  <c r="F197" i="112" a="1"/>
  <c r="F197" i="112" s="1"/>
  <c r="E197" i="112" a="1"/>
  <c r="E197" i="112" s="1"/>
  <c r="D197" i="112" a="1"/>
  <c r="D197" i="112" s="1"/>
  <c r="F196" i="112" a="1"/>
  <c r="F196" i="112" s="1"/>
  <c r="E196" i="112" a="1"/>
  <c r="E196" i="112" s="1"/>
  <c r="D196" i="112" a="1"/>
  <c r="D196" i="112" s="1"/>
  <c r="F195" i="112" a="1"/>
  <c r="F195" i="112" s="1"/>
  <c r="E195" i="112" a="1"/>
  <c r="E195" i="112" s="1"/>
  <c r="D195" i="112" a="1"/>
  <c r="D195" i="112" s="1"/>
  <c r="F194" i="112" a="1"/>
  <c r="F194" i="112" s="1"/>
  <c r="E194" i="112" a="1"/>
  <c r="E194" i="112" s="1"/>
  <c r="D194" i="112" a="1"/>
  <c r="D194" i="112" s="1"/>
  <c r="F193" i="112" a="1"/>
  <c r="F193" i="112" s="1"/>
  <c r="E193" i="112" a="1"/>
  <c r="E193" i="112" s="1"/>
  <c r="D193" i="112" a="1"/>
  <c r="D193" i="112" s="1"/>
  <c r="F192" i="112" a="1"/>
  <c r="F192" i="112" s="1"/>
  <c r="E192" i="112" a="1"/>
  <c r="E192" i="112" s="1"/>
  <c r="D192" i="112" a="1"/>
  <c r="D192" i="112" s="1"/>
  <c r="F191" i="112" a="1"/>
  <c r="F191" i="112" s="1"/>
  <c r="E191" i="112" a="1"/>
  <c r="E191" i="112" s="1"/>
  <c r="D191" i="112" a="1"/>
  <c r="D191" i="112" s="1"/>
  <c r="F190" i="112" a="1"/>
  <c r="F190" i="112" s="1"/>
  <c r="E190" i="112" a="1"/>
  <c r="E190" i="112" s="1"/>
  <c r="D190" i="112" a="1"/>
  <c r="D190" i="112" s="1"/>
  <c r="F189" i="112" a="1"/>
  <c r="F189" i="112" s="1"/>
  <c r="E189" i="112" a="1"/>
  <c r="E189" i="112" s="1"/>
  <c r="D189" i="112" a="1"/>
  <c r="D189" i="112" s="1"/>
  <c r="F188" i="112" a="1"/>
  <c r="F188" i="112" s="1"/>
  <c r="E188" i="112" a="1"/>
  <c r="E188" i="112" s="1"/>
  <c r="D188" i="112" a="1"/>
  <c r="D188" i="112" s="1"/>
  <c r="F187" i="112" a="1"/>
  <c r="F187" i="112" s="1"/>
  <c r="E187" i="112" a="1"/>
  <c r="E187" i="112" s="1"/>
  <c r="D187" i="112" a="1"/>
  <c r="D187" i="112" s="1"/>
  <c r="F186" i="112" a="1"/>
  <c r="F186" i="112" s="1"/>
  <c r="E186" i="112" a="1"/>
  <c r="E186" i="112" s="1"/>
  <c r="D186" i="112" a="1"/>
  <c r="D186" i="112" s="1"/>
  <c r="F185" i="112" a="1"/>
  <c r="F185" i="112" s="1"/>
  <c r="E185" i="112" a="1"/>
  <c r="E185" i="112" s="1"/>
  <c r="D185" i="112" a="1"/>
  <c r="D185" i="112" s="1"/>
  <c r="F184" i="112" a="1"/>
  <c r="F184" i="112" s="1"/>
  <c r="E184" i="112" a="1"/>
  <c r="E184" i="112" s="1"/>
  <c r="D184" i="112" a="1"/>
  <c r="D184" i="112" s="1"/>
  <c r="F183" i="112" a="1"/>
  <c r="F183" i="112" s="1"/>
  <c r="E183" i="112" a="1"/>
  <c r="E183" i="112" s="1"/>
  <c r="D183" i="112" a="1"/>
  <c r="D183" i="112" s="1"/>
  <c r="F182" i="112" a="1"/>
  <c r="F182" i="112" s="1"/>
  <c r="E182" i="112" a="1"/>
  <c r="E182" i="112" s="1"/>
  <c r="D182" i="112" a="1"/>
  <c r="D182" i="112" s="1"/>
  <c r="F181" i="112" a="1"/>
  <c r="F181" i="112" s="1"/>
  <c r="E181" i="112" a="1"/>
  <c r="E181" i="112" s="1"/>
  <c r="D181" i="112" a="1"/>
  <c r="D181" i="112" s="1"/>
  <c r="F180" i="112" a="1"/>
  <c r="F180" i="112" s="1"/>
  <c r="E180" i="112" a="1"/>
  <c r="E180" i="112" s="1"/>
  <c r="D180" i="112" a="1"/>
  <c r="D180" i="112" s="1"/>
  <c r="F179" i="112" a="1"/>
  <c r="F179" i="112" s="1"/>
  <c r="E179" i="112" a="1"/>
  <c r="E179" i="112" s="1"/>
  <c r="D179" i="112" a="1"/>
  <c r="D179" i="112" s="1"/>
  <c r="F178" i="112" a="1"/>
  <c r="F178" i="112" s="1"/>
  <c r="E178" i="112" a="1"/>
  <c r="E178" i="112" s="1"/>
  <c r="D178" i="112" a="1"/>
  <c r="D178" i="112" s="1"/>
  <c r="F177" i="112" a="1"/>
  <c r="F177" i="112" s="1"/>
  <c r="E177" i="112" a="1"/>
  <c r="E177" i="112" s="1"/>
  <c r="D177" i="112" a="1"/>
  <c r="D177" i="112" s="1"/>
  <c r="F176" i="112" a="1"/>
  <c r="F176" i="112" s="1"/>
  <c r="E176" i="112" a="1"/>
  <c r="E176" i="112" s="1"/>
  <c r="D176" i="112" a="1"/>
  <c r="D176" i="112" s="1"/>
  <c r="F175" i="112" a="1"/>
  <c r="F175" i="112" s="1"/>
  <c r="E175" i="112" a="1"/>
  <c r="E175" i="112" s="1"/>
  <c r="D175" i="112" a="1"/>
  <c r="D175" i="112" s="1"/>
  <c r="F174" i="112" a="1"/>
  <c r="F174" i="112" s="1"/>
  <c r="E174" i="112" a="1"/>
  <c r="E174" i="112" s="1"/>
  <c r="D174" i="112" a="1"/>
  <c r="D174" i="112" s="1"/>
  <c r="F173" i="112" a="1"/>
  <c r="F173" i="112" s="1"/>
  <c r="E173" i="112" a="1"/>
  <c r="E173" i="112" s="1"/>
  <c r="D173" i="112" a="1"/>
  <c r="D173" i="112" s="1"/>
  <c r="F172" i="112" a="1"/>
  <c r="F172" i="112" s="1"/>
  <c r="E172" i="112" a="1"/>
  <c r="E172" i="112" s="1"/>
  <c r="D172" i="112" a="1"/>
  <c r="D172" i="112" s="1"/>
  <c r="F171" i="112" a="1"/>
  <c r="F171" i="112" s="1"/>
  <c r="E171" i="112" a="1"/>
  <c r="E171" i="112" s="1"/>
  <c r="D171" i="112" a="1"/>
  <c r="D171" i="112" s="1"/>
  <c r="F170" i="112" a="1"/>
  <c r="F170" i="112" s="1"/>
  <c r="E170" i="112" a="1"/>
  <c r="E170" i="112" s="1"/>
  <c r="D170" i="112" a="1"/>
  <c r="D170" i="112" s="1"/>
  <c r="F169" i="112" a="1"/>
  <c r="F169" i="112" s="1"/>
  <c r="E169" i="112" a="1"/>
  <c r="E169" i="112" s="1"/>
  <c r="D169" i="112" a="1"/>
  <c r="D169" i="112" s="1"/>
  <c r="F168" i="112" a="1"/>
  <c r="F168" i="112" s="1"/>
  <c r="E168" i="112" a="1"/>
  <c r="E168" i="112" s="1"/>
  <c r="D168" i="112" a="1"/>
  <c r="D168" i="112" s="1"/>
  <c r="F167" i="112" a="1"/>
  <c r="F167" i="112" s="1"/>
  <c r="E167" i="112" a="1"/>
  <c r="E167" i="112" s="1"/>
  <c r="D167" i="112" a="1"/>
  <c r="D167" i="112" s="1"/>
  <c r="F166" i="112" a="1"/>
  <c r="F166" i="112" s="1"/>
  <c r="E166" i="112" a="1"/>
  <c r="E166" i="112" s="1"/>
  <c r="D166" i="112" a="1"/>
  <c r="D166" i="112" s="1"/>
  <c r="F165" i="112" a="1"/>
  <c r="F165" i="112" s="1"/>
  <c r="E165" i="112" a="1"/>
  <c r="E165" i="112" s="1"/>
  <c r="D165" i="112" a="1"/>
  <c r="D165" i="112" s="1"/>
  <c r="F164" i="112" a="1"/>
  <c r="F164" i="112" s="1"/>
  <c r="E164" i="112" a="1"/>
  <c r="E164" i="112" s="1"/>
  <c r="D164" i="112" a="1"/>
  <c r="D164" i="112" s="1"/>
  <c r="F163" i="112" a="1"/>
  <c r="F163" i="112" s="1"/>
  <c r="E163" i="112" a="1"/>
  <c r="E163" i="112" s="1"/>
  <c r="D163" i="112" a="1"/>
  <c r="D163" i="112" s="1"/>
  <c r="F162" i="112" a="1"/>
  <c r="F162" i="112" s="1"/>
  <c r="E162" i="112" a="1"/>
  <c r="E162" i="112" s="1"/>
  <c r="D162" i="112" a="1"/>
  <c r="D162" i="112" s="1"/>
  <c r="F161" i="112" a="1"/>
  <c r="F161" i="112" s="1"/>
  <c r="E161" i="112" a="1"/>
  <c r="E161" i="112" s="1"/>
  <c r="D161" i="112" a="1"/>
  <c r="D161" i="112" s="1"/>
  <c r="F160" i="112" a="1"/>
  <c r="F160" i="112" s="1"/>
  <c r="E160" i="112" a="1"/>
  <c r="E160" i="112" s="1"/>
  <c r="D160" i="112" a="1"/>
  <c r="D160" i="112" s="1"/>
  <c r="F159" i="112" a="1"/>
  <c r="F159" i="112" s="1"/>
  <c r="E159" i="112" a="1"/>
  <c r="E159" i="112" s="1"/>
  <c r="D159" i="112" a="1"/>
  <c r="D159" i="112" s="1"/>
  <c r="F158" i="112" a="1"/>
  <c r="F158" i="112" s="1"/>
  <c r="E158" i="112" a="1"/>
  <c r="E158" i="112" s="1"/>
  <c r="D158" i="112" a="1"/>
  <c r="D158" i="112" s="1"/>
  <c r="F157" i="112" a="1"/>
  <c r="F157" i="112" s="1"/>
  <c r="E157" i="112" a="1"/>
  <c r="E157" i="112" s="1"/>
  <c r="D157" i="112" a="1"/>
  <c r="D157" i="112" s="1"/>
  <c r="F156" i="112" a="1"/>
  <c r="F156" i="112" s="1"/>
  <c r="E156" i="112" a="1"/>
  <c r="E156" i="112" s="1"/>
  <c r="D156" i="112" a="1"/>
  <c r="D156" i="112" s="1"/>
  <c r="F155" i="112" a="1"/>
  <c r="F155" i="112" s="1"/>
  <c r="E155" i="112" a="1"/>
  <c r="E155" i="112" s="1"/>
  <c r="D155" i="112" a="1"/>
  <c r="D155" i="112" s="1"/>
  <c r="F154" i="112" a="1"/>
  <c r="F154" i="112" s="1"/>
  <c r="E154" i="112" a="1"/>
  <c r="E154" i="112" s="1"/>
  <c r="D154" i="112" a="1"/>
  <c r="D154" i="112" s="1"/>
  <c r="F153" i="112" a="1"/>
  <c r="F153" i="112" s="1"/>
  <c r="E153" i="112" a="1"/>
  <c r="E153" i="112" s="1"/>
  <c r="D153" i="112" a="1"/>
  <c r="D153" i="112" s="1"/>
  <c r="F152" i="112" a="1"/>
  <c r="F152" i="112" s="1"/>
  <c r="E152" i="112" a="1"/>
  <c r="E152" i="112" s="1"/>
  <c r="D152" i="112" a="1"/>
  <c r="D152" i="112" s="1"/>
  <c r="F151" i="112" a="1"/>
  <c r="F151" i="112" s="1"/>
  <c r="E151" i="112" a="1"/>
  <c r="E151" i="112" s="1"/>
  <c r="D151" i="112" a="1"/>
  <c r="D151" i="112" s="1"/>
  <c r="F150" i="112" a="1"/>
  <c r="F150" i="112" s="1"/>
  <c r="E150" i="112" a="1"/>
  <c r="E150" i="112" s="1"/>
  <c r="D150" i="112" a="1"/>
  <c r="D150" i="112" s="1"/>
  <c r="F149" i="112" a="1"/>
  <c r="F149" i="112" s="1"/>
  <c r="E149" i="112" a="1"/>
  <c r="E149" i="112" s="1"/>
  <c r="D149" i="112" a="1"/>
  <c r="D149" i="112" s="1"/>
  <c r="F148" i="112" a="1"/>
  <c r="F148" i="112" s="1"/>
  <c r="E148" i="112" a="1"/>
  <c r="E148" i="112" s="1"/>
  <c r="D148" i="112" a="1"/>
  <c r="D148" i="112" s="1"/>
  <c r="F147" i="112" a="1"/>
  <c r="F147" i="112" s="1"/>
  <c r="E147" i="112" a="1"/>
  <c r="E147" i="112" s="1"/>
  <c r="D147" i="112" a="1"/>
  <c r="D147" i="112" s="1"/>
  <c r="F146" i="112" a="1"/>
  <c r="F146" i="112" s="1"/>
  <c r="E146" i="112" a="1"/>
  <c r="E146" i="112" s="1"/>
  <c r="D146" i="112" a="1"/>
  <c r="D146" i="112" s="1"/>
  <c r="F145" i="112" a="1"/>
  <c r="F145" i="112" s="1"/>
  <c r="E145" i="112" a="1"/>
  <c r="E145" i="112" s="1"/>
  <c r="D145" i="112" a="1"/>
  <c r="D145" i="112" s="1"/>
  <c r="F144" i="112" a="1"/>
  <c r="F144" i="112" s="1"/>
  <c r="E144" i="112" a="1"/>
  <c r="E144" i="112" s="1"/>
  <c r="D144" i="112" a="1"/>
  <c r="D144" i="112" s="1"/>
  <c r="F143" i="112" a="1"/>
  <c r="F143" i="112" s="1"/>
  <c r="E143" i="112" a="1"/>
  <c r="E143" i="112" s="1"/>
  <c r="D143" i="112" a="1"/>
  <c r="D143" i="112" s="1"/>
  <c r="F142" i="112" a="1"/>
  <c r="F142" i="112" s="1"/>
  <c r="E142" i="112" a="1"/>
  <c r="E142" i="112" s="1"/>
  <c r="D142" i="112" a="1"/>
  <c r="D142" i="112" s="1"/>
  <c r="F141" i="112" a="1"/>
  <c r="F141" i="112" s="1"/>
  <c r="E141" i="112" a="1"/>
  <c r="E141" i="112" s="1"/>
  <c r="D141" i="112" a="1"/>
  <c r="D141" i="112" s="1"/>
  <c r="F140" i="112" a="1"/>
  <c r="F140" i="112" s="1"/>
  <c r="E140" i="112" a="1"/>
  <c r="E140" i="112" s="1"/>
  <c r="D140" i="112" a="1"/>
  <c r="D140" i="112" s="1"/>
  <c r="F139" i="112" a="1"/>
  <c r="F139" i="112" s="1"/>
  <c r="E139" i="112" a="1"/>
  <c r="E139" i="112" s="1"/>
  <c r="D139" i="112" a="1"/>
  <c r="D139" i="112" s="1"/>
  <c r="F138" i="112" a="1"/>
  <c r="F138" i="112" s="1"/>
  <c r="E138" i="112" a="1"/>
  <c r="E138" i="112" s="1"/>
  <c r="D138" i="112" a="1"/>
  <c r="D138" i="112" s="1"/>
  <c r="F137" i="112" a="1"/>
  <c r="F137" i="112" s="1"/>
  <c r="E137" i="112" a="1"/>
  <c r="E137" i="112" s="1"/>
  <c r="D137" i="112" a="1"/>
  <c r="D137" i="112" s="1"/>
  <c r="F136" i="112" a="1"/>
  <c r="F136" i="112" s="1"/>
  <c r="E136" i="112" a="1"/>
  <c r="E136" i="112" s="1"/>
  <c r="D136" i="112" a="1"/>
  <c r="D136" i="112" s="1"/>
  <c r="F135" i="112" a="1"/>
  <c r="F135" i="112" s="1"/>
  <c r="E135" i="112" a="1"/>
  <c r="E135" i="112" s="1"/>
  <c r="D135" i="112" a="1"/>
  <c r="D135" i="112" s="1"/>
  <c r="F134" i="112" a="1"/>
  <c r="F134" i="112" s="1"/>
  <c r="E134" i="112" a="1"/>
  <c r="E134" i="112" s="1"/>
  <c r="D134" i="112" a="1"/>
  <c r="D134" i="112" s="1"/>
  <c r="F133" i="112" a="1"/>
  <c r="F133" i="112" s="1"/>
  <c r="E133" i="112" a="1"/>
  <c r="E133" i="112" s="1"/>
  <c r="D133" i="112" a="1"/>
  <c r="D133" i="112" s="1"/>
  <c r="F132" i="112" a="1"/>
  <c r="F132" i="112" s="1"/>
  <c r="E132" i="112" a="1"/>
  <c r="E132" i="112" s="1"/>
  <c r="D132" i="112" a="1"/>
  <c r="D132" i="112" s="1"/>
  <c r="F131" i="112" a="1"/>
  <c r="F131" i="112" s="1"/>
  <c r="E131" i="112" a="1"/>
  <c r="E131" i="112" s="1"/>
  <c r="D131" i="112" a="1"/>
  <c r="D131" i="112" s="1"/>
  <c r="F130" i="112" a="1"/>
  <c r="F130" i="112" s="1"/>
  <c r="E130" i="112" a="1"/>
  <c r="E130" i="112" s="1"/>
  <c r="D130" i="112" a="1"/>
  <c r="D130" i="112" s="1"/>
  <c r="F129" i="112" a="1"/>
  <c r="F129" i="112" s="1"/>
  <c r="E129" i="112" a="1"/>
  <c r="E129" i="112" s="1"/>
  <c r="D129" i="112" a="1"/>
  <c r="D129" i="112" s="1"/>
  <c r="F128" i="112" a="1"/>
  <c r="F128" i="112" s="1"/>
  <c r="E128" i="112" a="1"/>
  <c r="E128" i="112" s="1"/>
  <c r="D128" i="112" a="1"/>
  <c r="D128" i="112" s="1"/>
  <c r="F127" i="112" a="1"/>
  <c r="F127" i="112" s="1"/>
  <c r="E127" i="112" a="1"/>
  <c r="E127" i="112" s="1"/>
  <c r="D127" i="112" a="1"/>
  <c r="D127" i="112" s="1"/>
  <c r="F126" i="112" a="1"/>
  <c r="F126" i="112" s="1"/>
  <c r="E126" i="112" a="1"/>
  <c r="E126" i="112" s="1"/>
  <c r="D126" i="112" a="1"/>
  <c r="D126" i="112" s="1"/>
  <c r="F125" i="112" a="1"/>
  <c r="F125" i="112" s="1"/>
  <c r="E125" i="112" a="1"/>
  <c r="E125" i="112" s="1"/>
  <c r="D125" i="112" a="1"/>
  <c r="D125" i="112" s="1"/>
  <c r="F124" i="112" a="1"/>
  <c r="F124" i="112" s="1"/>
  <c r="E124" i="112" a="1"/>
  <c r="E124" i="112" s="1"/>
  <c r="D124" i="112" a="1"/>
  <c r="D124" i="112" s="1"/>
  <c r="F123" i="112" a="1"/>
  <c r="F123" i="112" s="1"/>
  <c r="E123" i="112" a="1"/>
  <c r="E123" i="112" s="1"/>
  <c r="D123" i="112" a="1"/>
  <c r="D123" i="112" s="1"/>
  <c r="F122" i="112" a="1"/>
  <c r="F122" i="112" s="1"/>
  <c r="E122" i="112" a="1"/>
  <c r="E122" i="112" s="1"/>
  <c r="D122" i="112" a="1"/>
  <c r="D122" i="112" s="1"/>
  <c r="F121" i="112" a="1"/>
  <c r="F121" i="112" s="1"/>
  <c r="E121" i="112" a="1"/>
  <c r="E121" i="112" s="1"/>
  <c r="D121" i="112" a="1"/>
  <c r="D121" i="112" s="1"/>
  <c r="F120" i="112" a="1"/>
  <c r="F120" i="112" s="1"/>
  <c r="E120" i="112" a="1"/>
  <c r="E120" i="112" s="1"/>
  <c r="D120" i="112" a="1"/>
  <c r="D120" i="112" s="1"/>
  <c r="F119" i="112" a="1"/>
  <c r="F119" i="112" s="1"/>
  <c r="E119" i="112" a="1"/>
  <c r="E119" i="112" s="1"/>
  <c r="D119" i="112" a="1"/>
  <c r="D119" i="112" s="1"/>
  <c r="F118" i="112" a="1"/>
  <c r="F118" i="112" s="1"/>
  <c r="E118" i="112" a="1"/>
  <c r="E118" i="112" s="1"/>
  <c r="D118" i="112" a="1"/>
  <c r="D118" i="112" s="1"/>
  <c r="F117" i="112" a="1"/>
  <c r="F117" i="112" s="1"/>
  <c r="E117" i="112" a="1"/>
  <c r="E117" i="112" s="1"/>
  <c r="D117" i="112" a="1"/>
  <c r="D117" i="112" s="1"/>
  <c r="F116" i="112" a="1"/>
  <c r="F116" i="112" s="1"/>
  <c r="E116" i="112" a="1"/>
  <c r="E116" i="112" s="1"/>
  <c r="D116" i="112" a="1"/>
  <c r="D116" i="112" s="1"/>
  <c r="F115" i="112" a="1"/>
  <c r="F115" i="112" s="1"/>
  <c r="E115" i="112" a="1"/>
  <c r="E115" i="112" s="1"/>
  <c r="D115" i="112" a="1"/>
  <c r="D115" i="112" s="1"/>
  <c r="F114" i="112" a="1"/>
  <c r="F114" i="112" s="1"/>
  <c r="E114" i="112" a="1"/>
  <c r="E114" i="112" s="1"/>
  <c r="D114" i="112" a="1"/>
  <c r="D114" i="112" s="1"/>
  <c r="F113" i="112" a="1"/>
  <c r="F113" i="112" s="1"/>
  <c r="E113" i="112" a="1"/>
  <c r="E113" i="112" s="1"/>
  <c r="D113" i="112" a="1"/>
  <c r="D113" i="112" s="1"/>
  <c r="F112" i="112" a="1"/>
  <c r="F112" i="112" s="1"/>
  <c r="E112" i="112" a="1"/>
  <c r="E112" i="112" s="1"/>
  <c r="D112" i="112" a="1"/>
  <c r="D112" i="112" s="1"/>
  <c r="F111" i="112" a="1"/>
  <c r="F111" i="112" s="1"/>
  <c r="E111" i="112" a="1"/>
  <c r="E111" i="112" s="1"/>
  <c r="D111" i="112" a="1"/>
  <c r="D111" i="112" s="1"/>
  <c r="F110" i="112" a="1"/>
  <c r="F110" i="112" s="1"/>
  <c r="E110" i="112" a="1"/>
  <c r="E110" i="112" s="1"/>
  <c r="D110" i="112" a="1"/>
  <c r="D110" i="112" s="1"/>
  <c r="F109" i="112" a="1"/>
  <c r="F109" i="112" s="1"/>
  <c r="E109" i="112" a="1"/>
  <c r="E109" i="112" s="1"/>
  <c r="D109" i="112" a="1"/>
  <c r="D109" i="112" s="1"/>
  <c r="F108" i="112" a="1"/>
  <c r="F108" i="112" s="1"/>
  <c r="E108" i="112" a="1"/>
  <c r="E108" i="112" s="1"/>
  <c r="D108" i="112" a="1"/>
  <c r="D108" i="112" s="1"/>
  <c r="F107" i="112" a="1"/>
  <c r="F107" i="112" s="1"/>
  <c r="E107" i="112" a="1"/>
  <c r="E107" i="112" s="1"/>
  <c r="D107" i="112" a="1"/>
  <c r="D107" i="112" s="1"/>
  <c r="F106" i="112" a="1"/>
  <c r="F106" i="112" s="1"/>
  <c r="E106" i="112" a="1"/>
  <c r="E106" i="112" s="1"/>
  <c r="D106" i="112" a="1"/>
  <c r="D106" i="112" s="1"/>
  <c r="F105" i="112" a="1"/>
  <c r="F105" i="112" s="1"/>
  <c r="E105" i="112" a="1"/>
  <c r="E105" i="112" s="1"/>
  <c r="D105" i="112" a="1"/>
  <c r="D105" i="112" s="1"/>
  <c r="F104" i="112" a="1"/>
  <c r="F104" i="112" s="1"/>
  <c r="E104" i="112" a="1"/>
  <c r="E104" i="112" s="1"/>
  <c r="D104" i="112" a="1"/>
  <c r="D104" i="112" s="1"/>
  <c r="F103" i="112" a="1"/>
  <c r="F103" i="112" s="1"/>
  <c r="E103" i="112" a="1"/>
  <c r="E103" i="112" s="1"/>
  <c r="D103" i="112" a="1"/>
  <c r="D103" i="112" s="1"/>
  <c r="F102" i="112" a="1"/>
  <c r="F102" i="112" s="1"/>
  <c r="E102" i="112" a="1"/>
  <c r="E102" i="112" s="1"/>
  <c r="D102" i="112" a="1"/>
  <c r="D102" i="112" s="1"/>
  <c r="F101" i="112" a="1"/>
  <c r="F101" i="112" s="1"/>
  <c r="E101" i="112" a="1"/>
  <c r="E101" i="112" s="1"/>
  <c r="D101" i="112" a="1"/>
  <c r="D101" i="112" s="1"/>
  <c r="F100" i="112" a="1"/>
  <c r="F100" i="112" s="1"/>
  <c r="E100" i="112" a="1"/>
  <c r="E100" i="112" s="1"/>
  <c r="D100" i="112" a="1"/>
  <c r="D100" i="112" s="1"/>
  <c r="F99" i="112" a="1"/>
  <c r="F99" i="112" s="1"/>
  <c r="E99" i="112" a="1"/>
  <c r="E99" i="112" s="1"/>
  <c r="D99" i="112" a="1"/>
  <c r="D99" i="112" s="1"/>
  <c r="F98" i="112" a="1"/>
  <c r="F98" i="112" s="1"/>
  <c r="E98" i="112" a="1"/>
  <c r="E98" i="112" s="1"/>
  <c r="D98" i="112" a="1"/>
  <c r="D98" i="112" s="1"/>
  <c r="F97" i="112" a="1"/>
  <c r="F97" i="112" s="1"/>
  <c r="E97" i="112" a="1"/>
  <c r="E97" i="112" s="1"/>
  <c r="D97" i="112" a="1"/>
  <c r="D97" i="112" s="1"/>
  <c r="F96" i="112" a="1"/>
  <c r="F96" i="112" s="1"/>
  <c r="E96" i="112" a="1"/>
  <c r="E96" i="112" s="1"/>
  <c r="D96" i="112" a="1"/>
  <c r="D96" i="112" s="1"/>
  <c r="F95" i="112" a="1"/>
  <c r="F95" i="112" s="1"/>
  <c r="E95" i="112" a="1"/>
  <c r="E95" i="112" s="1"/>
  <c r="D95" i="112" a="1"/>
  <c r="D95" i="112" s="1"/>
  <c r="F94" i="112" a="1"/>
  <c r="F94" i="112" s="1"/>
  <c r="E94" i="112" a="1"/>
  <c r="E94" i="112" s="1"/>
  <c r="D94" i="112" a="1"/>
  <c r="D94" i="112" s="1"/>
  <c r="F93" i="112" a="1"/>
  <c r="F93" i="112" s="1"/>
  <c r="E93" i="112" a="1"/>
  <c r="E93" i="112" s="1"/>
  <c r="D93" i="112" a="1"/>
  <c r="D93" i="112" s="1"/>
  <c r="D91" i="112" a="1"/>
  <c r="D91" i="112" s="1"/>
  <c r="F89" i="112" a="1"/>
  <c r="F89" i="112" s="1"/>
  <c r="E89" i="112" a="1"/>
  <c r="E89" i="112" s="1"/>
  <c r="D89" i="112" a="1"/>
  <c r="D89" i="112" s="1"/>
  <c r="F88" i="112" a="1"/>
  <c r="F88" i="112" s="1"/>
  <c r="E88" i="112" a="1"/>
  <c r="E88" i="112" s="1"/>
  <c r="D88" i="112" a="1"/>
  <c r="D88" i="112" s="1"/>
  <c r="F87" i="112" a="1"/>
  <c r="F87" i="112" s="1"/>
  <c r="E87" i="112" a="1"/>
  <c r="E87" i="112" s="1"/>
  <c r="D87" i="112" a="1"/>
  <c r="D87" i="112" s="1"/>
  <c r="F86" i="112" a="1"/>
  <c r="F86" i="112" s="1"/>
  <c r="E86" i="112" a="1"/>
  <c r="E86" i="112" s="1"/>
  <c r="D86" i="112" a="1"/>
  <c r="D86" i="112" s="1"/>
  <c r="F85" i="112" a="1"/>
  <c r="F85" i="112" s="1"/>
  <c r="E85" i="112" a="1"/>
  <c r="E85" i="112" s="1"/>
  <c r="D85" i="112" a="1"/>
  <c r="D85" i="112" s="1"/>
  <c r="F84" i="112" a="1"/>
  <c r="F84" i="112" s="1"/>
  <c r="E84" i="112" a="1"/>
  <c r="E84" i="112" s="1"/>
  <c r="D84" i="112" a="1"/>
  <c r="D84" i="112" s="1"/>
  <c r="F83" i="112" a="1"/>
  <c r="F83" i="112" s="1"/>
  <c r="E83" i="112" a="1"/>
  <c r="E83" i="112" s="1"/>
  <c r="D83" i="112" a="1"/>
  <c r="D83" i="112" s="1"/>
  <c r="F82" i="112" a="1"/>
  <c r="F82" i="112" s="1"/>
  <c r="E82" i="112" a="1"/>
  <c r="E82" i="112" s="1"/>
  <c r="D82" i="112" a="1"/>
  <c r="D82" i="112" s="1"/>
  <c r="F81" i="112" a="1"/>
  <c r="F81" i="112" s="1"/>
  <c r="E81" i="112" a="1"/>
  <c r="E81" i="112" s="1"/>
  <c r="D81" i="112" a="1"/>
  <c r="D81" i="112" s="1"/>
  <c r="F80" i="112" a="1"/>
  <c r="F80" i="112" s="1"/>
  <c r="E80" i="112" a="1"/>
  <c r="E80" i="112" s="1"/>
  <c r="D80" i="112" a="1"/>
  <c r="D80" i="112" s="1"/>
  <c r="F79" i="112" a="1"/>
  <c r="F79" i="112" s="1"/>
  <c r="E79" i="112" a="1"/>
  <c r="E79" i="112" s="1"/>
  <c r="D79" i="112" a="1"/>
  <c r="D79" i="112" s="1"/>
  <c r="F78" i="112" a="1"/>
  <c r="F78" i="112" s="1"/>
  <c r="E78" i="112" a="1"/>
  <c r="E78" i="112" s="1"/>
  <c r="D78" i="112" a="1"/>
  <c r="D78" i="112" s="1"/>
  <c r="F77" i="112" a="1"/>
  <c r="F77" i="112" s="1"/>
  <c r="E77" i="112" a="1"/>
  <c r="E77" i="112" s="1"/>
  <c r="D77" i="112" a="1"/>
  <c r="D77" i="112" s="1"/>
  <c r="F76" i="112" a="1"/>
  <c r="F76" i="112" s="1"/>
  <c r="E76" i="112" a="1"/>
  <c r="E76" i="112" s="1"/>
  <c r="D76" i="112" a="1"/>
  <c r="D76" i="112" s="1"/>
  <c r="F75" i="112" a="1"/>
  <c r="F75" i="112" s="1"/>
  <c r="E75" i="112" a="1"/>
  <c r="E75" i="112" s="1"/>
  <c r="D75" i="112" a="1"/>
  <c r="D75" i="112" s="1"/>
  <c r="F74" i="112" a="1"/>
  <c r="F74" i="112" s="1"/>
  <c r="E74" i="112" a="1"/>
  <c r="E74" i="112" s="1"/>
  <c r="D74" i="112" a="1"/>
  <c r="D74" i="112" s="1"/>
  <c r="D71" i="112" a="1"/>
  <c r="D71" i="112" s="1"/>
  <c r="D70" i="112" a="1"/>
  <c r="D70" i="112" s="1"/>
  <c r="F67" i="112" a="1"/>
  <c r="F67" i="112" s="1"/>
  <c r="E67" i="112" a="1"/>
  <c r="E67" i="112" s="1"/>
  <c r="D67" i="112" a="1"/>
  <c r="D67" i="112" s="1"/>
  <c r="F66" i="112" a="1"/>
  <c r="F66" i="112" s="1"/>
  <c r="E66" i="112" a="1"/>
  <c r="E66" i="112" s="1"/>
  <c r="D66" i="112" a="1"/>
  <c r="D66" i="112" s="1"/>
  <c r="F65" i="112" a="1"/>
  <c r="F65" i="112" s="1"/>
  <c r="E65" i="112" a="1"/>
  <c r="E65" i="112" s="1"/>
  <c r="D65" i="112" a="1"/>
  <c r="D65" i="112" s="1"/>
  <c r="F64" i="112" a="1"/>
  <c r="F64" i="112" s="1"/>
  <c r="E64" i="112" a="1"/>
  <c r="E64" i="112" s="1"/>
  <c r="D64" i="112" a="1"/>
  <c r="D64" i="112" s="1"/>
  <c r="F63" i="112" a="1"/>
  <c r="F63" i="112" s="1"/>
  <c r="E63" i="112" a="1"/>
  <c r="E63" i="112" s="1"/>
  <c r="D63" i="112" a="1"/>
  <c r="D63" i="112" s="1"/>
  <c r="D60" i="112" a="1"/>
  <c r="D60" i="112" s="1"/>
  <c r="D59" i="112" a="1"/>
  <c r="D59" i="112" s="1"/>
  <c r="I56" i="112" a="1"/>
  <c r="I56" i="112" s="1"/>
  <c r="H56" i="112" a="1"/>
  <c r="H56" i="112" s="1"/>
  <c r="G56" i="112" a="1"/>
  <c r="G56" i="112" s="1"/>
  <c r="F56" i="112" a="1"/>
  <c r="F56" i="112" s="1"/>
  <c r="E56" i="112" a="1"/>
  <c r="E56" i="112" s="1"/>
  <c r="D56" i="112" a="1"/>
  <c r="D56" i="112" s="1"/>
  <c r="I55" i="112" a="1"/>
  <c r="I55" i="112" s="1"/>
  <c r="H55" i="112" a="1"/>
  <c r="H55" i="112" s="1"/>
  <c r="G55" i="112" a="1"/>
  <c r="G55" i="112" s="1"/>
  <c r="F55" i="112" a="1"/>
  <c r="F55" i="112" s="1"/>
  <c r="E55" i="112" a="1"/>
  <c r="E55" i="112" s="1"/>
  <c r="D55" i="112" a="1"/>
  <c r="D55" i="112" s="1"/>
  <c r="I54" i="112" a="1"/>
  <c r="I54" i="112" s="1"/>
  <c r="H54" i="112" a="1"/>
  <c r="H54" i="112" s="1"/>
  <c r="G54" i="112" a="1"/>
  <c r="G54" i="112" s="1"/>
  <c r="F54" i="112" a="1"/>
  <c r="F54" i="112" s="1"/>
  <c r="E54" i="112" a="1"/>
  <c r="E54" i="112" s="1"/>
  <c r="D54" i="112" a="1"/>
  <c r="D54" i="112" s="1"/>
  <c r="I53" i="112" a="1"/>
  <c r="I53" i="112" s="1"/>
  <c r="H53" i="112" a="1"/>
  <c r="H53" i="112" s="1"/>
  <c r="G53" i="112" a="1"/>
  <c r="G53" i="112" s="1"/>
  <c r="F53" i="112" a="1"/>
  <c r="F53" i="112" s="1"/>
  <c r="E53" i="112" a="1"/>
  <c r="E53" i="112" s="1"/>
  <c r="D53" i="112" a="1"/>
  <c r="D53" i="112" s="1"/>
  <c r="I52" i="112" a="1"/>
  <c r="I52" i="112" s="1"/>
  <c r="H52" i="112" a="1"/>
  <c r="H52" i="112" s="1"/>
  <c r="G52" i="112" a="1"/>
  <c r="G52" i="112" s="1"/>
  <c r="F52" i="112" a="1"/>
  <c r="F52" i="112" s="1"/>
  <c r="E52" i="112" a="1"/>
  <c r="E52" i="112" s="1"/>
  <c r="D52" i="112" a="1"/>
  <c r="D52" i="112" s="1"/>
  <c r="E19" i="109" s="1"/>
  <c r="D49" i="112" a="1"/>
  <c r="D49" i="112" s="1"/>
  <c r="D48" i="112" a="1"/>
  <c r="D48" i="112" s="1"/>
  <c r="E45" i="112" a="1"/>
  <c r="E45" i="112" s="1"/>
  <c r="D45" i="112" a="1"/>
  <c r="D45" i="112" s="1"/>
  <c r="E44" i="112" a="1"/>
  <c r="E44" i="112" s="1"/>
  <c r="D44" i="112" a="1"/>
  <c r="D44" i="112" s="1"/>
  <c r="D41" i="112" a="1"/>
  <c r="D41" i="112" s="1"/>
  <c r="D40" i="112" a="1"/>
  <c r="D40" i="112" s="1"/>
  <c r="L37" i="112" a="1"/>
  <c r="L37" i="112" s="1"/>
  <c r="K37" i="112" a="1"/>
  <c r="K37" i="112" s="1"/>
  <c r="J37" i="112" a="1"/>
  <c r="J37" i="112" s="1"/>
  <c r="I37" i="112" a="1"/>
  <c r="I37" i="112" s="1"/>
  <c r="H37" i="112" a="1"/>
  <c r="H37" i="112" s="1"/>
  <c r="G37" i="112" a="1"/>
  <c r="G37" i="112" s="1"/>
  <c r="F37" i="112" a="1"/>
  <c r="F37" i="112" s="1"/>
  <c r="E37" i="112" a="1"/>
  <c r="E37" i="112" s="1"/>
  <c r="D37" i="112" a="1"/>
  <c r="D37" i="112" s="1"/>
  <c r="L36" i="112" a="1"/>
  <c r="L36" i="112" s="1"/>
  <c r="K36" i="112" a="1"/>
  <c r="K36" i="112" s="1"/>
  <c r="J36" i="112" a="1"/>
  <c r="J36" i="112" s="1"/>
  <c r="I36" i="112" a="1"/>
  <c r="I36" i="112" s="1"/>
  <c r="H36" i="112" a="1"/>
  <c r="H36" i="112" s="1"/>
  <c r="G36" i="112" a="1"/>
  <c r="G36" i="112" s="1"/>
  <c r="F36" i="112" a="1"/>
  <c r="F36" i="112" s="1"/>
  <c r="E36" i="112" a="1"/>
  <c r="E36" i="112" s="1"/>
  <c r="D36" i="112" a="1"/>
  <c r="D36" i="112" s="1"/>
  <c r="L35" i="112" a="1"/>
  <c r="L35" i="112" s="1"/>
  <c r="K35" i="112" a="1"/>
  <c r="K35" i="112" s="1"/>
  <c r="J35" i="112" a="1"/>
  <c r="J35" i="112" s="1"/>
  <c r="I35" i="112" a="1"/>
  <c r="I35" i="112" s="1"/>
  <c r="H35" i="112" a="1"/>
  <c r="H35" i="112" s="1"/>
  <c r="G35" i="112" a="1"/>
  <c r="G35" i="112" s="1"/>
  <c r="F35" i="112" a="1"/>
  <c r="F35" i="112" s="1"/>
  <c r="E35" i="112" a="1"/>
  <c r="E35" i="112" s="1"/>
  <c r="D35" i="112" a="1"/>
  <c r="D35" i="112" s="1"/>
  <c r="L34" i="112" a="1"/>
  <c r="L34" i="112" s="1"/>
  <c r="K34" i="112" a="1"/>
  <c r="K34" i="112" s="1"/>
  <c r="J34" i="112" a="1"/>
  <c r="J34" i="112" s="1"/>
  <c r="I34" i="112" a="1"/>
  <c r="I34" i="112" s="1"/>
  <c r="H34" i="112" a="1"/>
  <c r="H34" i="112" s="1"/>
  <c r="G34" i="112" a="1"/>
  <c r="G34" i="112" s="1"/>
  <c r="F34" i="112" a="1"/>
  <c r="F34" i="112" s="1"/>
  <c r="E34" i="112" a="1"/>
  <c r="E34" i="112" s="1"/>
  <c r="D34" i="112" a="1"/>
  <c r="D34" i="112" s="1"/>
  <c r="L33" i="112" a="1"/>
  <c r="L33" i="112" s="1"/>
  <c r="K33" i="112" a="1"/>
  <c r="K33" i="112" s="1"/>
  <c r="J33" i="112" a="1"/>
  <c r="J33" i="112" s="1"/>
  <c r="I33" i="112" a="1"/>
  <c r="I33" i="112" s="1"/>
  <c r="H33" i="112" a="1"/>
  <c r="H33" i="112" s="1"/>
  <c r="G33" i="112" a="1"/>
  <c r="G33" i="112" s="1"/>
  <c r="F33" i="112" a="1"/>
  <c r="F33" i="112" s="1"/>
  <c r="E33" i="112" a="1"/>
  <c r="E33" i="112" s="1"/>
  <c r="D33" i="112" a="1"/>
  <c r="D33" i="112" s="1"/>
  <c r="L32" i="112" a="1"/>
  <c r="L32" i="112" s="1"/>
  <c r="K32" i="112" a="1"/>
  <c r="K32" i="112" s="1"/>
  <c r="J32" i="112" a="1"/>
  <c r="J32" i="112" s="1"/>
  <c r="I32" i="112" a="1"/>
  <c r="I32" i="112" s="1"/>
  <c r="H32" i="112" a="1"/>
  <c r="H32" i="112" s="1"/>
  <c r="G32" i="112" a="1"/>
  <c r="G32" i="112" s="1"/>
  <c r="F32" i="112" a="1"/>
  <c r="F32" i="112" s="1"/>
  <c r="E32" i="112" a="1"/>
  <c r="E32" i="112" s="1"/>
  <c r="D32" i="112" a="1"/>
  <c r="D32" i="112" s="1"/>
  <c r="L31" i="112" a="1"/>
  <c r="L31" i="112" s="1"/>
  <c r="K31" i="112" a="1"/>
  <c r="K31" i="112" s="1"/>
  <c r="J31" i="112" a="1"/>
  <c r="J31" i="112" s="1"/>
  <c r="I31" i="112" a="1"/>
  <c r="I31" i="112" s="1"/>
  <c r="H31" i="112" a="1"/>
  <c r="H31" i="112" s="1"/>
  <c r="G31" i="112" a="1"/>
  <c r="G31" i="112" s="1"/>
  <c r="F31" i="112" a="1"/>
  <c r="F31" i="112" s="1"/>
  <c r="E31" i="112" a="1"/>
  <c r="E31" i="112" s="1"/>
  <c r="D31" i="112" a="1"/>
  <c r="D31" i="112" s="1"/>
  <c r="L30" i="112" a="1"/>
  <c r="L30" i="112" s="1"/>
  <c r="K30" i="112" a="1"/>
  <c r="K30" i="112" s="1"/>
  <c r="J30" i="112" a="1"/>
  <c r="J30" i="112" s="1"/>
  <c r="I30" i="112" a="1"/>
  <c r="I30" i="112" s="1"/>
  <c r="H30" i="112" a="1"/>
  <c r="H30" i="112" s="1"/>
  <c r="G30" i="112" a="1"/>
  <c r="G30" i="112" s="1"/>
  <c r="F30" i="112" a="1"/>
  <c r="F30" i="112" s="1"/>
  <c r="E30" i="112" a="1"/>
  <c r="E30" i="112" s="1"/>
  <c r="D30" i="112" a="1"/>
  <c r="D30" i="112" s="1"/>
  <c r="L29" i="112" a="1"/>
  <c r="L29" i="112" s="1"/>
  <c r="K29" i="112" a="1"/>
  <c r="K29" i="112" s="1"/>
  <c r="J29" i="112" a="1"/>
  <c r="J29" i="112" s="1"/>
  <c r="I29" i="112" a="1"/>
  <c r="I29" i="112" s="1"/>
  <c r="H29" i="112" a="1"/>
  <c r="H29" i="112" s="1"/>
  <c r="G29" i="112" a="1"/>
  <c r="G29" i="112" s="1"/>
  <c r="F29" i="112" a="1"/>
  <c r="F29" i="112" s="1"/>
  <c r="E29" i="112" a="1"/>
  <c r="E29" i="112" s="1"/>
  <c r="D29" i="112" a="1"/>
  <c r="D29" i="112" s="1"/>
  <c r="L28" i="112" a="1"/>
  <c r="L28" i="112" s="1"/>
  <c r="K28" i="112" a="1"/>
  <c r="K28" i="112" s="1"/>
  <c r="J28" i="112" a="1"/>
  <c r="J28" i="112" s="1"/>
  <c r="I28" i="112" a="1"/>
  <c r="I28" i="112" s="1"/>
  <c r="H28" i="112" a="1"/>
  <c r="H28" i="112" s="1"/>
  <c r="G28" i="112" a="1"/>
  <c r="G28" i="112" s="1"/>
  <c r="F28" i="112" a="1"/>
  <c r="F28" i="112" s="1"/>
  <c r="E28" i="112" a="1"/>
  <c r="E28" i="112" s="1"/>
  <c r="D28" i="112" a="1"/>
  <c r="D28" i="112" s="1"/>
  <c r="L27" i="112" a="1"/>
  <c r="L27" i="112" s="1"/>
  <c r="K27" i="112" a="1"/>
  <c r="K27" i="112" s="1"/>
  <c r="J27" i="112" a="1"/>
  <c r="J27" i="112" s="1"/>
  <c r="I27" i="112" a="1"/>
  <c r="I27" i="112" s="1"/>
  <c r="H27" i="112" a="1"/>
  <c r="H27" i="112" s="1"/>
  <c r="G27" i="112" a="1"/>
  <c r="G27" i="112" s="1"/>
  <c r="F27" i="112" a="1"/>
  <c r="F27" i="112" s="1"/>
  <c r="E27" i="112" a="1"/>
  <c r="E27" i="112" s="1"/>
  <c r="D27" i="112" a="1"/>
  <c r="D27" i="112" s="1"/>
  <c r="L26" i="112" a="1"/>
  <c r="L26" i="112" s="1"/>
  <c r="K26" i="112" a="1"/>
  <c r="K26" i="112" s="1"/>
  <c r="J26" i="112" a="1"/>
  <c r="J26" i="112" s="1"/>
  <c r="I26" i="112" a="1"/>
  <c r="I26" i="112" s="1"/>
  <c r="H26" i="112" a="1"/>
  <c r="H26" i="112" s="1"/>
  <c r="G26" i="112" a="1"/>
  <c r="G26" i="112" s="1"/>
  <c r="F26" i="112" a="1"/>
  <c r="F26" i="112" s="1"/>
  <c r="E26" i="112" a="1"/>
  <c r="E26" i="112" s="1"/>
  <c r="D26" i="112" a="1"/>
  <c r="D26" i="112" s="1"/>
  <c r="L25" i="112" a="1"/>
  <c r="L25" i="112" s="1"/>
  <c r="K25" i="112" a="1"/>
  <c r="K25" i="112" s="1"/>
  <c r="J25" i="112" a="1"/>
  <c r="J25" i="112" s="1"/>
  <c r="I25" i="112" a="1"/>
  <c r="I25" i="112" s="1"/>
  <c r="H25" i="112" a="1"/>
  <c r="H25" i="112" s="1"/>
  <c r="G25" i="112" a="1"/>
  <c r="G25" i="112" s="1"/>
  <c r="F25" i="112" a="1"/>
  <c r="F25" i="112" s="1"/>
  <c r="E25" i="112" a="1"/>
  <c r="E25" i="112" s="1"/>
  <c r="D25" i="112" a="1"/>
  <c r="D25" i="112" s="1"/>
  <c r="L24" i="112" a="1"/>
  <c r="L24" i="112" s="1"/>
  <c r="K24" i="112" a="1"/>
  <c r="K24" i="112" s="1"/>
  <c r="J24" i="112" a="1"/>
  <c r="J24" i="112" s="1"/>
  <c r="I24" i="112" a="1"/>
  <c r="I24" i="112" s="1"/>
  <c r="H24" i="112" a="1"/>
  <c r="H24" i="112" s="1"/>
  <c r="G24" i="112" a="1"/>
  <c r="G24" i="112" s="1"/>
  <c r="F24" i="112" a="1"/>
  <c r="F24" i="112" s="1"/>
  <c r="E24" i="112" a="1"/>
  <c r="E24" i="112" s="1"/>
  <c r="D24" i="112" a="1"/>
  <c r="D24" i="112" s="1"/>
  <c r="L23" i="112" a="1"/>
  <c r="L23" i="112" s="1"/>
  <c r="K23" i="112" a="1"/>
  <c r="K23" i="112" s="1"/>
  <c r="J23" i="112" a="1"/>
  <c r="J23" i="112" s="1"/>
  <c r="I23" i="112" a="1"/>
  <c r="I23" i="112" s="1"/>
  <c r="H23" i="112" a="1"/>
  <c r="H23" i="112" s="1"/>
  <c r="G23" i="112" a="1"/>
  <c r="G23" i="112" s="1"/>
  <c r="F23" i="112" a="1"/>
  <c r="F23" i="112" s="1"/>
  <c r="E23" i="112" a="1"/>
  <c r="E23" i="112" s="1"/>
  <c r="D23" i="112" a="1"/>
  <c r="D23" i="112" s="1"/>
  <c r="L22" i="112" a="1"/>
  <c r="L22" i="112" s="1"/>
  <c r="K22" i="112" a="1"/>
  <c r="K22" i="112" s="1"/>
  <c r="J22" i="112" a="1"/>
  <c r="J22" i="112" s="1"/>
  <c r="I22" i="112" a="1"/>
  <c r="I22" i="112" s="1"/>
  <c r="H22" i="112" a="1"/>
  <c r="H22" i="112" s="1"/>
  <c r="G22" i="112" a="1"/>
  <c r="G22" i="112" s="1"/>
  <c r="F22" i="112" a="1"/>
  <c r="F22" i="112" s="1"/>
  <c r="E22" i="112" a="1"/>
  <c r="E22" i="112" s="1"/>
  <c r="D22" i="112" a="1"/>
  <c r="D22" i="112" s="1"/>
  <c r="L21" i="112" a="1"/>
  <c r="L21" i="112" s="1"/>
  <c r="K21" i="112" a="1"/>
  <c r="K21" i="112" s="1"/>
  <c r="J21" i="112" a="1"/>
  <c r="J21" i="112" s="1"/>
  <c r="I21" i="112" a="1"/>
  <c r="I21" i="112" s="1"/>
  <c r="H21" i="112" a="1"/>
  <c r="H21" i="112" s="1"/>
  <c r="G21" i="112" a="1"/>
  <c r="G21" i="112" s="1"/>
  <c r="F21" i="112" a="1"/>
  <c r="F21" i="112" s="1"/>
  <c r="E21" i="112" a="1"/>
  <c r="E21" i="112" s="1"/>
  <c r="D21" i="112" a="1"/>
  <c r="D21" i="112" s="1"/>
  <c r="L20" i="112" a="1"/>
  <c r="L20" i="112" s="1"/>
  <c r="K20" i="112" a="1"/>
  <c r="K20" i="112" s="1"/>
  <c r="J20" i="112" a="1"/>
  <c r="J20" i="112" s="1"/>
  <c r="I20" i="112" a="1"/>
  <c r="I20" i="112" s="1"/>
  <c r="H20" i="112" a="1"/>
  <c r="H20" i="112" s="1"/>
  <c r="G20" i="112" a="1"/>
  <c r="G20" i="112" s="1"/>
  <c r="F20" i="112" a="1"/>
  <c r="F20" i="112" s="1"/>
  <c r="E20" i="112" a="1"/>
  <c r="E20" i="112" s="1"/>
  <c r="D20" i="112" a="1"/>
  <c r="D20" i="112" s="1"/>
  <c r="D17" i="112" a="1"/>
  <c r="D17" i="112" s="1"/>
  <c r="D16" i="112" a="1"/>
  <c r="D16" i="112" s="1"/>
  <c r="D15" i="112" a="1"/>
  <c r="D15" i="112" s="1"/>
  <c r="K10" i="112" a="1"/>
  <c r="K10" i="112" s="1"/>
  <c r="J10" i="112" a="1"/>
  <c r="J10" i="112" s="1"/>
  <c r="I10" i="112" a="1"/>
  <c r="I10" i="112" s="1"/>
  <c r="H10" i="112" a="1"/>
  <c r="H10" i="112" s="1"/>
  <c r="G10" i="112" a="1"/>
  <c r="G10" i="112" s="1"/>
  <c r="F10" i="112" a="1"/>
  <c r="F10" i="112" s="1"/>
  <c r="E10" i="112" a="1"/>
  <c r="E10" i="112" s="1"/>
  <c r="D10" i="112" a="1"/>
  <c r="D10" i="112" s="1"/>
  <c r="K9" i="112" a="1"/>
  <c r="K9" i="112" s="1"/>
  <c r="J9" i="112" a="1"/>
  <c r="J9" i="112" s="1"/>
  <c r="I9" i="112" a="1"/>
  <c r="I9" i="112" s="1"/>
  <c r="H9" i="112" a="1"/>
  <c r="H9" i="112" s="1"/>
  <c r="G9" i="112" a="1"/>
  <c r="G9" i="112" s="1"/>
  <c r="F9" i="112" a="1"/>
  <c r="F9" i="112" s="1"/>
  <c r="E9" i="112" a="1"/>
  <c r="E9" i="112" s="1"/>
  <c r="D9" i="112" a="1"/>
  <c r="D9" i="112" s="1"/>
  <c r="K8" i="112" a="1"/>
  <c r="K8" i="112" s="1"/>
  <c r="J8" i="112" a="1"/>
  <c r="J8" i="112" s="1"/>
  <c r="I8" i="112" a="1"/>
  <c r="I8" i="112" s="1"/>
  <c r="H8" i="112" a="1"/>
  <c r="H8" i="112" s="1"/>
  <c r="G8" i="112" a="1"/>
  <c r="G8" i="112" s="1"/>
  <c r="F8" i="112" a="1"/>
  <c r="F8" i="112" s="1"/>
  <c r="E8" i="112" a="1"/>
  <c r="E8" i="112" s="1"/>
  <c r="D8" i="112" a="1"/>
  <c r="D8" i="112" s="1"/>
  <c r="D5" i="112" a="1"/>
  <c r="D5" i="112" s="1"/>
  <c r="P53" i="111" a="1"/>
  <c r="P53" i="111" s="1"/>
  <c r="F53" i="111" a="1"/>
  <c r="F53" i="111" s="1"/>
  <c r="N50" i="111" a="1"/>
  <c r="N50" i="111" s="1"/>
  <c r="D50" i="111" a="1"/>
  <c r="D50" i="111" s="1"/>
  <c r="N45" i="111"/>
  <c r="D45" i="111"/>
  <c r="J40" i="111"/>
  <c r="J36" i="111" a="1"/>
  <c r="J36" i="111" s="1"/>
  <c r="H36" i="111" a="1"/>
  <c r="H36" i="111" s="1"/>
  <c r="D36" i="111" a="1"/>
  <c r="D36" i="111" s="1"/>
  <c r="E34" i="111" a="1"/>
  <c r="E34" i="111" s="1"/>
  <c r="E33" i="111" a="1"/>
  <c r="E33" i="111" s="1"/>
  <c r="D29" i="111" a="1"/>
  <c r="D29" i="111" s="1"/>
  <c r="D28" i="111" a="1"/>
  <c r="D28" i="111" s="1"/>
  <c r="G25" i="111"/>
  <c r="F25" i="111"/>
  <c r="J19" i="111" a="1"/>
  <c r="J19" i="111" s="1"/>
  <c r="J18" i="111"/>
  <c r="J16" i="111" a="1"/>
  <c r="J16" i="111" s="1"/>
  <c r="J14" i="111" a="1"/>
  <c r="J14" i="111" s="1"/>
  <c r="J13" i="111" a="1"/>
  <c r="J13" i="111" s="1"/>
  <c r="H13" i="111" a="1"/>
  <c r="H13" i="111" s="1"/>
  <c r="D13" i="111" a="1"/>
  <c r="D13" i="111" s="1"/>
  <c r="E11" i="111" a="1"/>
  <c r="E11" i="111" s="1"/>
  <c r="E10" i="111" a="1"/>
  <c r="E10" i="111" s="1"/>
  <c r="D6" i="111" a="1"/>
  <c r="D6" i="111" s="1"/>
  <c r="D5" i="111" a="1"/>
  <c r="D5" i="111" s="1"/>
  <c r="P45" i="110" a="1"/>
  <c r="P45" i="110" s="1"/>
  <c r="F45" i="110" a="1"/>
  <c r="F45" i="110" s="1"/>
  <c r="N42" i="110" a="1"/>
  <c r="N42" i="110" s="1"/>
  <c r="D42" i="110" a="1"/>
  <c r="D42" i="110" s="1"/>
  <c r="P40" i="110" a="1"/>
  <c r="P40" i="110" s="1"/>
  <c r="F40" i="110" a="1"/>
  <c r="F40" i="110" s="1"/>
  <c r="J36" i="110"/>
  <c r="R33" i="110" a="1"/>
  <c r="R33" i="110" s="1"/>
  <c r="N33" i="110" a="1"/>
  <c r="N33" i="110" s="1"/>
  <c r="H33" i="110" a="1"/>
  <c r="H33" i="110" s="1"/>
  <c r="D33" i="110" a="1"/>
  <c r="D33" i="110" s="1"/>
  <c r="O31" i="110" a="1"/>
  <c r="O31" i="110" s="1"/>
  <c r="E31" i="110" a="1"/>
  <c r="E31" i="110" s="1"/>
  <c r="O30" i="110" a="1"/>
  <c r="O30" i="110" s="1"/>
  <c r="E30" i="110" a="1"/>
  <c r="E30" i="110" s="1"/>
  <c r="N26" i="110" a="1"/>
  <c r="N26" i="110" s="1"/>
  <c r="D26" i="110" a="1"/>
  <c r="D26" i="110" s="1"/>
  <c r="N25" i="110" a="1"/>
  <c r="N25" i="110" s="1"/>
  <c r="D25" i="110" a="1"/>
  <c r="D25" i="110" s="1"/>
  <c r="P21" i="110" a="1"/>
  <c r="P21" i="110" s="1"/>
  <c r="F21" i="110" a="1"/>
  <c r="F21" i="110" s="1"/>
  <c r="J19" i="110"/>
  <c r="R13" i="110" a="1"/>
  <c r="R13" i="110" s="1"/>
  <c r="N13" i="110" a="1"/>
  <c r="N13" i="110" s="1"/>
  <c r="J13" i="110"/>
  <c r="H13" i="110" a="1"/>
  <c r="H13" i="110" s="1"/>
  <c r="D13" i="110" a="1"/>
  <c r="D13" i="110" s="1"/>
  <c r="E11" i="110" a="1"/>
  <c r="E11" i="110" s="1"/>
  <c r="E10" i="110" a="1"/>
  <c r="E10" i="110" s="1"/>
  <c r="D6" i="110" a="1"/>
  <c r="D6" i="110" s="1"/>
  <c r="D5" i="110" a="1"/>
  <c r="D5" i="110"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E63" i="108" a="1"/>
  <c r="E63" i="108" s="1"/>
  <c r="D63" i="108" a="1"/>
  <c r="D63" i="108" s="1"/>
  <c r="E62" i="108" a="1"/>
  <c r="E62" i="108" s="1"/>
  <c r="D62" i="108" a="1"/>
  <c r="D62" i="108" s="1"/>
  <c r="E61" i="108" a="1"/>
  <c r="E61" i="108" s="1"/>
  <c r="D61" i="108" a="1"/>
  <c r="D61" i="108" s="1"/>
  <c r="E60" i="108" a="1"/>
  <c r="E60" i="108" s="1"/>
  <c r="D60" i="108" a="1"/>
  <c r="D60" i="108" s="1"/>
  <c r="E59" i="108" a="1"/>
  <c r="E59" i="108" s="1"/>
  <c r="D59" i="108" a="1"/>
  <c r="D59" i="108" s="1"/>
  <c r="E58" i="108" a="1"/>
  <c r="E58" i="108" s="1"/>
  <c r="D58" i="108" a="1"/>
  <c r="D58" i="108" s="1"/>
  <c r="D56" i="108" a="1"/>
  <c r="D56" i="108" s="1"/>
  <c r="D55" i="108" a="1"/>
  <c r="D55" i="108" s="1"/>
  <c r="D54" i="108" a="1"/>
  <c r="D54" i="108" s="1"/>
  <c r="D53" i="108" a="1"/>
  <c r="D53" i="108" s="1"/>
  <c r="D52" i="108" a="1"/>
  <c r="D52" i="108" s="1"/>
  <c r="G50" i="108" a="1"/>
  <c r="G50" i="108" s="1"/>
  <c r="F50" i="108" a="1"/>
  <c r="F50" i="108" s="1"/>
  <c r="E50" i="108" a="1"/>
  <c r="E50" i="108" s="1"/>
  <c r="O21" i="108" s="1"/>
  <c r="D50" i="108" a="1"/>
  <c r="D50" i="108" s="1"/>
  <c r="G49" i="108" a="1"/>
  <c r="G49" i="108" s="1"/>
  <c r="F49" i="108" a="1"/>
  <c r="F49" i="108" s="1"/>
  <c r="E49" i="108" a="1"/>
  <c r="E49" i="108" s="1"/>
  <c r="O20" i="108" s="1"/>
  <c r="D49" i="108" a="1"/>
  <c r="D49" i="108" s="1"/>
  <c r="G48" i="108" a="1"/>
  <c r="G48" i="108" s="1"/>
  <c r="F48" i="108" a="1"/>
  <c r="F48" i="108" s="1"/>
  <c r="E48" i="108" a="1"/>
  <c r="E48" i="108" s="1"/>
  <c r="O19" i="108" s="1"/>
  <c r="D48" i="108" a="1"/>
  <c r="D48" i="108" s="1"/>
  <c r="G47" i="108" a="1"/>
  <c r="G47" i="108" s="1"/>
  <c r="F47" i="108" a="1"/>
  <c r="F47" i="108" s="1"/>
  <c r="E47" i="108" a="1"/>
  <c r="E47" i="108" s="1"/>
  <c r="O18" i="108" s="1"/>
  <c r="D47" i="108" a="1"/>
  <c r="D47" i="108" s="1"/>
  <c r="G46" i="108" a="1"/>
  <c r="G46" i="108" s="1"/>
  <c r="F46" i="108" a="1"/>
  <c r="F46" i="108" s="1"/>
  <c r="E46" i="108" a="1"/>
  <c r="E46" i="108" s="1"/>
  <c r="O17" i="108" s="1"/>
  <c r="D46" i="108" a="1"/>
  <c r="D46" i="108" s="1"/>
  <c r="G45" i="108" a="1"/>
  <c r="G45" i="108" s="1"/>
  <c r="F45" i="108" a="1"/>
  <c r="F45" i="108" s="1"/>
  <c r="E45" i="108" a="1"/>
  <c r="E45" i="108" s="1"/>
  <c r="D45" i="108" a="1"/>
  <c r="D45" i="108" s="1"/>
  <c r="G44" i="108" a="1"/>
  <c r="G44" i="108" s="1"/>
  <c r="F44" i="108" a="1"/>
  <c r="F44" i="108" s="1"/>
  <c r="E44" i="108" a="1"/>
  <c r="E44" i="108" s="1"/>
  <c r="M21" i="108" s="1"/>
  <c r="D44" i="108" a="1"/>
  <c r="D44" i="108" s="1"/>
  <c r="G43" i="108" a="1"/>
  <c r="G43" i="108" s="1"/>
  <c r="F43" i="108" a="1"/>
  <c r="F43" i="108" s="1"/>
  <c r="E43" i="108" a="1"/>
  <c r="E43" i="108" s="1"/>
  <c r="M20" i="108" s="1"/>
  <c r="D43" i="108" a="1"/>
  <c r="D43" i="108" s="1"/>
  <c r="G42" i="108" a="1"/>
  <c r="G42" i="108" s="1"/>
  <c r="F42" i="108" a="1"/>
  <c r="F42" i="108" s="1"/>
  <c r="E42" i="108" a="1"/>
  <c r="E42" i="108" s="1"/>
  <c r="M19" i="108" s="1"/>
  <c r="D42" i="108" a="1"/>
  <c r="D42" i="108" s="1"/>
  <c r="G41" i="108" a="1"/>
  <c r="G41" i="108" s="1"/>
  <c r="F41" i="108" a="1"/>
  <c r="F41" i="108" s="1"/>
  <c r="E41" i="108" a="1"/>
  <c r="E41" i="108" s="1"/>
  <c r="M18" i="108" s="1"/>
  <c r="D41" i="108" a="1"/>
  <c r="D41" i="108" s="1"/>
  <c r="G40" i="108" a="1"/>
  <c r="G40" i="108" s="1"/>
  <c r="F40" i="108" a="1"/>
  <c r="F40" i="108" s="1"/>
  <c r="E40" i="108" a="1"/>
  <c r="E40" i="108" s="1"/>
  <c r="M17" i="108" s="1"/>
  <c r="D40" i="108" a="1"/>
  <c r="D40" i="108" s="1"/>
  <c r="G39" i="108" a="1"/>
  <c r="G39" i="108" s="1"/>
  <c r="F39" i="108" a="1"/>
  <c r="F39" i="108" s="1"/>
  <c r="E39" i="108" a="1"/>
  <c r="E39" i="108" s="1"/>
  <c r="D39" i="108" a="1"/>
  <c r="D39" i="108" s="1"/>
  <c r="G38" i="108" a="1"/>
  <c r="G38" i="108" s="1"/>
  <c r="F38" i="108" a="1"/>
  <c r="F38" i="108" s="1"/>
  <c r="E38" i="108" a="1"/>
  <c r="E38" i="108" s="1"/>
  <c r="K26" i="108" s="1"/>
  <c r="D38" i="108" a="1"/>
  <c r="D38" i="108" s="1"/>
  <c r="G37" i="108" a="1"/>
  <c r="G37" i="108" s="1"/>
  <c r="F37" i="108" a="1"/>
  <c r="F37" i="108" s="1"/>
  <c r="E37" i="108" a="1"/>
  <c r="E37" i="108" s="1"/>
  <c r="K25" i="108" s="1"/>
  <c r="D37" i="108" a="1"/>
  <c r="D37" i="108" s="1"/>
  <c r="G36" i="108" a="1"/>
  <c r="G36" i="108" s="1"/>
  <c r="F36" i="108" a="1"/>
  <c r="F36" i="108" s="1"/>
  <c r="E36" i="108" a="1"/>
  <c r="E36" i="108" s="1"/>
  <c r="K24" i="108" s="1"/>
  <c r="D36" i="108" a="1"/>
  <c r="D36" i="108" s="1"/>
  <c r="G35" i="108" a="1"/>
  <c r="G35" i="108" s="1"/>
  <c r="F35" i="108" a="1"/>
  <c r="F35" i="108" s="1"/>
  <c r="E35" i="108" a="1"/>
  <c r="E35" i="108" s="1"/>
  <c r="K23" i="108" s="1"/>
  <c r="D35" i="108" a="1"/>
  <c r="D35" i="108" s="1"/>
  <c r="G34" i="108" a="1"/>
  <c r="G34" i="108" s="1"/>
  <c r="F34" i="108" a="1"/>
  <c r="F34" i="108" s="1"/>
  <c r="E34" i="108" a="1"/>
  <c r="E34" i="108" s="1"/>
  <c r="K22" i="108" s="1"/>
  <c r="D34" i="108" a="1"/>
  <c r="D34" i="108" s="1"/>
  <c r="G33" i="108" a="1"/>
  <c r="G33" i="108" s="1"/>
  <c r="F33" i="108" a="1"/>
  <c r="F33" i="108" s="1"/>
  <c r="E33" i="108" a="1"/>
  <c r="E33" i="108" s="1"/>
  <c r="K21" i="108" s="1"/>
  <c r="D33" i="108" a="1"/>
  <c r="D33" i="108" s="1"/>
  <c r="G32" i="108" a="1"/>
  <c r="G32" i="108" s="1"/>
  <c r="F32" i="108" a="1"/>
  <c r="F32" i="108" s="1"/>
  <c r="E32" i="108" a="1"/>
  <c r="E32" i="108" s="1"/>
  <c r="K20" i="108" s="1"/>
  <c r="D32" i="108" a="1"/>
  <c r="D32" i="108" s="1"/>
  <c r="G31" i="108" a="1"/>
  <c r="G31" i="108" s="1"/>
  <c r="F31" i="108" a="1"/>
  <c r="F31" i="108" s="1"/>
  <c r="E31" i="108" a="1"/>
  <c r="E31" i="108" s="1"/>
  <c r="K19" i="108" s="1"/>
  <c r="D31" i="108" a="1"/>
  <c r="D31" i="108" s="1"/>
  <c r="G30" i="108" a="1"/>
  <c r="G30" i="108" s="1"/>
  <c r="F30" i="108" a="1"/>
  <c r="F30" i="108" s="1"/>
  <c r="E30" i="108" a="1"/>
  <c r="E30" i="108" s="1"/>
  <c r="K18" i="108" s="1"/>
  <c r="D30" i="108" a="1"/>
  <c r="D30" i="108" s="1"/>
  <c r="G29" i="108" a="1"/>
  <c r="G29" i="108" s="1"/>
  <c r="F29" i="108" a="1"/>
  <c r="F29" i="108" s="1"/>
  <c r="E29" i="108" a="1"/>
  <c r="E29" i="108" s="1"/>
  <c r="K17" i="108" s="1"/>
  <c r="D29" i="108" a="1"/>
  <c r="D29" i="108" s="1"/>
  <c r="G28" i="108" a="1"/>
  <c r="G28" i="108" s="1"/>
  <c r="F28" i="108" a="1"/>
  <c r="F28" i="108" s="1"/>
  <c r="E28" i="108" a="1"/>
  <c r="E28" i="108" s="1"/>
  <c r="D28" i="108" a="1"/>
  <c r="D28" i="108" s="1"/>
  <c r="G27" i="108" a="1"/>
  <c r="G27" i="108" s="1"/>
  <c r="F27" i="108" a="1"/>
  <c r="F27" i="108" s="1"/>
  <c r="E27" i="108" a="1"/>
  <c r="E27" i="108" s="1"/>
  <c r="I27" i="108" s="1"/>
  <c r="D27" i="108" a="1"/>
  <c r="D27" i="108" s="1"/>
  <c r="G26" i="108" a="1"/>
  <c r="G26" i="108" s="1"/>
  <c r="F26" i="108" a="1"/>
  <c r="F26" i="108" s="1"/>
  <c r="E26" i="108" a="1"/>
  <c r="E26" i="108" s="1"/>
  <c r="I26" i="108" s="1"/>
  <c r="D26" i="108" a="1"/>
  <c r="D26" i="108" s="1"/>
  <c r="G25" i="108" a="1"/>
  <c r="G25" i="108" s="1"/>
  <c r="F25" i="108" a="1"/>
  <c r="F25" i="108" s="1"/>
  <c r="E25" i="108" a="1"/>
  <c r="E25" i="108" s="1"/>
  <c r="I25" i="108" s="1"/>
  <c r="D25" i="108" a="1"/>
  <c r="D25" i="108" s="1"/>
  <c r="G24" i="108" a="1"/>
  <c r="G24" i="108" s="1"/>
  <c r="F24" i="108" a="1"/>
  <c r="F24" i="108" s="1"/>
  <c r="E24" i="108" a="1"/>
  <c r="E24" i="108" s="1"/>
  <c r="I24" i="108" s="1"/>
  <c r="D24" i="108" a="1"/>
  <c r="D24" i="108" s="1"/>
  <c r="G23" i="108" a="1"/>
  <c r="G23" i="108" s="1"/>
  <c r="F23" i="108" a="1"/>
  <c r="F23" i="108" s="1"/>
  <c r="E23" i="108" a="1"/>
  <c r="E23" i="108" s="1"/>
  <c r="I23" i="108" s="1"/>
  <c r="D23" i="108" a="1"/>
  <c r="D23" i="108" s="1"/>
  <c r="G22" i="108" a="1"/>
  <c r="G22" i="108" s="1"/>
  <c r="F22" i="108" a="1"/>
  <c r="F22" i="108" s="1"/>
  <c r="E22" i="108" a="1"/>
  <c r="E22" i="108" s="1"/>
  <c r="I22" i="108" s="1"/>
  <c r="D22" i="108" a="1"/>
  <c r="D22" i="108" s="1"/>
  <c r="G21" i="108" a="1"/>
  <c r="G21" i="108" s="1"/>
  <c r="F21" i="108" a="1"/>
  <c r="F21" i="108" s="1"/>
  <c r="E21" i="108" a="1"/>
  <c r="E21" i="108" s="1"/>
  <c r="I21" i="108" s="1"/>
  <c r="D21" i="108" a="1"/>
  <c r="D21" i="108" s="1"/>
  <c r="G20" i="108" a="1"/>
  <c r="G20" i="108" s="1"/>
  <c r="F20" i="108" a="1"/>
  <c r="F20" i="108" s="1"/>
  <c r="E20" i="108" a="1"/>
  <c r="E20" i="108" s="1"/>
  <c r="I20" i="108" s="1"/>
  <c r="D20" i="108" a="1"/>
  <c r="D20" i="108" s="1"/>
  <c r="G19" i="108" a="1"/>
  <c r="G19" i="108" s="1"/>
  <c r="F19" i="108" a="1"/>
  <c r="F19" i="108" s="1"/>
  <c r="E19" i="108" a="1"/>
  <c r="E19" i="108" s="1"/>
  <c r="I19" i="108" s="1"/>
  <c r="D19" i="108" a="1"/>
  <c r="D19" i="108" s="1"/>
  <c r="G18" i="108" a="1"/>
  <c r="G18" i="108" s="1"/>
  <c r="F18" i="108" a="1"/>
  <c r="F18" i="108" s="1"/>
  <c r="E18" i="108" a="1"/>
  <c r="E18" i="108" s="1"/>
  <c r="I18" i="108" s="1"/>
  <c r="D18" i="108" a="1"/>
  <c r="D18" i="108" s="1"/>
  <c r="G17" i="108" a="1"/>
  <c r="G17" i="108" s="1"/>
  <c r="F17" i="108" a="1"/>
  <c r="F17" i="108" s="1"/>
  <c r="E17" i="108" a="1"/>
  <c r="E17" i="108" s="1"/>
  <c r="D17" i="108" a="1"/>
  <c r="D17" i="108" s="1"/>
  <c r="D15" i="108" a="1"/>
  <c r="D15" i="108" s="1"/>
  <c r="D14" i="108" a="1"/>
  <c r="D14" i="108" s="1"/>
  <c r="D7" i="108" a="1"/>
  <c r="D7" i="108" s="1"/>
  <c r="D6" i="108" a="1"/>
  <c r="D6" i="108" s="1"/>
  <c r="D5" i="108" a="1"/>
  <c r="D5" i="108" s="1"/>
  <c r="H185" i="107"/>
  <c r="H179" i="107"/>
  <c r="H168" i="107"/>
  <c r="H144" i="107"/>
  <c r="H138" i="107"/>
  <c r="H127" i="107"/>
  <c r="H105" i="107" a="1"/>
  <c r="H105" i="107" s="1"/>
  <c r="D105" i="107" a="1"/>
  <c r="D105" i="107" s="1"/>
  <c r="E103" i="107" a="1"/>
  <c r="E103" i="107" s="1"/>
  <c r="E102" i="107" a="1"/>
  <c r="E102" i="107" s="1"/>
  <c r="D98" i="107" a="1"/>
  <c r="D98" i="107" s="1"/>
  <c r="D97" i="107" a="1"/>
  <c r="D97" i="107" s="1"/>
  <c r="D96" i="107" a="1"/>
  <c r="D96" i="107" s="1"/>
  <c r="J16" i="107" a="1"/>
  <c r="J16" i="107" s="1"/>
  <c r="I16" i="107" a="1"/>
  <c r="I16" i="107" s="1"/>
  <c r="J15" i="107" a="1"/>
  <c r="J15" i="107" s="1"/>
  <c r="I15" i="107" a="1"/>
  <c r="I15" i="107" s="1"/>
  <c r="J14" i="107" a="1"/>
  <c r="J14" i="107" s="1"/>
  <c r="I14" i="107" a="1"/>
  <c r="I14" i="107" s="1"/>
  <c r="J13" i="107" a="1"/>
  <c r="J13" i="107" s="1"/>
  <c r="I13" i="107" a="1"/>
  <c r="I13" i="107" s="1"/>
  <c r="G13" i="107" a="1"/>
  <c r="G13" i="107" s="1"/>
  <c r="D13" i="107" a="1"/>
  <c r="D13" i="107" s="1"/>
  <c r="E11" i="107" a="1"/>
  <c r="E11" i="107" s="1"/>
  <c r="E10" i="107" a="1"/>
  <c r="E10" i="107" s="1"/>
  <c r="D6" i="107" a="1"/>
  <c r="D6" i="107" s="1"/>
  <c r="D5" i="107" a="1"/>
  <c r="D5" i="107" s="1"/>
  <c r="E139" i="105"/>
  <c r="F40" i="104" s="1"/>
  <c r="M40" i="104" s="1" a="1"/>
  <c r="M40" i="104" s="1"/>
  <c r="G138" i="105"/>
  <c r="F32" i="103" s="1"/>
  <c r="E138" i="105"/>
  <c r="F39" i="104" s="1"/>
  <c r="G137" i="105"/>
  <c r="F31" i="103" s="1"/>
  <c r="M31" i="103" s="1" a="1"/>
  <c r="M31" i="103" s="1"/>
  <c r="E137" i="105"/>
  <c r="F38" i="104" s="1"/>
  <c r="D137" i="105"/>
  <c r="F31" i="104" s="1"/>
  <c r="G136" i="105"/>
  <c r="F30" i="103" s="1"/>
  <c r="E136" i="105"/>
  <c r="F37" i="104" s="1"/>
  <c r="M37" i="104" s="1" a="1"/>
  <c r="M37" i="104" s="1"/>
  <c r="D136" i="105"/>
  <c r="F30" i="104" s="1"/>
  <c r="G135" i="105"/>
  <c r="F29" i="103" s="1"/>
  <c r="M29" i="103" s="1" a="1"/>
  <c r="M29" i="103" s="1"/>
  <c r="E135" i="105"/>
  <c r="F36" i="104" s="1"/>
  <c r="D135" i="105"/>
  <c r="F29" i="104" s="1"/>
  <c r="G134" i="105"/>
  <c r="F28" i="103" s="1"/>
  <c r="E134" i="105"/>
  <c r="F35" i="104" s="1"/>
  <c r="D134" i="105"/>
  <c r="F28" i="104" s="1"/>
  <c r="M28" i="104" s="1" a="1"/>
  <c r="M28" i="104" s="1"/>
  <c r="G133" i="105"/>
  <c r="F27" i="103" s="1"/>
  <c r="F133" i="105"/>
  <c r="F36" i="103" s="1"/>
  <c r="E133" i="105"/>
  <c r="F34" i="104" s="1"/>
  <c r="L34" i="104" s="1" a="1"/>
  <c r="L34" i="104" s="1"/>
  <c r="D133" i="105"/>
  <c r="F27" i="104" s="1"/>
  <c r="I132" i="105"/>
  <c r="F38" i="103" s="1"/>
  <c r="G132" i="105"/>
  <c r="F26" i="103" s="1"/>
  <c r="M26" i="103" s="1" a="1"/>
  <c r="M26" i="103" s="1"/>
  <c r="F132" i="105"/>
  <c r="F35" i="103" s="1"/>
  <c r="L35" i="103" s="1" a="1"/>
  <c r="L35" i="103" s="1"/>
  <c r="E132" i="105"/>
  <c r="F33" i="104" s="1"/>
  <c r="D132" i="105"/>
  <c r="F26" i="104" s="1"/>
  <c r="M26" i="104" s="1" a="1"/>
  <c r="M26" i="104" s="1"/>
  <c r="I131" i="105"/>
  <c r="F37" i="103" s="1"/>
  <c r="H131" i="105"/>
  <c r="F33" i="103" s="1"/>
  <c r="G131" i="105"/>
  <c r="F25" i="103" s="1"/>
  <c r="F131" i="105"/>
  <c r="F34" i="103" s="1"/>
  <c r="E131" i="105"/>
  <c r="F32" i="104" s="1"/>
  <c r="D131" i="105"/>
  <c r="F25" i="104" s="1"/>
  <c r="F120" i="105" a="1"/>
  <c r="F120" i="105" s="1"/>
  <c r="E120" i="105" a="1"/>
  <c r="E120" i="105" s="1"/>
  <c r="D120" i="105" a="1"/>
  <c r="D120" i="105" s="1"/>
  <c r="F119" i="105" a="1"/>
  <c r="F119" i="105" s="1"/>
  <c r="E119" i="105" a="1"/>
  <c r="E119" i="105" s="1"/>
  <c r="D119" i="105" a="1"/>
  <c r="D119" i="105" s="1"/>
  <c r="F118" i="105" a="1"/>
  <c r="F118" i="105" s="1"/>
  <c r="E118" i="105" a="1"/>
  <c r="E118" i="105" s="1"/>
  <c r="D118" i="105" a="1"/>
  <c r="D118" i="105" s="1"/>
  <c r="F117" i="105" a="1"/>
  <c r="F117" i="105" s="1"/>
  <c r="E117" i="105" a="1"/>
  <c r="E117" i="105" s="1"/>
  <c r="D117" i="105" a="1"/>
  <c r="D117" i="105" s="1"/>
  <c r="F116" i="105" a="1"/>
  <c r="F116" i="105" s="1"/>
  <c r="E116" i="105" a="1"/>
  <c r="E116" i="105" s="1"/>
  <c r="D116" i="105" a="1"/>
  <c r="D116" i="105" s="1"/>
  <c r="F115" i="105" a="1"/>
  <c r="F115" i="105" s="1"/>
  <c r="E115" i="105" a="1"/>
  <c r="E115" i="105" s="1"/>
  <c r="D115" i="105" a="1"/>
  <c r="D115" i="105" s="1"/>
  <c r="F114" i="105" a="1"/>
  <c r="F114" i="105" s="1"/>
  <c r="E114" i="105" a="1"/>
  <c r="E114" i="105" s="1"/>
  <c r="D114" i="105" a="1"/>
  <c r="D114" i="105" s="1"/>
  <c r="G113" i="105" a="1"/>
  <c r="G113" i="105" s="1"/>
  <c r="F113" i="105" a="1"/>
  <c r="F113" i="105" s="1"/>
  <c r="E113" i="105" a="1"/>
  <c r="E113" i="105" s="1"/>
  <c r="D113" i="105" a="1"/>
  <c r="D113" i="105" s="1"/>
  <c r="D110" i="105" a="1"/>
  <c r="D110" i="105" s="1"/>
  <c r="D109" i="105" a="1"/>
  <c r="D109" i="105" s="1"/>
  <c r="D108" i="105" a="1"/>
  <c r="D108" i="105" s="1"/>
  <c r="D107" i="105" a="1"/>
  <c r="D107" i="105" s="1"/>
  <c r="J104" i="105" a="1"/>
  <c r="J104" i="105" s="1"/>
  <c r="I104" i="105" a="1"/>
  <c r="I104" i="105" s="1"/>
  <c r="H104" i="105" a="1"/>
  <c r="H104" i="105" s="1"/>
  <c r="G104" i="105" a="1"/>
  <c r="G104" i="105" s="1"/>
  <c r="F104" i="105" a="1"/>
  <c r="F104" i="105" s="1"/>
  <c r="E104" i="105" a="1"/>
  <c r="E104" i="105" s="1"/>
  <c r="D104" i="105" a="1"/>
  <c r="D104" i="105" s="1"/>
  <c r="E40" i="104" s="1"/>
  <c r="J103" i="105" a="1"/>
  <c r="J103" i="105" s="1"/>
  <c r="I103" i="105" a="1"/>
  <c r="I103" i="105" s="1"/>
  <c r="H103" i="105" a="1"/>
  <c r="H103" i="105" s="1"/>
  <c r="G103" i="105" a="1"/>
  <c r="G103" i="105" s="1"/>
  <c r="F103" i="105" a="1"/>
  <c r="F103" i="105" s="1"/>
  <c r="E103" i="105" a="1"/>
  <c r="E103" i="105" s="1"/>
  <c r="D103" i="105" a="1"/>
  <c r="D103" i="105" s="1"/>
  <c r="E39" i="104" s="1"/>
  <c r="I39" i="104" s="1"/>
  <c r="J102" i="105" a="1"/>
  <c r="J102" i="105" s="1"/>
  <c r="I102" i="105" a="1"/>
  <c r="I102" i="105" s="1"/>
  <c r="H102" i="105" a="1"/>
  <c r="H102" i="105" s="1"/>
  <c r="G102" i="105" a="1"/>
  <c r="G102" i="105" s="1"/>
  <c r="F102" i="105" a="1"/>
  <c r="F102" i="105" s="1"/>
  <c r="E102" i="105" a="1"/>
  <c r="E102" i="105" s="1"/>
  <c r="D102" i="105" a="1"/>
  <c r="D102" i="105" s="1"/>
  <c r="J101" i="105" a="1"/>
  <c r="J101" i="105" s="1"/>
  <c r="I101" i="105" a="1"/>
  <c r="I101" i="105" s="1"/>
  <c r="H101" i="105" a="1"/>
  <c r="H101" i="105" s="1"/>
  <c r="G101" i="105" a="1"/>
  <c r="G101" i="105" s="1"/>
  <c r="F101" i="105" a="1"/>
  <c r="F101" i="105" s="1"/>
  <c r="E101" i="105" a="1"/>
  <c r="E101" i="105" s="1"/>
  <c r="D101" i="105" a="1"/>
  <c r="D101" i="105" s="1"/>
  <c r="J100" i="105" a="1"/>
  <c r="J100" i="105" s="1"/>
  <c r="I100" i="105" a="1"/>
  <c r="I100" i="105" s="1"/>
  <c r="H100" i="105" a="1"/>
  <c r="H100" i="105" s="1"/>
  <c r="G100" i="105" a="1"/>
  <c r="G100" i="105" s="1"/>
  <c r="F100" i="105" a="1"/>
  <c r="F100" i="105" s="1"/>
  <c r="E100" i="105" a="1"/>
  <c r="E100" i="105" s="1"/>
  <c r="D100" i="105" a="1"/>
  <c r="D100" i="105" s="1"/>
  <c r="J99" i="105" a="1"/>
  <c r="J99" i="105" s="1"/>
  <c r="I99" i="105" a="1"/>
  <c r="I99" i="105" s="1"/>
  <c r="H99" i="105" a="1"/>
  <c r="H99" i="105" s="1"/>
  <c r="G99" i="105" a="1"/>
  <c r="G99" i="105" s="1"/>
  <c r="F99" i="105" a="1"/>
  <c r="F99" i="105" s="1"/>
  <c r="E99" i="105" a="1"/>
  <c r="E99" i="105" s="1"/>
  <c r="D99" i="105" a="1"/>
  <c r="D99" i="105" s="1"/>
  <c r="J98" i="105" a="1"/>
  <c r="J98" i="105" s="1"/>
  <c r="I98" i="105" a="1"/>
  <c r="I98" i="105" s="1"/>
  <c r="H98" i="105" a="1"/>
  <c r="H98" i="105" s="1"/>
  <c r="G98" i="105" a="1"/>
  <c r="G98" i="105" s="1"/>
  <c r="F98" i="105" a="1"/>
  <c r="F98" i="105" s="1"/>
  <c r="E98" i="105" a="1"/>
  <c r="E98" i="105" s="1"/>
  <c r="D98" i="105" a="1"/>
  <c r="D98" i="105" s="1"/>
  <c r="J97" i="105" a="1"/>
  <c r="J97" i="105" s="1"/>
  <c r="I97" i="105" a="1"/>
  <c r="I97" i="105" s="1"/>
  <c r="H97" i="105" a="1"/>
  <c r="H97" i="105" s="1"/>
  <c r="G97" i="105" a="1"/>
  <c r="G97" i="105" s="1"/>
  <c r="F97" i="105" a="1"/>
  <c r="F97" i="105" s="1"/>
  <c r="E97" i="105" a="1"/>
  <c r="E97" i="105" s="1"/>
  <c r="D97" i="105" a="1"/>
  <c r="D97" i="105" s="1"/>
  <c r="J96" i="105" a="1"/>
  <c r="J96" i="105" s="1"/>
  <c r="I96" i="105" a="1"/>
  <c r="I96" i="105" s="1"/>
  <c r="H96" i="105" a="1"/>
  <c r="H96" i="105" s="1"/>
  <c r="G96" i="105" a="1"/>
  <c r="G96" i="105" s="1"/>
  <c r="F96" i="105" a="1"/>
  <c r="F96" i="105" s="1"/>
  <c r="E96" i="105" a="1"/>
  <c r="E96" i="105" s="1"/>
  <c r="D96" i="105" a="1"/>
  <c r="D96" i="105" s="1"/>
  <c r="J95" i="105" a="1"/>
  <c r="J95" i="105" s="1"/>
  <c r="I95" i="105" a="1"/>
  <c r="I95" i="105" s="1"/>
  <c r="H95" i="105" a="1"/>
  <c r="H95" i="105" s="1"/>
  <c r="G95" i="105" a="1"/>
  <c r="G95" i="105" s="1"/>
  <c r="F95" i="105" a="1"/>
  <c r="F95" i="105" s="1"/>
  <c r="E95" i="105" a="1"/>
  <c r="E95" i="105" s="1"/>
  <c r="D95" i="105" a="1"/>
  <c r="D95" i="105" s="1"/>
  <c r="J94" i="105" a="1"/>
  <c r="J94" i="105" s="1"/>
  <c r="I94" i="105" a="1"/>
  <c r="I94" i="105" s="1"/>
  <c r="H94" i="105" a="1"/>
  <c r="H94" i="105" s="1"/>
  <c r="G94" i="105" a="1"/>
  <c r="G94" i="105" s="1"/>
  <c r="F94" i="105" a="1"/>
  <c r="F94" i="105" s="1"/>
  <c r="E94" i="105" a="1"/>
  <c r="E94" i="105" s="1"/>
  <c r="D94" i="105" a="1"/>
  <c r="D94" i="105" s="1"/>
  <c r="J93" i="105" a="1"/>
  <c r="J93" i="105" s="1"/>
  <c r="I93" i="105" a="1"/>
  <c r="I93" i="105" s="1"/>
  <c r="H93" i="105" a="1"/>
  <c r="H93" i="105" s="1"/>
  <c r="G93" i="105" a="1"/>
  <c r="G93" i="105" s="1"/>
  <c r="F93" i="105" a="1"/>
  <c r="F93" i="105" s="1"/>
  <c r="E93" i="105" a="1"/>
  <c r="E93" i="105" s="1"/>
  <c r="D93" i="105" a="1"/>
  <c r="D93" i="105" s="1"/>
  <c r="J92" i="105" a="1"/>
  <c r="J92" i="105" s="1"/>
  <c r="I92" i="105" a="1"/>
  <c r="I92" i="105" s="1"/>
  <c r="H92" i="105" a="1"/>
  <c r="H92" i="105" s="1"/>
  <c r="G92" i="105" a="1"/>
  <c r="G92" i="105" s="1"/>
  <c r="F92" i="105" a="1"/>
  <c r="F92" i="105" s="1"/>
  <c r="E92" i="105" a="1"/>
  <c r="E92" i="105" s="1"/>
  <c r="D92" i="105" a="1"/>
  <c r="D92" i="105" s="1"/>
  <c r="J91" i="105" a="1"/>
  <c r="J91" i="105" s="1"/>
  <c r="I91" i="105" a="1"/>
  <c r="I91" i="105" s="1"/>
  <c r="H91" i="105" a="1"/>
  <c r="H91" i="105" s="1"/>
  <c r="G91" i="105" a="1"/>
  <c r="G91" i="105" s="1"/>
  <c r="F91" i="105" a="1"/>
  <c r="F91" i="105" s="1"/>
  <c r="E91" i="105" a="1"/>
  <c r="E91" i="105" s="1"/>
  <c r="D91" i="105" a="1"/>
  <c r="D91" i="105" s="1"/>
  <c r="J90" i="105" a="1"/>
  <c r="J90" i="105" s="1"/>
  <c r="I90" i="105" a="1"/>
  <c r="I90" i="105" s="1"/>
  <c r="H90" i="105" a="1"/>
  <c r="H90" i="105" s="1"/>
  <c r="G90" i="105" a="1"/>
  <c r="G90" i="105" s="1"/>
  <c r="F90" i="105" a="1"/>
  <c r="F90" i="105" s="1"/>
  <c r="E90" i="105" a="1"/>
  <c r="E90" i="105" s="1"/>
  <c r="D90" i="105" a="1"/>
  <c r="D90" i="105" s="1"/>
  <c r="J89" i="105" a="1"/>
  <c r="J89" i="105" s="1"/>
  <c r="I89" i="105" a="1"/>
  <c r="I89" i="105" s="1"/>
  <c r="H89" i="105" a="1"/>
  <c r="H89" i="105" s="1"/>
  <c r="G89" i="105" a="1"/>
  <c r="G89" i="105" s="1"/>
  <c r="F89" i="105" a="1"/>
  <c r="F89" i="105" s="1"/>
  <c r="E89" i="105" a="1"/>
  <c r="E89" i="105" s="1"/>
  <c r="D89" i="105" a="1"/>
  <c r="D89" i="105" s="1"/>
  <c r="J88" i="105" a="1"/>
  <c r="J88" i="105" s="1"/>
  <c r="I88" i="105" a="1"/>
  <c r="I88" i="105" s="1"/>
  <c r="H88" i="105" a="1"/>
  <c r="H88" i="105" s="1"/>
  <c r="G88" i="105" a="1"/>
  <c r="G88" i="105" s="1"/>
  <c r="F88" i="105" a="1"/>
  <c r="F88" i="105" s="1"/>
  <c r="E88" i="105" a="1"/>
  <c r="E88" i="105" s="1"/>
  <c r="D88" i="105" a="1"/>
  <c r="D88" i="105" s="1"/>
  <c r="J87" i="105" a="1"/>
  <c r="J87" i="105" s="1"/>
  <c r="I87" i="105" a="1"/>
  <c r="I87" i="105" s="1"/>
  <c r="H87" i="105" a="1"/>
  <c r="H87" i="105" s="1"/>
  <c r="G87" i="105" a="1"/>
  <c r="G87" i="105" s="1"/>
  <c r="F87" i="105" a="1"/>
  <c r="F87" i="105" s="1"/>
  <c r="E87" i="105" a="1"/>
  <c r="E87" i="105" s="1"/>
  <c r="D87" i="105" a="1"/>
  <c r="D87" i="105" s="1"/>
  <c r="D84" i="105" a="1"/>
  <c r="D84" i="105" s="1"/>
  <c r="D83" i="105" a="1"/>
  <c r="D83" i="105" s="1"/>
  <c r="D82" i="105" a="1"/>
  <c r="D82" i="105" s="1"/>
  <c r="D81" i="105" a="1"/>
  <c r="D81" i="105" s="1"/>
  <c r="K77" i="105" a="1"/>
  <c r="K77" i="105" s="1"/>
  <c r="J77" i="105" a="1"/>
  <c r="J77" i="105" s="1"/>
  <c r="I77" i="105" a="1"/>
  <c r="I77" i="105" s="1"/>
  <c r="H77" i="105" a="1"/>
  <c r="H77" i="105" s="1"/>
  <c r="G77" i="105" a="1"/>
  <c r="G77" i="105" s="1"/>
  <c r="F77" i="105" a="1"/>
  <c r="F77" i="105" s="1"/>
  <c r="E77" i="105" a="1"/>
  <c r="E77" i="105" s="1"/>
  <c r="D77" i="105" a="1"/>
  <c r="D77" i="105" s="1"/>
  <c r="K76" i="105" a="1"/>
  <c r="K76" i="105" s="1"/>
  <c r="J76" i="105" a="1"/>
  <c r="J76" i="105" s="1"/>
  <c r="I76" i="105" a="1"/>
  <c r="I76" i="105" s="1"/>
  <c r="H76" i="105" a="1"/>
  <c r="H76" i="105" s="1"/>
  <c r="G76" i="105" a="1"/>
  <c r="G76" i="105" s="1"/>
  <c r="F76" i="105" a="1"/>
  <c r="F76" i="105" s="1"/>
  <c r="E76" i="105" a="1"/>
  <c r="E76" i="105" s="1"/>
  <c r="D76" i="105" a="1"/>
  <c r="D76" i="105" s="1"/>
  <c r="K75" i="105" a="1"/>
  <c r="K75" i="105" s="1"/>
  <c r="J75" i="105" a="1"/>
  <c r="J75" i="105" s="1"/>
  <c r="I75" i="105" a="1"/>
  <c r="I75" i="105" s="1"/>
  <c r="H75" i="105" a="1"/>
  <c r="H75" i="105" s="1"/>
  <c r="G75" i="105" a="1"/>
  <c r="G75" i="105" s="1"/>
  <c r="F75" i="105" a="1"/>
  <c r="F75" i="105" s="1"/>
  <c r="E75" i="105" a="1"/>
  <c r="E75" i="105" s="1"/>
  <c r="D75" i="105" a="1"/>
  <c r="D75" i="105" s="1"/>
  <c r="E37" i="104" s="1"/>
  <c r="J37" i="104" s="1"/>
  <c r="K74" i="105" a="1"/>
  <c r="K74" i="105" s="1"/>
  <c r="J74" i="105" a="1"/>
  <c r="J74" i="105" s="1"/>
  <c r="I74" i="105" a="1"/>
  <c r="I74" i="105" s="1"/>
  <c r="H74" i="105" a="1"/>
  <c r="H74" i="105" s="1"/>
  <c r="G74" i="105" a="1"/>
  <c r="G74" i="105" s="1"/>
  <c r="F74" i="105" a="1"/>
  <c r="F74" i="105" s="1"/>
  <c r="E74" i="105" a="1"/>
  <c r="E74" i="105" s="1"/>
  <c r="D74" i="105" a="1"/>
  <c r="D74" i="105" s="1"/>
  <c r="K73" i="105" a="1"/>
  <c r="K73" i="105" s="1"/>
  <c r="J73" i="105" a="1"/>
  <c r="J73" i="105" s="1"/>
  <c r="I73" i="105" a="1"/>
  <c r="I73" i="105" s="1"/>
  <c r="H73" i="105" a="1"/>
  <c r="H73" i="105" s="1"/>
  <c r="G73" i="105" a="1"/>
  <c r="G73" i="105" s="1"/>
  <c r="F73" i="105" a="1"/>
  <c r="F73" i="105" s="1"/>
  <c r="E73" i="105" a="1"/>
  <c r="E73" i="105" s="1"/>
  <c r="D73" i="105" a="1"/>
  <c r="D73" i="105" s="1"/>
  <c r="K72" i="105" a="1"/>
  <c r="K72" i="105" s="1"/>
  <c r="J72" i="105" a="1"/>
  <c r="J72" i="105" s="1"/>
  <c r="I72" i="105" a="1"/>
  <c r="I72" i="105" s="1"/>
  <c r="H72" i="105" a="1"/>
  <c r="H72" i="105" s="1"/>
  <c r="G72" i="105" a="1"/>
  <c r="G72" i="105" s="1"/>
  <c r="F72" i="105" a="1"/>
  <c r="F72" i="105" s="1"/>
  <c r="E72" i="105" a="1"/>
  <c r="E72" i="105" s="1"/>
  <c r="D72" i="105" a="1"/>
  <c r="D72" i="105" s="1"/>
  <c r="K71" i="105" a="1"/>
  <c r="K71" i="105" s="1"/>
  <c r="J71" i="105" a="1"/>
  <c r="J71" i="105" s="1"/>
  <c r="I71" i="105" a="1"/>
  <c r="I71" i="105" s="1"/>
  <c r="H71" i="105" a="1"/>
  <c r="H71" i="105" s="1"/>
  <c r="G71" i="105" a="1"/>
  <c r="G71" i="105" s="1"/>
  <c r="F71" i="105" a="1"/>
  <c r="F71" i="105" s="1"/>
  <c r="E71" i="105" a="1"/>
  <c r="E71" i="105" s="1"/>
  <c r="D71" i="105" a="1"/>
  <c r="D71" i="105" s="1"/>
  <c r="K70" i="105" a="1"/>
  <c r="K70" i="105" s="1"/>
  <c r="J70" i="105" a="1"/>
  <c r="J70" i="105" s="1"/>
  <c r="I70" i="105" a="1"/>
  <c r="I70" i="105" s="1"/>
  <c r="H70" i="105" a="1"/>
  <c r="H70" i="105" s="1"/>
  <c r="G70" i="105" a="1"/>
  <c r="G70" i="105" s="1"/>
  <c r="F70" i="105" a="1"/>
  <c r="F70" i="105" s="1"/>
  <c r="E70" i="105" a="1"/>
  <c r="E70" i="105" s="1"/>
  <c r="D70" i="105" a="1"/>
  <c r="D70" i="105" s="1"/>
  <c r="K69" i="105" a="1"/>
  <c r="K69" i="105" s="1"/>
  <c r="J69" i="105" a="1"/>
  <c r="J69" i="105" s="1"/>
  <c r="I69" i="105" a="1"/>
  <c r="I69" i="105" s="1"/>
  <c r="H69" i="105" a="1"/>
  <c r="H69" i="105" s="1"/>
  <c r="G69" i="105" a="1"/>
  <c r="G69" i="105" s="1"/>
  <c r="F69" i="105" a="1"/>
  <c r="F69" i="105" s="1"/>
  <c r="E69" i="105" a="1"/>
  <c r="E69" i="105" s="1"/>
  <c r="D69" i="105" a="1"/>
  <c r="D69" i="105" s="1"/>
  <c r="K68" i="105" a="1"/>
  <c r="K68" i="105" s="1"/>
  <c r="J68" i="105" a="1"/>
  <c r="J68" i="105" s="1"/>
  <c r="I68" i="105" a="1"/>
  <c r="I68" i="105" s="1"/>
  <c r="H68" i="105" a="1"/>
  <c r="H68" i="105" s="1"/>
  <c r="G68" i="105" a="1"/>
  <c r="G68" i="105" s="1"/>
  <c r="F68" i="105" a="1"/>
  <c r="F68" i="105" s="1"/>
  <c r="E68" i="105" a="1"/>
  <c r="E68" i="105" s="1"/>
  <c r="D68" i="105" a="1"/>
  <c r="D68" i="105" s="1"/>
  <c r="K67" i="105" a="1"/>
  <c r="K67" i="105" s="1"/>
  <c r="J67" i="105" a="1"/>
  <c r="J67" i="105" s="1"/>
  <c r="I67" i="105" a="1"/>
  <c r="I67" i="105" s="1"/>
  <c r="H67" i="105" a="1"/>
  <c r="H67" i="105" s="1"/>
  <c r="G67" i="105" a="1"/>
  <c r="G67" i="105" s="1"/>
  <c r="F67" i="105" a="1"/>
  <c r="F67" i="105" s="1"/>
  <c r="E67" i="105" a="1"/>
  <c r="E67" i="105" s="1"/>
  <c r="D67" i="105" a="1"/>
  <c r="D67" i="105" s="1"/>
  <c r="K66" i="105" a="1"/>
  <c r="K66" i="105" s="1"/>
  <c r="J66" i="105" a="1"/>
  <c r="J66" i="105" s="1"/>
  <c r="I66" i="105" a="1"/>
  <c r="I66" i="105" s="1"/>
  <c r="H66" i="105" a="1"/>
  <c r="H66" i="105" s="1"/>
  <c r="G66" i="105" a="1"/>
  <c r="G66" i="105" s="1"/>
  <c r="F66" i="105" a="1"/>
  <c r="F66" i="105" s="1"/>
  <c r="E66" i="105" a="1"/>
  <c r="E66" i="105" s="1"/>
  <c r="D66" i="105" a="1"/>
  <c r="D66" i="105" s="1"/>
  <c r="K65" i="105" a="1"/>
  <c r="K65" i="105" s="1"/>
  <c r="J65" i="105" a="1"/>
  <c r="J65" i="105" s="1"/>
  <c r="I65" i="105" a="1"/>
  <c r="I65" i="105" s="1"/>
  <c r="H65" i="105" a="1"/>
  <c r="H65" i="105" s="1"/>
  <c r="G65" i="105" a="1"/>
  <c r="G65" i="105" s="1"/>
  <c r="F65" i="105" a="1"/>
  <c r="F65" i="105" s="1"/>
  <c r="E65" i="105" a="1"/>
  <c r="E65" i="105" s="1"/>
  <c r="D65" i="105" a="1"/>
  <c r="D65" i="105" s="1"/>
  <c r="K64" i="105" a="1"/>
  <c r="K64" i="105" s="1"/>
  <c r="J64" i="105" a="1"/>
  <c r="J64" i="105" s="1"/>
  <c r="I64" i="105" a="1"/>
  <c r="I64" i="105" s="1"/>
  <c r="H64" i="105" a="1"/>
  <c r="H64" i="105" s="1"/>
  <c r="G64" i="105" a="1"/>
  <c r="G64" i="105" s="1"/>
  <c r="F64" i="105" a="1"/>
  <c r="F64" i="105" s="1"/>
  <c r="E64" i="105" a="1"/>
  <c r="E64" i="105" s="1"/>
  <c r="D64" i="105" a="1"/>
  <c r="D64" i="105" s="1"/>
  <c r="K63" i="105" a="1"/>
  <c r="K63" i="105" s="1"/>
  <c r="J63" i="105" a="1"/>
  <c r="J63" i="105" s="1"/>
  <c r="I63" i="105" a="1"/>
  <c r="I63" i="105" s="1"/>
  <c r="H63" i="105" a="1"/>
  <c r="H63" i="105" s="1"/>
  <c r="G63" i="105" a="1"/>
  <c r="G63" i="105" s="1"/>
  <c r="F63" i="105" a="1"/>
  <c r="F63" i="105" s="1"/>
  <c r="E63" i="105" a="1"/>
  <c r="E63" i="105" s="1"/>
  <c r="D63" i="105" a="1"/>
  <c r="D63" i="105" s="1"/>
  <c r="E26" i="104" s="1"/>
  <c r="K62" i="105" a="1"/>
  <c r="K62" i="105" s="1"/>
  <c r="J62" i="105" a="1"/>
  <c r="J62" i="105" s="1"/>
  <c r="I62" i="105" a="1"/>
  <c r="I62" i="105" s="1"/>
  <c r="H62" i="105" a="1"/>
  <c r="H62" i="105" s="1"/>
  <c r="G62" i="105" a="1"/>
  <c r="G62" i="105" s="1"/>
  <c r="F62" i="105" a="1"/>
  <c r="F62" i="105" s="1"/>
  <c r="E62" i="105" a="1"/>
  <c r="E62" i="105" s="1"/>
  <c r="D62" i="105" a="1"/>
  <c r="D62" i="105" s="1"/>
  <c r="K61" i="105" a="1"/>
  <c r="K61" i="105" s="1"/>
  <c r="J61" i="105" a="1"/>
  <c r="J61" i="105" s="1"/>
  <c r="I61" i="105" a="1"/>
  <c r="I61" i="105" s="1"/>
  <c r="H61" i="105" a="1"/>
  <c r="H61" i="105" s="1"/>
  <c r="G61" i="105" a="1"/>
  <c r="G61" i="105" s="1"/>
  <c r="F61" i="105" a="1"/>
  <c r="F61" i="105" s="1"/>
  <c r="E61" i="105" a="1"/>
  <c r="E61" i="105" s="1"/>
  <c r="D61" i="105" a="1"/>
  <c r="D61" i="105" s="1"/>
  <c r="K60" i="105" a="1"/>
  <c r="K60" i="105" s="1"/>
  <c r="J60" i="105" a="1"/>
  <c r="J60" i="105" s="1"/>
  <c r="I60" i="105" a="1"/>
  <c r="I60" i="105" s="1"/>
  <c r="H60" i="105" a="1"/>
  <c r="H60" i="105" s="1"/>
  <c r="G60" i="105" a="1"/>
  <c r="G60" i="105" s="1"/>
  <c r="F60" i="105" a="1"/>
  <c r="F60" i="105" s="1"/>
  <c r="E60" i="105" a="1"/>
  <c r="E60" i="105" s="1"/>
  <c r="D60" i="105" a="1"/>
  <c r="D60" i="105" s="1"/>
  <c r="K59" i="105" a="1"/>
  <c r="K59" i="105" s="1"/>
  <c r="J59" i="105" a="1"/>
  <c r="J59" i="105" s="1"/>
  <c r="I59" i="105" a="1"/>
  <c r="I59" i="105" s="1"/>
  <c r="H59" i="105" a="1"/>
  <c r="H59" i="105" s="1"/>
  <c r="G59" i="105" a="1"/>
  <c r="G59" i="105" s="1"/>
  <c r="F59" i="105" a="1"/>
  <c r="F59" i="105" s="1"/>
  <c r="E59" i="105" a="1"/>
  <c r="E59" i="105" s="1"/>
  <c r="D59" i="105" a="1"/>
  <c r="D59" i="105" s="1"/>
  <c r="K58" i="105" a="1"/>
  <c r="K58" i="105" s="1"/>
  <c r="J58" i="105" a="1"/>
  <c r="J58" i="105" s="1"/>
  <c r="I58" i="105" a="1"/>
  <c r="I58" i="105" s="1"/>
  <c r="H58" i="105" a="1"/>
  <c r="H58" i="105" s="1"/>
  <c r="G58" i="105" a="1"/>
  <c r="G58" i="105" s="1"/>
  <c r="F58" i="105" a="1"/>
  <c r="F58" i="105" s="1"/>
  <c r="E58" i="105" a="1"/>
  <c r="E58" i="105" s="1"/>
  <c r="D58" i="105" a="1"/>
  <c r="D58" i="105" s="1"/>
  <c r="K57" i="105" a="1"/>
  <c r="K57" i="105" s="1"/>
  <c r="J57" i="105" a="1"/>
  <c r="J57" i="105" s="1"/>
  <c r="I57" i="105" a="1"/>
  <c r="I57" i="105" s="1"/>
  <c r="H57" i="105" a="1"/>
  <c r="H57" i="105" s="1"/>
  <c r="G57" i="105" a="1"/>
  <c r="G57" i="105" s="1"/>
  <c r="F57" i="105" a="1"/>
  <c r="F57" i="105" s="1"/>
  <c r="E57" i="105" a="1"/>
  <c r="E57" i="105" s="1"/>
  <c r="D57" i="105" a="1"/>
  <c r="D57" i="105" s="1"/>
  <c r="K56" i="105" a="1"/>
  <c r="K56" i="105" s="1"/>
  <c r="J56" i="105" a="1"/>
  <c r="J56" i="105" s="1"/>
  <c r="I56" i="105" a="1"/>
  <c r="I56" i="105" s="1"/>
  <c r="H56" i="105" a="1"/>
  <c r="H56" i="105" s="1"/>
  <c r="G56" i="105" a="1"/>
  <c r="G56" i="105" s="1"/>
  <c r="F56" i="105" a="1"/>
  <c r="F56" i="105" s="1"/>
  <c r="E56" i="105" a="1"/>
  <c r="E56" i="105" s="1"/>
  <c r="D56" i="105" a="1"/>
  <c r="D56" i="105" s="1"/>
  <c r="K55" i="105" a="1"/>
  <c r="K55" i="105" s="1"/>
  <c r="J55" i="105" a="1"/>
  <c r="J55" i="105" s="1"/>
  <c r="I55" i="105" a="1"/>
  <c r="I55" i="105" s="1"/>
  <c r="H55" i="105" a="1"/>
  <c r="H55" i="105" s="1"/>
  <c r="G55" i="105" a="1"/>
  <c r="G55" i="105" s="1"/>
  <c r="F55" i="105" a="1"/>
  <c r="F55" i="105" s="1"/>
  <c r="E55" i="105" a="1"/>
  <c r="E55" i="105" s="1"/>
  <c r="D55" i="105" a="1"/>
  <c r="D55" i="105" s="1"/>
  <c r="K54" i="105" a="1"/>
  <c r="K54" i="105" s="1"/>
  <c r="J54" i="105" a="1"/>
  <c r="J54" i="105" s="1"/>
  <c r="I54" i="105" a="1"/>
  <c r="I54" i="105" s="1"/>
  <c r="H54" i="105" a="1"/>
  <c r="H54" i="105" s="1"/>
  <c r="G54" i="105" a="1"/>
  <c r="G54" i="105" s="1"/>
  <c r="F54" i="105" a="1"/>
  <c r="F54" i="105" s="1"/>
  <c r="E54" i="105" a="1"/>
  <c r="E54" i="105" s="1"/>
  <c r="D54" i="105" a="1"/>
  <c r="D54" i="105" s="1"/>
  <c r="D52" i="105" a="1"/>
  <c r="D52" i="105" s="1"/>
  <c r="D51" i="105" a="1"/>
  <c r="D51" i="105" s="1"/>
  <c r="D50" i="105" a="1"/>
  <c r="D50" i="105" s="1"/>
  <c r="D49" i="105" a="1"/>
  <c r="D49" i="105" s="1"/>
  <c r="J43" i="105" a="1"/>
  <c r="J43" i="105" s="1"/>
  <c r="I43" i="105" a="1"/>
  <c r="I43" i="105" s="1"/>
  <c r="H43" i="105" a="1"/>
  <c r="H43" i="105" s="1"/>
  <c r="G43" i="105" a="1"/>
  <c r="G43" i="105" s="1"/>
  <c r="F43" i="105" a="1"/>
  <c r="F43" i="105" s="1"/>
  <c r="E43" i="105" a="1"/>
  <c r="E43" i="105" s="1"/>
  <c r="D43" i="105" a="1"/>
  <c r="D43" i="105" s="1"/>
  <c r="J42" i="105" a="1"/>
  <c r="J42" i="105" s="1"/>
  <c r="I42" i="105" a="1"/>
  <c r="I42" i="105" s="1"/>
  <c r="H42" i="105" a="1"/>
  <c r="H42" i="105" s="1"/>
  <c r="G42" i="105" a="1"/>
  <c r="G42" i="105" s="1"/>
  <c r="F42" i="105" a="1"/>
  <c r="F42" i="105" s="1"/>
  <c r="E42" i="105" a="1"/>
  <c r="E42" i="105" s="1"/>
  <c r="D42" i="105" a="1"/>
  <c r="D42" i="105" s="1"/>
  <c r="J41" i="105" a="1"/>
  <c r="J41" i="105" s="1"/>
  <c r="I41" i="105" a="1"/>
  <c r="I41" i="105" s="1"/>
  <c r="H41" i="105" a="1"/>
  <c r="H41" i="105" s="1"/>
  <c r="G41" i="105" a="1"/>
  <c r="G41" i="105" s="1"/>
  <c r="F41" i="105" a="1"/>
  <c r="F41" i="105" s="1"/>
  <c r="E41" i="105" a="1"/>
  <c r="E41" i="105" s="1"/>
  <c r="D41" i="105" a="1"/>
  <c r="D41" i="105" s="1"/>
  <c r="J40" i="105" a="1"/>
  <c r="J40" i="105" s="1"/>
  <c r="I40" i="105" a="1"/>
  <c r="I40" i="105" s="1"/>
  <c r="H40" i="105" a="1"/>
  <c r="H40" i="105" s="1"/>
  <c r="G40" i="105" a="1"/>
  <c r="G40" i="105" s="1"/>
  <c r="F40" i="105" a="1"/>
  <c r="F40" i="105" s="1"/>
  <c r="E40" i="105" a="1"/>
  <c r="E40" i="105" s="1"/>
  <c r="D40" i="105" a="1"/>
  <c r="D40" i="105" s="1"/>
  <c r="D38" i="105" a="1"/>
  <c r="D38" i="105" s="1"/>
  <c r="D37" i="105" a="1"/>
  <c r="D37" i="105" s="1"/>
  <c r="L34" i="105" a="1"/>
  <c r="L34" i="105" s="1"/>
  <c r="K34" i="105" a="1"/>
  <c r="K34" i="105" s="1"/>
  <c r="J34" i="105" a="1"/>
  <c r="J34" i="105" s="1"/>
  <c r="I34" i="105" a="1"/>
  <c r="I34" i="105" s="1"/>
  <c r="H34" i="105" a="1"/>
  <c r="H34" i="105" s="1"/>
  <c r="G34" i="105" a="1"/>
  <c r="G34" i="105" s="1"/>
  <c r="F34" i="105" a="1"/>
  <c r="F34" i="105" s="1"/>
  <c r="E34" i="105" a="1"/>
  <c r="E34" i="105" s="1"/>
  <c r="D34" i="105" a="1"/>
  <c r="D34" i="105" s="1"/>
  <c r="L33" i="105" a="1"/>
  <c r="L33" i="105" s="1"/>
  <c r="K33" i="105" a="1"/>
  <c r="K33" i="105" s="1"/>
  <c r="J33" i="105" a="1"/>
  <c r="J33" i="105" s="1"/>
  <c r="I33" i="105" a="1"/>
  <c r="I33" i="105" s="1"/>
  <c r="H33" i="105" a="1"/>
  <c r="H33" i="105" s="1"/>
  <c r="G33" i="105" a="1"/>
  <c r="G33" i="105" s="1"/>
  <c r="F33" i="105" a="1"/>
  <c r="F33" i="105" s="1"/>
  <c r="E33" i="105" a="1"/>
  <c r="E33" i="105" s="1"/>
  <c r="E39" i="103" s="1"/>
  <c r="D33" i="105" a="1"/>
  <c r="D33" i="105" s="1"/>
  <c r="L32" i="105" a="1"/>
  <c r="L32" i="105" s="1"/>
  <c r="K32" i="105" a="1"/>
  <c r="K32" i="105" s="1"/>
  <c r="J32" i="105" a="1"/>
  <c r="J32" i="105" s="1"/>
  <c r="I32" i="105" a="1"/>
  <c r="I32" i="105" s="1"/>
  <c r="H32" i="105" a="1"/>
  <c r="H32" i="105" s="1"/>
  <c r="G32" i="105" a="1"/>
  <c r="G32" i="105" s="1"/>
  <c r="F32" i="105" a="1"/>
  <c r="F32" i="105" s="1"/>
  <c r="E32" i="105" a="1"/>
  <c r="E32" i="105" s="1"/>
  <c r="D32" i="105" a="1"/>
  <c r="D32" i="105" s="1"/>
  <c r="L31" i="105" a="1"/>
  <c r="L31" i="105" s="1"/>
  <c r="K31" i="105" a="1"/>
  <c r="K31" i="105" s="1"/>
  <c r="J31" i="105" a="1"/>
  <c r="J31" i="105" s="1"/>
  <c r="I31" i="105" a="1"/>
  <c r="I31" i="105" s="1"/>
  <c r="H31" i="105" a="1"/>
  <c r="H31" i="105" s="1"/>
  <c r="G31" i="105" a="1"/>
  <c r="G31" i="105" s="1"/>
  <c r="F31" i="105" a="1"/>
  <c r="F31" i="105" s="1"/>
  <c r="E31" i="105" a="1"/>
  <c r="E31" i="105" s="1"/>
  <c r="D31" i="105" a="1"/>
  <c r="D31" i="105" s="1"/>
  <c r="L30" i="105" a="1"/>
  <c r="L30" i="105" s="1"/>
  <c r="K30" i="105" a="1"/>
  <c r="K30" i="105" s="1"/>
  <c r="J30" i="105" a="1"/>
  <c r="J30" i="105" s="1"/>
  <c r="I30" i="105" a="1"/>
  <c r="I30" i="105" s="1"/>
  <c r="H30" i="105" a="1"/>
  <c r="H30" i="105" s="1"/>
  <c r="G30" i="105" a="1"/>
  <c r="G30" i="105" s="1"/>
  <c r="F30" i="105" a="1"/>
  <c r="F30" i="105" s="1"/>
  <c r="E30" i="105" a="1"/>
  <c r="E30" i="105" s="1"/>
  <c r="E36" i="103" s="1"/>
  <c r="D30" i="105" a="1"/>
  <c r="D30" i="105" s="1"/>
  <c r="L29" i="105" a="1"/>
  <c r="L29" i="105" s="1"/>
  <c r="K29" i="105" a="1"/>
  <c r="K29" i="105" s="1"/>
  <c r="J29" i="105" a="1"/>
  <c r="J29" i="105" s="1"/>
  <c r="I29" i="105" a="1"/>
  <c r="I29" i="105" s="1"/>
  <c r="H29" i="105" a="1"/>
  <c r="H29" i="105" s="1"/>
  <c r="G29" i="105" a="1"/>
  <c r="G29" i="105" s="1"/>
  <c r="F29" i="105" a="1"/>
  <c r="F29" i="105" s="1"/>
  <c r="E29" i="105" a="1"/>
  <c r="E29" i="105" s="1"/>
  <c r="E35" i="103" s="1"/>
  <c r="D29" i="105" a="1"/>
  <c r="D29" i="105" s="1"/>
  <c r="L28" i="105" a="1"/>
  <c r="L28" i="105" s="1"/>
  <c r="K28" i="105" a="1"/>
  <c r="K28" i="105" s="1"/>
  <c r="J28" i="105" a="1"/>
  <c r="J28" i="105" s="1"/>
  <c r="I28" i="105" a="1"/>
  <c r="I28" i="105" s="1"/>
  <c r="H28" i="105" a="1"/>
  <c r="H28" i="105" s="1"/>
  <c r="G28" i="105" a="1"/>
  <c r="G28" i="105" s="1"/>
  <c r="F28" i="105" a="1"/>
  <c r="F28" i="105" s="1"/>
  <c r="E28" i="105" a="1"/>
  <c r="E28" i="105" s="1"/>
  <c r="E34" i="103" s="1"/>
  <c r="D28" i="105" a="1"/>
  <c r="D28" i="105" s="1"/>
  <c r="L27" i="105" a="1"/>
  <c r="L27" i="105" s="1"/>
  <c r="K27" i="105" a="1"/>
  <c r="K27" i="105" s="1"/>
  <c r="J27" i="105" a="1"/>
  <c r="J27" i="105" s="1"/>
  <c r="I27" i="105" a="1"/>
  <c r="I27" i="105" s="1"/>
  <c r="H27" i="105" a="1"/>
  <c r="H27" i="105" s="1"/>
  <c r="G27" i="105" a="1"/>
  <c r="G27" i="105" s="1"/>
  <c r="F27" i="105" a="1"/>
  <c r="F27" i="105" s="1"/>
  <c r="E27" i="105" a="1"/>
  <c r="E27" i="105" s="1"/>
  <c r="D27" i="105" a="1"/>
  <c r="D27" i="105" s="1"/>
  <c r="L26" i="105" a="1"/>
  <c r="L26" i="105" s="1"/>
  <c r="K26" i="105" a="1"/>
  <c r="K26" i="105" s="1"/>
  <c r="J26" i="105" a="1"/>
  <c r="J26" i="105" s="1"/>
  <c r="I26" i="105" a="1"/>
  <c r="I26" i="105" s="1"/>
  <c r="H26" i="105" a="1"/>
  <c r="H26" i="105" s="1"/>
  <c r="G26" i="105" a="1"/>
  <c r="G26" i="105" s="1"/>
  <c r="F26" i="105" a="1"/>
  <c r="F26" i="105" s="1"/>
  <c r="E26" i="105" a="1"/>
  <c r="E26" i="105" s="1"/>
  <c r="D26" i="105" a="1"/>
  <c r="D26" i="105" s="1"/>
  <c r="L25" i="105" a="1"/>
  <c r="L25" i="105" s="1"/>
  <c r="K25" i="105" a="1"/>
  <c r="K25" i="105" s="1"/>
  <c r="J25" i="105" a="1"/>
  <c r="J25" i="105" s="1"/>
  <c r="I25" i="105" a="1"/>
  <c r="I25" i="105" s="1"/>
  <c r="H25" i="105" a="1"/>
  <c r="H25" i="105" s="1"/>
  <c r="G25" i="105" a="1"/>
  <c r="G25" i="105" s="1"/>
  <c r="F25" i="105" a="1"/>
  <c r="F25" i="105" s="1"/>
  <c r="E25" i="105" a="1"/>
  <c r="E25" i="105" s="1"/>
  <c r="D25" i="105" a="1"/>
  <c r="D25" i="105" s="1"/>
  <c r="L24" i="105" a="1"/>
  <c r="L24" i="105" s="1"/>
  <c r="K24" i="105" a="1"/>
  <c r="K24" i="105" s="1"/>
  <c r="J24" i="105" a="1"/>
  <c r="J24" i="105" s="1"/>
  <c r="I24" i="105" a="1"/>
  <c r="I24" i="105" s="1"/>
  <c r="H24" i="105" a="1"/>
  <c r="H24" i="105" s="1"/>
  <c r="G24" i="105" a="1"/>
  <c r="G24" i="105" s="1"/>
  <c r="F24" i="105" a="1"/>
  <c r="F24" i="105" s="1"/>
  <c r="E24" i="105" a="1"/>
  <c r="E24" i="105" s="1"/>
  <c r="D24" i="105" a="1"/>
  <c r="D24" i="105" s="1"/>
  <c r="L23" i="105" a="1"/>
  <c r="L23" i="105" s="1"/>
  <c r="K23" i="105" a="1"/>
  <c r="K23" i="105" s="1"/>
  <c r="J23" i="105" a="1"/>
  <c r="J23" i="105" s="1"/>
  <c r="I23" i="105" a="1"/>
  <c r="I23" i="105" s="1"/>
  <c r="H23" i="105" a="1"/>
  <c r="H23" i="105" s="1"/>
  <c r="G23" i="105" a="1"/>
  <c r="G23" i="105" s="1"/>
  <c r="F23" i="105" a="1"/>
  <c r="F23" i="105" s="1"/>
  <c r="E23" i="105" a="1"/>
  <c r="E23" i="105" s="1"/>
  <c r="D23" i="105" a="1"/>
  <c r="D23" i="105" s="1"/>
  <c r="L22" i="105" a="1"/>
  <c r="L22" i="105" s="1"/>
  <c r="K22" i="105" a="1"/>
  <c r="K22" i="105" s="1"/>
  <c r="J22" i="105" a="1"/>
  <c r="J22" i="105" s="1"/>
  <c r="I22" i="105" a="1"/>
  <c r="I22" i="105" s="1"/>
  <c r="H22" i="105" a="1"/>
  <c r="H22" i="105" s="1"/>
  <c r="G22" i="105" a="1"/>
  <c r="G22" i="105" s="1"/>
  <c r="F22" i="105" a="1"/>
  <c r="F22" i="105" s="1"/>
  <c r="E22" i="105" a="1"/>
  <c r="E22" i="105" s="1"/>
  <c r="D22" i="105" a="1"/>
  <c r="D22" i="105" s="1"/>
  <c r="L21" i="105" a="1"/>
  <c r="L21" i="105" s="1"/>
  <c r="K21" i="105" a="1"/>
  <c r="K21" i="105" s="1"/>
  <c r="J21" i="105" a="1"/>
  <c r="J21" i="105" s="1"/>
  <c r="I21" i="105" a="1"/>
  <c r="I21" i="105" s="1"/>
  <c r="H21" i="105" a="1"/>
  <c r="H21" i="105" s="1"/>
  <c r="G21" i="105" a="1"/>
  <c r="G21" i="105" s="1"/>
  <c r="F21" i="105" a="1"/>
  <c r="F21" i="105" s="1"/>
  <c r="E21" i="105" a="1"/>
  <c r="E21" i="105" s="1"/>
  <c r="D21" i="105" a="1"/>
  <c r="D21" i="105" s="1"/>
  <c r="L20" i="105" a="1"/>
  <c r="L20" i="105" s="1"/>
  <c r="K20" i="105" a="1"/>
  <c r="K20" i="105" s="1"/>
  <c r="J20" i="105" a="1"/>
  <c r="J20" i="105" s="1"/>
  <c r="I20" i="105" a="1"/>
  <c r="I20" i="105" s="1"/>
  <c r="H20" i="105" a="1"/>
  <c r="H20" i="105" s="1"/>
  <c r="G20" i="105" a="1"/>
  <c r="G20" i="105" s="1"/>
  <c r="F20" i="105" a="1"/>
  <c r="F20" i="105" s="1"/>
  <c r="E20" i="105" a="1"/>
  <c r="E20" i="105" s="1"/>
  <c r="D20" i="105" a="1"/>
  <c r="D20" i="105" s="1"/>
  <c r="L19" i="105" a="1"/>
  <c r="L19" i="105" s="1"/>
  <c r="K19" i="105" a="1"/>
  <c r="K19" i="105" s="1"/>
  <c r="J19" i="105" a="1"/>
  <c r="J19" i="105" s="1"/>
  <c r="I19" i="105" a="1"/>
  <c r="I19" i="105" s="1"/>
  <c r="H19" i="105" a="1"/>
  <c r="H19" i="105" s="1"/>
  <c r="G19" i="105" a="1"/>
  <c r="G19" i="105" s="1"/>
  <c r="F19" i="105" a="1"/>
  <c r="F19" i="105" s="1"/>
  <c r="E19" i="105" a="1"/>
  <c r="E19" i="105" s="1"/>
  <c r="D19" i="105" a="1"/>
  <c r="D19" i="105" s="1"/>
  <c r="L18" i="105" a="1"/>
  <c r="L18" i="105" s="1"/>
  <c r="K18" i="105" a="1"/>
  <c r="K18" i="105" s="1"/>
  <c r="J18" i="105" a="1"/>
  <c r="J18" i="105" s="1"/>
  <c r="I18" i="105" a="1"/>
  <c r="I18" i="105" s="1"/>
  <c r="H18" i="105" a="1"/>
  <c r="H18" i="105" s="1"/>
  <c r="G18" i="105" a="1"/>
  <c r="G18" i="105" s="1"/>
  <c r="F18" i="105" a="1"/>
  <c r="F18" i="105" s="1"/>
  <c r="E18" i="105" a="1"/>
  <c r="E18" i="105" s="1"/>
  <c r="D18" i="105" a="1"/>
  <c r="D18" i="105" s="1"/>
  <c r="L17" i="105" a="1"/>
  <c r="L17" i="105" s="1"/>
  <c r="K17" i="105" a="1"/>
  <c r="K17" i="105" s="1"/>
  <c r="J17" i="105" a="1"/>
  <c r="J17" i="105" s="1"/>
  <c r="I17" i="105" a="1"/>
  <c r="I17" i="105" s="1"/>
  <c r="H17" i="105" a="1"/>
  <c r="H17" i="105" s="1"/>
  <c r="G17" i="105" a="1"/>
  <c r="G17" i="105" s="1"/>
  <c r="F17" i="105" a="1"/>
  <c r="F17" i="105" s="1"/>
  <c r="E17" i="105" a="1"/>
  <c r="E17" i="105" s="1"/>
  <c r="E32" i="103" s="1"/>
  <c r="D17" i="105" a="1"/>
  <c r="D17" i="105" s="1"/>
  <c r="L16" i="105" a="1"/>
  <c r="L16" i="105" s="1"/>
  <c r="K16" i="105" a="1"/>
  <c r="K16" i="105" s="1"/>
  <c r="J16" i="105" a="1"/>
  <c r="J16" i="105" s="1"/>
  <c r="I16" i="105" a="1"/>
  <c r="I16" i="105" s="1"/>
  <c r="H16" i="105" a="1"/>
  <c r="H16" i="105" s="1"/>
  <c r="G16" i="105" a="1"/>
  <c r="G16" i="105" s="1"/>
  <c r="F16" i="105" a="1"/>
  <c r="F16" i="105" s="1"/>
  <c r="E16" i="105" a="1"/>
  <c r="E16" i="105" s="1"/>
  <c r="E31" i="103" s="1"/>
  <c r="D16" i="105" a="1"/>
  <c r="D16" i="105" s="1"/>
  <c r="L15" i="105" a="1"/>
  <c r="L15" i="105" s="1"/>
  <c r="K15" i="105" a="1"/>
  <c r="K15" i="105" s="1"/>
  <c r="J15" i="105" a="1"/>
  <c r="J15" i="105" s="1"/>
  <c r="I15" i="105" a="1"/>
  <c r="I15" i="105" s="1"/>
  <c r="H15" i="105" a="1"/>
  <c r="H15" i="105" s="1"/>
  <c r="G15" i="105" a="1"/>
  <c r="G15" i="105" s="1"/>
  <c r="F15" i="105" a="1"/>
  <c r="F15" i="105" s="1"/>
  <c r="E15" i="105" a="1"/>
  <c r="E15" i="105" s="1"/>
  <c r="E30" i="103" s="1"/>
  <c r="D15" i="105" a="1"/>
  <c r="D15" i="105" s="1"/>
  <c r="L14" i="105" a="1"/>
  <c r="L14" i="105" s="1"/>
  <c r="K14" i="105" a="1"/>
  <c r="K14" i="105" s="1"/>
  <c r="J14" i="105" a="1"/>
  <c r="J14" i="105" s="1"/>
  <c r="I14" i="105" a="1"/>
  <c r="I14" i="105" s="1"/>
  <c r="H14" i="105" a="1"/>
  <c r="H14" i="105" s="1"/>
  <c r="G14" i="105" a="1"/>
  <c r="G14" i="105" s="1"/>
  <c r="F14" i="105" a="1"/>
  <c r="F14" i="105" s="1"/>
  <c r="E14" i="105" a="1"/>
  <c r="E14" i="105" s="1"/>
  <c r="E29" i="103" s="1"/>
  <c r="D14" i="105" a="1"/>
  <c r="D14" i="105" s="1"/>
  <c r="L13" i="105" a="1"/>
  <c r="L13" i="105" s="1"/>
  <c r="K13" i="105" a="1"/>
  <c r="K13" i="105" s="1"/>
  <c r="J13" i="105" a="1"/>
  <c r="J13" i="105" s="1"/>
  <c r="I13" i="105" a="1"/>
  <c r="I13" i="105" s="1"/>
  <c r="H13" i="105" a="1"/>
  <c r="H13" i="105" s="1"/>
  <c r="G13" i="105" a="1"/>
  <c r="G13" i="105" s="1"/>
  <c r="F13" i="105" a="1"/>
  <c r="F13" i="105" s="1"/>
  <c r="E13" i="105" a="1"/>
  <c r="E13" i="105" s="1"/>
  <c r="E28" i="103" s="1"/>
  <c r="D13" i="105" a="1"/>
  <c r="D13" i="105" s="1"/>
  <c r="L12" i="105" a="1"/>
  <c r="L12" i="105" s="1"/>
  <c r="K12" i="105" a="1"/>
  <c r="K12" i="105" s="1"/>
  <c r="J12" i="105" a="1"/>
  <c r="J12" i="105" s="1"/>
  <c r="I12" i="105" a="1"/>
  <c r="I12" i="105" s="1"/>
  <c r="H12" i="105" a="1"/>
  <c r="H12" i="105" s="1"/>
  <c r="G12" i="105" a="1"/>
  <c r="G12" i="105" s="1"/>
  <c r="F12" i="105" a="1"/>
  <c r="F12" i="105" s="1"/>
  <c r="E12" i="105" a="1"/>
  <c r="E12" i="105" s="1"/>
  <c r="E27" i="103" s="1"/>
  <c r="D12" i="105" a="1"/>
  <c r="D12" i="105" s="1"/>
  <c r="L11" i="105" a="1"/>
  <c r="L11" i="105" s="1"/>
  <c r="K11" i="105" a="1"/>
  <c r="K11" i="105" s="1"/>
  <c r="J11" i="105" a="1"/>
  <c r="J11" i="105" s="1"/>
  <c r="I11" i="105" a="1"/>
  <c r="I11" i="105" s="1"/>
  <c r="H11" i="105" a="1"/>
  <c r="H11" i="105" s="1"/>
  <c r="G11" i="105" a="1"/>
  <c r="G11" i="105" s="1"/>
  <c r="F11" i="105" a="1"/>
  <c r="F11" i="105" s="1"/>
  <c r="E11" i="105" a="1"/>
  <c r="E11" i="105" s="1"/>
  <c r="D11" i="105" a="1"/>
  <c r="D11" i="105" s="1"/>
  <c r="L10" i="105" a="1"/>
  <c r="L10" i="105" s="1"/>
  <c r="K10" i="105" a="1"/>
  <c r="K10" i="105" s="1"/>
  <c r="J10" i="105" a="1"/>
  <c r="J10" i="105" s="1"/>
  <c r="I10" i="105" a="1"/>
  <c r="I10" i="105" s="1"/>
  <c r="H10" i="105" a="1"/>
  <c r="H10" i="105" s="1"/>
  <c r="G10" i="105" a="1"/>
  <c r="G10" i="105" s="1"/>
  <c r="F10" i="105" a="1"/>
  <c r="F10" i="105" s="1"/>
  <c r="E10" i="105" a="1"/>
  <c r="E10" i="105" s="1"/>
  <c r="H34" i="103" s="1" a="1"/>
  <c r="H34" i="103" s="1"/>
  <c r="D10" i="105" a="1"/>
  <c r="D10" i="105" s="1"/>
  <c r="D8" i="105" a="1"/>
  <c r="D8" i="105" s="1"/>
  <c r="D7" i="105" a="1"/>
  <c r="D7" i="105" s="1"/>
  <c r="D6" i="105" a="1"/>
  <c r="D6" i="105" s="1"/>
  <c r="D5" i="105" a="1"/>
  <c r="D5" i="105" s="1"/>
  <c r="D38" i="104"/>
  <c r="D34" i="104"/>
  <c r="D36" i="104"/>
  <c r="D31" i="104"/>
  <c r="D27" i="104"/>
  <c r="D29" i="104"/>
  <c r="P18" i="104"/>
  <c r="P17" i="104"/>
  <c r="K39" i="104" s="1" a="1"/>
  <c r="K39" i="104" s="1"/>
  <c r="P16" i="104" a="1"/>
  <c r="P16" i="104" s="1"/>
  <c r="I16" i="104" a="1"/>
  <c r="I16" i="104" s="1"/>
  <c r="P15" i="104" a="1"/>
  <c r="P15" i="104" s="1"/>
  <c r="I15" i="104" a="1"/>
  <c r="I15" i="104" s="1"/>
  <c r="P14" i="104" a="1"/>
  <c r="P14" i="104" s="1"/>
  <c r="N14" i="104" a="1"/>
  <c r="N14" i="104" s="1"/>
  <c r="K14" i="104" a="1"/>
  <c r="K14" i="104" s="1"/>
  <c r="I14" i="104" a="1"/>
  <c r="I14" i="104" s="1"/>
  <c r="G14" i="104" a="1"/>
  <c r="G14" i="104" s="1"/>
  <c r="D14" i="104" a="1"/>
  <c r="D14" i="104" s="1"/>
  <c r="L12" i="104" a="1"/>
  <c r="L12" i="104" s="1"/>
  <c r="E12" i="104" a="1"/>
  <c r="E12" i="104" s="1"/>
  <c r="F58" i="104" s="1"/>
  <c r="L11" i="104" a="1"/>
  <c r="L11" i="104" s="1"/>
  <c r="E11" i="104" a="1"/>
  <c r="E11" i="104" s="1"/>
  <c r="K7" i="104" a="1"/>
  <c r="K7" i="104" s="1"/>
  <c r="K6" i="104" a="1"/>
  <c r="K6" i="104" s="1"/>
  <c r="D6" i="104" a="1"/>
  <c r="D6" i="104" s="1"/>
  <c r="K5" i="104" a="1"/>
  <c r="K5" i="104" s="1"/>
  <c r="D5" i="104" a="1"/>
  <c r="D5" i="104" s="1"/>
  <c r="D36" i="103"/>
  <c r="D35" i="103"/>
  <c r="D54" i="103"/>
  <c r="D48" i="103"/>
  <c r="D32" i="103"/>
  <c r="D27" i="103"/>
  <c r="D26" i="103"/>
  <c r="D42" i="103"/>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6" i="103" a="1"/>
  <c r="K6" i="103" s="1"/>
  <c r="D6" i="103" a="1"/>
  <c r="D6" i="103" s="1"/>
  <c r="K5" i="103" a="1"/>
  <c r="K5" i="103" s="1"/>
  <c r="D5" i="103" a="1"/>
  <c r="D5" i="103" s="1"/>
  <c r="H21" i="102"/>
  <c r="H20" i="102"/>
  <c r="H19" i="102"/>
  <c r="H18" i="102"/>
  <c r="H17" i="102"/>
  <c r="H25" i="101" a="1"/>
  <c r="H25" i="101" s="1"/>
  <c r="G25" i="101" a="1"/>
  <c r="G25" i="101" s="1"/>
  <c r="I552" i="119" s="1" a="1"/>
  <c r="I552" i="119" s="1"/>
  <c r="F25" i="101" a="1"/>
  <c r="F25" i="101" s="1"/>
  <c r="E25" i="101" a="1"/>
  <c r="E25" i="101" s="1"/>
  <c r="J36" i="100" s="1" a="1"/>
  <c r="J36" i="100" s="1"/>
  <c r="D25" i="101" a="1"/>
  <c r="D25" i="101" s="1"/>
  <c r="D22" i="101" a="1"/>
  <c r="D22" i="101" s="1"/>
  <c r="D21" i="101" a="1"/>
  <c r="D21" i="101" s="1"/>
  <c r="F19" i="101" a="1"/>
  <c r="F19" i="101" s="1"/>
  <c r="E19" i="101" a="1"/>
  <c r="E19" i="101" s="1"/>
  <c r="D19" i="101" a="1"/>
  <c r="D19" i="101" s="1"/>
  <c r="F18" i="101" a="1"/>
  <c r="F18" i="101" s="1"/>
  <c r="E18" i="101" a="1"/>
  <c r="E18" i="101" s="1"/>
  <c r="D18" i="101" a="1"/>
  <c r="D18" i="101" s="1"/>
  <c r="F17" i="101" a="1"/>
  <c r="F17" i="101" s="1"/>
  <c r="E17" i="101" a="1"/>
  <c r="E17" i="101" s="1"/>
  <c r="D17" i="101" a="1"/>
  <c r="D17" i="101" s="1"/>
  <c r="F16" i="101" a="1"/>
  <c r="F16" i="101" s="1"/>
  <c r="E16" i="101" a="1"/>
  <c r="E16" i="101" s="1"/>
  <c r="D16" i="101" a="1"/>
  <c r="D16" i="101" s="1"/>
  <c r="F15" i="101" a="1"/>
  <c r="F15" i="101" s="1"/>
  <c r="E15" i="101" a="1"/>
  <c r="E15" i="101" s="1"/>
  <c r="D15" i="101" a="1"/>
  <c r="D15" i="101" s="1"/>
  <c r="F14" i="101" a="1"/>
  <c r="F14" i="101" s="1"/>
  <c r="E14" i="101" a="1"/>
  <c r="E14" i="101" s="1"/>
  <c r="D14" i="101" a="1"/>
  <c r="D14" i="101" s="1"/>
  <c r="F13" i="101" a="1"/>
  <c r="F13" i="101" s="1"/>
  <c r="E13" i="101" a="1"/>
  <c r="E13" i="101" s="1"/>
  <c r="D13" i="101" a="1"/>
  <c r="D13" i="101" s="1"/>
  <c r="F12" i="101" a="1"/>
  <c r="F12" i="101" s="1"/>
  <c r="E12" i="101" a="1"/>
  <c r="E12" i="101" s="1"/>
  <c r="D12" i="101" a="1"/>
  <c r="D12" i="101" s="1"/>
  <c r="F11" i="101" a="1"/>
  <c r="F11" i="101" s="1"/>
  <c r="E11" i="101" a="1"/>
  <c r="E11" i="101" s="1"/>
  <c r="D11" i="101" a="1"/>
  <c r="D11" i="101" s="1"/>
  <c r="F10" i="101" a="1"/>
  <c r="F10" i="101" s="1"/>
  <c r="E10" i="101" a="1"/>
  <c r="E10" i="101" s="1"/>
  <c r="D10" i="101" a="1"/>
  <c r="D10" i="101" s="1"/>
  <c r="D7" i="101" a="1"/>
  <c r="D7" i="101" s="1"/>
  <c r="D6" i="101" a="1"/>
  <c r="D6" i="101" s="1"/>
  <c r="D5" i="101" a="1"/>
  <c r="D5" i="101" s="1"/>
  <c r="J37" i="100"/>
  <c r="J33" i="100" s="1"/>
  <c r="J32" i="100"/>
  <c r="J31" i="100"/>
  <c r="H31" i="100" a="1"/>
  <c r="H31" i="100" s="1"/>
  <c r="D31" i="100" a="1"/>
  <c r="D31" i="100" s="1"/>
  <c r="E29" i="100" a="1"/>
  <c r="E29" i="100" s="1"/>
  <c r="F39" i="100" s="1"/>
  <c r="E28" i="100" a="1"/>
  <c r="E28" i="100" s="1"/>
  <c r="D24" i="100" a="1"/>
  <c r="D24" i="100" s="1"/>
  <c r="D23" i="100" a="1"/>
  <c r="D23" i="100" s="1"/>
  <c r="D22" i="100" a="1"/>
  <c r="D22" i="100" s="1"/>
  <c r="I16" i="100"/>
  <c r="I14" i="100"/>
  <c r="G14" i="100" a="1"/>
  <c r="G14" i="100" s="1"/>
  <c r="D14" i="100" a="1"/>
  <c r="D14" i="100" s="1"/>
  <c r="E12" i="100" a="1"/>
  <c r="E12" i="100" s="1"/>
  <c r="F18" i="100" s="1"/>
  <c r="E11" i="100" a="1"/>
  <c r="E11" i="100" s="1"/>
  <c r="D7" i="100" a="1"/>
  <c r="D7" i="100" s="1"/>
  <c r="D6" i="100" a="1"/>
  <c r="D6" i="100" s="1"/>
  <c r="D5" i="100" a="1"/>
  <c r="D5" i="100" s="1"/>
  <c r="H48" i="99"/>
  <c r="E48" i="99"/>
  <c r="H47" i="99"/>
  <c r="E47" i="99"/>
  <c r="H46" i="99"/>
  <c r="E46" i="99"/>
  <c r="H39" i="99"/>
  <c r="H38" i="99"/>
  <c r="H37" i="99"/>
  <c r="E29" i="99"/>
  <c r="E16" i="99"/>
  <c r="E22" i="99" s="1"/>
  <c r="E6" i="99"/>
  <c r="AH223" i="98" a="1"/>
  <c r="AH223" i="98" s="1"/>
  <c r="AG223" i="98" a="1"/>
  <c r="AG223" i="98" s="1"/>
  <c r="AF223" i="98" a="1"/>
  <c r="AF223" i="98" s="1"/>
  <c r="AE223" i="98" a="1"/>
  <c r="AE223" i="98" s="1"/>
  <c r="AD223" i="98" a="1"/>
  <c r="AD223" i="98" s="1"/>
  <c r="AC223" i="98" a="1"/>
  <c r="AC223" i="98" s="1"/>
  <c r="AB223" i="98" a="1"/>
  <c r="AB223" i="98" s="1"/>
  <c r="AA223" i="98" a="1"/>
  <c r="AA223" i="98" s="1"/>
  <c r="Z223" i="98" a="1"/>
  <c r="Z223" i="98" s="1"/>
  <c r="Y223" i="98" a="1"/>
  <c r="Y223" i="98" s="1"/>
  <c r="X223" i="98" a="1"/>
  <c r="X223" i="98" s="1"/>
  <c r="W223" i="98" a="1"/>
  <c r="W223" i="98" s="1"/>
  <c r="V223" i="98" a="1"/>
  <c r="V223" i="98" s="1"/>
  <c r="U223" i="98" a="1"/>
  <c r="U223" i="98" s="1"/>
  <c r="T223" i="98" a="1"/>
  <c r="T223" i="98" s="1"/>
  <c r="S223" i="98" a="1"/>
  <c r="S223" i="98" s="1"/>
  <c r="R223" i="98" a="1"/>
  <c r="R223" i="98" s="1"/>
  <c r="Q223" i="98" a="1"/>
  <c r="Q223" i="98" s="1"/>
  <c r="P223" i="98" a="1"/>
  <c r="P223" i="98" s="1"/>
  <c r="O223" i="98" a="1"/>
  <c r="O223" i="98" s="1"/>
  <c r="N223" i="98" a="1"/>
  <c r="N223" i="98" s="1"/>
  <c r="M223" i="98" a="1"/>
  <c r="M223" i="98" s="1"/>
  <c r="L223" i="98" a="1"/>
  <c r="L223" i="98" s="1"/>
  <c r="K223" i="98" a="1"/>
  <c r="K223" i="98" s="1"/>
  <c r="J223" i="98" a="1"/>
  <c r="J223" i="98" s="1"/>
  <c r="I223" i="98" a="1"/>
  <c r="I223" i="98" s="1"/>
  <c r="H223" i="98" a="1"/>
  <c r="H223" i="98" s="1"/>
  <c r="G223" i="98" a="1"/>
  <c r="G223" i="98" s="1"/>
  <c r="F223" i="98" a="1"/>
  <c r="F223" i="98" s="1"/>
  <c r="E223" i="98" a="1"/>
  <c r="E223" i="98" s="1"/>
  <c r="D223" i="98" a="1"/>
  <c r="D223" i="98" s="1"/>
  <c r="AH222" i="98" a="1"/>
  <c r="AH222" i="98" s="1"/>
  <c r="AG222" i="98" a="1"/>
  <c r="AG222" i="98" s="1"/>
  <c r="AF222" i="98" a="1"/>
  <c r="AF222" i="98" s="1"/>
  <c r="AE222" i="98" a="1"/>
  <c r="AE222" i="98" s="1"/>
  <c r="AD222" i="98" a="1"/>
  <c r="AD222" i="98" s="1"/>
  <c r="AC222" i="98" a="1"/>
  <c r="AC222" i="98" s="1"/>
  <c r="AB222" i="98" a="1"/>
  <c r="AB222" i="98" s="1"/>
  <c r="AA222" i="98" a="1"/>
  <c r="AA222" i="98" s="1"/>
  <c r="Z222" i="98" a="1"/>
  <c r="Z222" i="98" s="1"/>
  <c r="Y222" i="98" a="1"/>
  <c r="Y222" i="98" s="1"/>
  <c r="X222" i="98" a="1"/>
  <c r="X222" i="98" s="1"/>
  <c r="W222" i="98" a="1"/>
  <c r="W222" i="98" s="1"/>
  <c r="V222" i="98" a="1"/>
  <c r="V222" i="98" s="1"/>
  <c r="U222" i="98" a="1"/>
  <c r="U222" i="98" s="1"/>
  <c r="T222" i="98" a="1"/>
  <c r="T222" i="98" s="1"/>
  <c r="S222" i="98" a="1"/>
  <c r="S222" i="98" s="1"/>
  <c r="R222" i="98" a="1"/>
  <c r="R222" i="98" s="1"/>
  <c r="Q222" i="98" a="1"/>
  <c r="Q222" i="98" s="1"/>
  <c r="P222" i="98" a="1"/>
  <c r="P222" i="98" s="1"/>
  <c r="O222" i="98" a="1"/>
  <c r="O222" i="98" s="1"/>
  <c r="N222" i="98" a="1"/>
  <c r="N222" i="98" s="1"/>
  <c r="M222" i="98" a="1"/>
  <c r="M222" i="98" s="1"/>
  <c r="L222" i="98" a="1"/>
  <c r="L222" i="98" s="1"/>
  <c r="K222" i="98" a="1"/>
  <c r="K222" i="98" s="1"/>
  <c r="J222" i="98" a="1"/>
  <c r="J222" i="98" s="1"/>
  <c r="I222" i="98" a="1"/>
  <c r="I222" i="98" s="1"/>
  <c r="H222" i="98" a="1"/>
  <c r="H222" i="98" s="1"/>
  <c r="G222" i="98" a="1"/>
  <c r="G222" i="98" s="1"/>
  <c r="F222" i="98" a="1"/>
  <c r="F222" i="98" s="1"/>
  <c r="E222" i="98" a="1"/>
  <c r="E222" i="98" s="1"/>
  <c r="D222" i="98" a="1"/>
  <c r="D222" i="98" s="1"/>
  <c r="AH221" i="98" a="1"/>
  <c r="AH221" i="98" s="1"/>
  <c r="AG221" i="98" a="1"/>
  <c r="AG221" i="98" s="1"/>
  <c r="AF221" i="98" a="1"/>
  <c r="AF221" i="98" s="1"/>
  <c r="AE221" i="98" a="1"/>
  <c r="AE221" i="98" s="1"/>
  <c r="AD221" i="98" a="1"/>
  <c r="AD221" i="98" s="1"/>
  <c r="AC221" i="98" a="1"/>
  <c r="AC221" i="98" s="1"/>
  <c r="AB221" i="98" a="1"/>
  <c r="AB221" i="98" s="1"/>
  <c r="AA221" i="98" a="1"/>
  <c r="AA221" i="98" s="1"/>
  <c r="Z221" i="98" a="1"/>
  <c r="Z221" i="98" s="1"/>
  <c r="Y221" i="98" a="1"/>
  <c r="Y221" i="98" s="1"/>
  <c r="X221" i="98" a="1"/>
  <c r="X221" i="98" s="1"/>
  <c r="W221" i="98" a="1"/>
  <c r="W221" i="98" s="1"/>
  <c r="V221" i="98" a="1"/>
  <c r="V221" i="98" s="1"/>
  <c r="U221" i="98" a="1"/>
  <c r="U221" i="98" s="1"/>
  <c r="T221" i="98" a="1"/>
  <c r="T221" i="98" s="1"/>
  <c r="S221" i="98" a="1"/>
  <c r="S221" i="98" s="1"/>
  <c r="R221" i="98" a="1"/>
  <c r="R221" i="98" s="1"/>
  <c r="Q221" i="98" a="1"/>
  <c r="Q221" i="98" s="1"/>
  <c r="P221" i="98" a="1"/>
  <c r="P221" i="98" s="1"/>
  <c r="O221" i="98" a="1"/>
  <c r="O221" i="98" s="1"/>
  <c r="N221" i="98" a="1"/>
  <c r="N221" i="98" s="1"/>
  <c r="M221" i="98" a="1"/>
  <c r="M221" i="98" s="1"/>
  <c r="L221" i="98" a="1"/>
  <c r="L221" i="98" s="1"/>
  <c r="K221" i="98" a="1"/>
  <c r="K221" i="98" s="1"/>
  <c r="J221" i="98" a="1"/>
  <c r="J221" i="98" s="1"/>
  <c r="I221" i="98" a="1"/>
  <c r="I221" i="98" s="1"/>
  <c r="H221" i="98" a="1"/>
  <c r="H221" i="98" s="1"/>
  <c r="G221" i="98" a="1"/>
  <c r="G221" i="98" s="1"/>
  <c r="F221" i="98" a="1"/>
  <c r="F221" i="98" s="1"/>
  <c r="E221" i="98" a="1"/>
  <c r="E221" i="98" s="1"/>
  <c r="D221" i="98" a="1"/>
  <c r="D221" i="98" s="1"/>
  <c r="AH220" i="98" a="1"/>
  <c r="AH220" i="98" s="1"/>
  <c r="AG220" i="98" a="1"/>
  <c r="AG220" i="98" s="1"/>
  <c r="AF220" i="98" a="1"/>
  <c r="AF220" i="98" s="1"/>
  <c r="AE220" i="98" a="1"/>
  <c r="AE220" i="98" s="1"/>
  <c r="AD220" i="98" a="1"/>
  <c r="AD220" i="98" s="1"/>
  <c r="AC220" i="98" a="1"/>
  <c r="AC220" i="98" s="1"/>
  <c r="AB220" i="98" a="1"/>
  <c r="AB220" i="98" s="1"/>
  <c r="AA220" i="98" a="1"/>
  <c r="AA220" i="98" s="1"/>
  <c r="Z220" i="98" a="1"/>
  <c r="Z220" i="98" s="1"/>
  <c r="Y220" i="98" a="1"/>
  <c r="Y220" i="98" s="1"/>
  <c r="X220" i="98" a="1"/>
  <c r="X220" i="98" s="1"/>
  <c r="W220" i="98" a="1"/>
  <c r="W220" i="98" s="1"/>
  <c r="V220" i="98" a="1"/>
  <c r="V220" i="98" s="1"/>
  <c r="U220" i="98" a="1"/>
  <c r="U220" i="98" s="1"/>
  <c r="T220" i="98" a="1"/>
  <c r="T220" i="98" s="1"/>
  <c r="S220" i="98" a="1"/>
  <c r="S220" i="98" s="1"/>
  <c r="R220" i="98" a="1"/>
  <c r="R220" i="98" s="1"/>
  <c r="Q220" i="98" a="1"/>
  <c r="Q220" i="98" s="1"/>
  <c r="P220" i="98" a="1"/>
  <c r="P220" i="98" s="1"/>
  <c r="O220" i="98" a="1"/>
  <c r="O220" i="98" s="1"/>
  <c r="N220" i="98" a="1"/>
  <c r="N220" i="98" s="1"/>
  <c r="M220" i="98" a="1"/>
  <c r="M220" i="98" s="1"/>
  <c r="L220" i="98" a="1"/>
  <c r="L220" i="98" s="1"/>
  <c r="K220" i="98" a="1"/>
  <c r="K220" i="98" s="1"/>
  <c r="J220" i="98" a="1"/>
  <c r="J220" i="98" s="1"/>
  <c r="I220" i="98" a="1"/>
  <c r="I220" i="98" s="1"/>
  <c r="H220" i="98" a="1"/>
  <c r="H220" i="98" s="1"/>
  <c r="G220" i="98" a="1"/>
  <c r="G220" i="98" s="1"/>
  <c r="F220" i="98" a="1"/>
  <c r="F220" i="98" s="1"/>
  <c r="E220" i="98" a="1"/>
  <c r="E220" i="98" s="1"/>
  <c r="D220" i="98" a="1"/>
  <c r="D220" i="98" s="1"/>
  <c r="AH219" i="98" a="1"/>
  <c r="AH219" i="98" s="1"/>
  <c r="AG219" i="98" a="1"/>
  <c r="AG219" i="98" s="1"/>
  <c r="AF219" i="98" a="1"/>
  <c r="AF219" i="98" s="1"/>
  <c r="AE219" i="98" a="1"/>
  <c r="AE219" i="98" s="1"/>
  <c r="AD219" i="98" a="1"/>
  <c r="AD219" i="98" s="1"/>
  <c r="AC219" i="98" a="1"/>
  <c r="AC219" i="98" s="1"/>
  <c r="AB219" i="98" a="1"/>
  <c r="AB219" i="98" s="1"/>
  <c r="AA219" i="98" a="1"/>
  <c r="AA219" i="98" s="1"/>
  <c r="Z219" i="98" a="1"/>
  <c r="Z219" i="98" s="1"/>
  <c r="Y219" i="98" a="1"/>
  <c r="Y219" i="98" s="1"/>
  <c r="X219" i="98" a="1"/>
  <c r="X219" i="98" s="1"/>
  <c r="W219" i="98" a="1"/>
  <c r="W219" i="98" s="1"/>
  <c r="V219" i="98" a="1"/>
  <c r="V219" i="98" s="1"/>
  <c r="U219" i="98" a="1"/>
  <c r="U219" i="98" s="1"/>
  <c r="T219" i="98" a="1"/>
  <c r="T219" i="98" s="1"/>
  <c r="S219" i="98" a="1"/>
  <c r="S219" i="98" s="1"/>
  <c r="R219" i="98" a="1"/>
  <c r="R219" i="98" s="1"/>
  <c r="Q219" i="98" a="1"/>
  <c r="Q219" i="98" s="1"/>
  <c r="P219" i="98" a="1"/>
  <c r="P219" i="98" s="1"/>
  <c r="O219" i="98" a="1"/>
  <c r="O219" i="98" s="1"/>
  <c r="N219" i="98" a="1"/>
  <c r="N219" i="98" s="1"/>
  <c r="M219" i="98" a="1"/>
  <c r="M219" i="98" s="1"/>
  <c r="L219" i="98" a="1"/>
  <c r="L219" i="98" s="1"/>
  <c r="K219" i="98" a="1"/>
  <c r="K219" i="98" s="1"/>
  <c r="J219" i="98" a="1"/>
  <c r="J219" i="98" s="1"/>
  <c r="I219" i="98" a="1"/>
  <c r="I219" i="98" s="1"/>
  <c r="H219" i="98" a="1"/>
  <c r="H219" i="98" s="1"/>
  <c r="G219" i="98" a="1"/>
  <c r="G219" i="98" s="1"/>
  <c r="F219" i="98" a="1"/>
  <c r="F219" i="98" s="1"/>
  <c r="E219" i="98" a="1"/>
  <c r="E219" i="98" s="1"/>
  <c r="D219" i="98" a="1"/>
  <c r="D219" i="98" s="1"/>
  <c r="AH218" i="98" a="1"/>
  <c r="AH218" i="98" s="1"/>
  <c r="AG218" i="98" a="1"/>
  <c r="AG218" i="98" s="1"/>
  <c r="AF218" i="98" a="1"/>
  <c r="AF218" i="98" s="1"/>
  <c r="AE218" i="98" a="1"/>
  <c r="AE218" i="98" s="1"/>
  <c r="AD218" i="98" a="1"/>
  <c r="AD218" i="98" s="1"/>
  <c r="AC218" i="98" a="1"/>
  <c r="AC218" i="98" s="1"/>
  <c r="AB218" i="98" a="1"/>
  <c r="AB218" i="98" s="1"/>
  <c r="AA218" i="98" a="1"/>
  <c r="AA218" i="98" s="1"/>
  <c r="Z218" i="98" a="1"/>
  <c r="Z218" i="98" s="1"/>
  <c r="Y218" i="98" a="1"/>
  <c r="Y218" i="98" s="1"/>
  <c r="X218" i="98" a="1"/>
  <c r="X218" i="98" s="1"/>
  <c r="W218" i="98" a="1"/>
  <c r="W218" i="98" s="1"/>
  <c r="V218" i="98" a="1"/>
  <c r="V218" i="98" s="1"/>
  <c r="U218" i="98" a="1"/>
  <c r="U218" i="98" s="1"/>
  <c r="T218" i="98" a="1"/>
  <c r="T218" i="98" s="1"/>
  <c r="S218" i="98" a="1"/>
  <c r="S218" i="98" s="1"/>
  <c r="R218" i="98" a="1"/>
  <c r="R218" i="98" s="1"/>
  <c r="Q218" i="98" a="1"/>
  <c r="Q218" i="98" s="1"/>
  <c r="P218" i="98" a="1"/>
  <c r="P218" i="98" s="1"/>
  <c r="O218" i="98" a="1"/>
  <c r="O218" i="98" s="1"/>
  <c r="N218" i="98" a="1"/>
  <c r="N218" i="98" s="1"/>
  <c r="M218" i="98" a="1"/>
  <c r="M218" i="98" s="1"/>
  <c r="L218" i="98" a="1"/>
  <c r="L218" i="98" s="1"/>
  <c r="K218" i="98" a="1"/>
  <c r="K218" i="98" s="1"/>
  <c r="J218" i="98" a="1"/>
  <c r="J218" i="98" s="1"/>
  <c r="I218" i="98" a="1"/>
  <c r="I218" i="98" s="1"/>
  <c r="H218" i="98" a="1"/>
  <c r="H218" i="98" s="1"/>
  <c r="G218" i="98" a="1"/>
  <c r="G218" i="98" s="1"/>
  <c r="F218" i="98" a="1"/>
  <c r="F218" i="98" s="1"/>
  <c r="E218" i="98" a="1"/>
  <c r="E218" i="98" s="1"/>
  <c r="D218" i="98" a="1"/>
  <c r="D218" i="98" s="1"/>
  <c r="AH217" i="98" a="1"/>
  <c r="AH217" i="98" s="1"/>
  <c r="AG217" i="98" a="1"/>
  <c r="AG217" i="98" s="1"/>
  <c r="AF217" i="98" a="1"/>
  <c r="AF217" i="98" s="1"/>
  <c r="AE217" i="98" a="1"/>
  <c r="AE217" i="98" s="1"/>
  <c r="AD217" i="98" a="1"/>
  <c r="AD217" i="98" s="1"/>
  <c r="AC217" i="98" a="1"/>
  <c r="AC217" i="98" s="1"/>
  <c r="AB217" i="98" a="1"/>
  <c r="AB217" i="98" s="1"/>
  <c r="AA217" i="98" a="1"/>
  <c r="AA217" i="98" s="1"/>
  <c r="Z217" i="98" a="1"/>
  <c r="Z217" i="98" s="1"/>
  <c r="Y217" i="98" a="1"/>
  <c r="Y217" i="98" s="1"/>
  <c r="X217" i="98" a="1"/>
  <c r="X217" i="98" s="1"/>
  <c r="W217" i="98" a="1"/>
  <c r="W217" i="98" s="1"/>
  <c r="V217" i="98" a="1"/>
  <c r="V217" i="98" s="1"/>
  <c r="U217" i="98" a="1"/>
  <c r="U217" i="98" s="1"/>
  <c r="T217" i="98" a="1"/>
  <c r="T217" i="98" s="1"/>
  <c r="S217" i="98" a="1"/>
  <c r="S217" i="98" s="1"/>
  <c r="R217" i="98" a="1"/>
  <c r="R217" i="98" s="1"/>
  <c r="Q217" i="98" a="1"/>
  <c r="Q217" i="98" s="1"/>
  <c r="P217" i="98" a="1"/>
  <c r="P217" i="98" s="1"/>
  <c r="O217" i="98" a="1"/>
  <c r="O217" i="98" s="1"/>
  <c r="N217" i="98" a="1"/>
  <c r="N217" i="98" s="1"/>
  <c r="M217" i="98" a="1"/>
  <c r="M217" i="98" s="1"/>
  <c r="L217" i="98" a="1"/>
  <c r="L217" i="98" s="1"/>
  <c r="K217" i="98" a="1"/>
  <c r="K217" i="98" s="1"/>
  <c r="J217" i="98" a="1"/>
  <c r="J217" i="98" s="1"/>
  <c r="I217" i="98" a="1"/>
  <c r="I217" i="98" s="1"/>
  <c r="H217" i="98" a="1"/>
  <c r="H217" i="98" s="1"/>
  <c r="G217" i="98" a="1"/>
  <c r="G217" i="98" s="1"/>
  <c r="F217" i="98" a="1"/>
  <c r="F217" i="98" s="1"/>
  <c r="E217" i="98" a="1"/>
  <c r="E217" i="98" s="1"/>
  <c r="D217" i="98" a="1"/>
  <c r="D217" i="98" s="1"/>
  <c r="AH216" i="98" a="1"/>
  <c r="AH216" i="98" s="1"/>
  <c r="AG216" i="98" a="1"/>
  <c r="AG216" i="98" s="1"/>
  <c r="AF216" i="98" a="1"/>
  <c r="AF216" i="98" s="1"/>
  <c r="AE216" i="98" a="1"/>
  <c r="AE216" i="98" s="1"/>
  <c r="AD216" i="98" a="1"/>
  <c r="AD216" i="98" s="1"/>
  <c r="AC216" i="98" a="1"/>
  <c r="AC216" i="98" s="1"/>
  <c r="AB216" i="98" a="1"/>
  <c r="AB216" i="98" s="1"/>
  <c r="AA216" i="98" a="1"/>
  <c r="AA216" i="98" s="1"/>
  <c r="Z216" i="98" a="1"/>
  <c r="Z216" i="98" s="1"/>
  <c r="Y216" i="98" a="1"/>
  <c r="Y216" i="98" s="1"/>
  <c r="X216" i="98" a="1"/>
  <c r="X216" i="98" s="1"/>
  <c r="W216" i="98" a="1"/>
  <c r="W216" i="98" s="1"/>
  <c r="V216" i="98" a="1"/>
  <c r="V216" i="98" s="1"/>
  <c r="U216" i="98" a="1"/>
  <c r="U216" i="98" s="1"/>
  <c r="T216" i="98" a="1"/>
  <c r="T216" i="98" s="1"/>
  <c r="S216" i="98" a="1"/>
  <c r="S216" i="98" s="1"/>
  <c r="R216" i="98" a="1"/>
  <c r="R216" i="98" s="1"/>
  <c r="Q216" i="98" a="1"/>
  <c r="Q216" i="98" s="1"/>
  <c r="P216" i="98" a="1"/>
  <c r="P216" i="98" s="1"/>
  <c r="O216" i="98" a="1"/>
  <c r="O216" i="98" s="1"/>
  <c r="N216" i="98" a="1"/>
  <c r="N216" i="98" s="1"/>
  <c r="M216" i="98" a="1"/>
  <c r="M216" i="98" s="1"/>
  <c r="L216" i="98" a="1"/>
  <c r="L216" i="98" s="1"/>
  <c r="K216" i="98" a="1"/>
  <c r="K216" i="98" s="1"/>
  <c r="J216" i="98" a="1"/>
  <c r="J216" i="98" s="1"/>
  <c r="I216" i="98" a="1"/>
  <c r="I216" i="98" s="1"/>
  <c r="H216" i="98" a="1"/>
  <c r="H216" i="98" s="1"/>
  <c r="G216" i="98" a="1"/>
  <c r="G216" i="98" s="1"/>
  <c r="F216" i="98" a="1"/>
  <c r="F216" i="98" s="1"/>
  <c r="E216" i="98" a="1"/>
  <c r="E216" i="98" s="1"/>
  <c r="D216" i="98" a="1"/>
  <c r="D216" i="98" s="1"/>
  <c r="AH215" i="98" a="1"/>
  <c r="AH215" i="98" s="1"/>
  <c r="AG215" i="98" a="1"/>
  <c r="AG215" i="98" s="1"/>
  <c r="AF215" i="98" a="1"/>
  <c r="AF215" i="98" s="1"/>
  <c r="AE215" i="98" a="1"/>
  <c r="AE215" i="98" s="1"/>
  <c r="AD215" i="98" a="1"/>
  <c r="AD215" i="98" s="1"/>
  <c r="AC215" i="98" a="1"/>
  <c r="AC215" i="98" s="1"/>
  <c r="AB215" i="98" a="1"/>
  <c r="AB215" i="98" s="1"/>
  <c r="AA215" i="98" a="1"/>
  <c r="AA215" i="98" s="1"/>
  <c r="Z215" i="98" a="1"/>
  <c r="Z215" i="98" s="1"/>
  <c r="Y215" i="98" a="1"/>
  <c r="Y215" i="98" s="1"/>
  <c r="X215" i="98" a="1"/>
  <c r="X215" i="98" s="1"/>
  <c r="W215" i="98" a="1"/>
  <c r="W215" i="98" s="1"/>
  <c r="V215" i="98" a="1"/>
  <c r="V215" i="98" s="1"/>
  <c r="U215" i="98" a="1"/>
  <c r="U215" i="98" s="1"/>
  <c r="T215" i="98" a="1"/>
  <c r="T215" i="98" s="1"/>
  <c r="S215" i="98" a="1"/>
  <c r="S215" i="98" s="1"/>
  <c r="R215" i="98" a="1"/>
  <c r="R215" i="98" s="1"/>
  <c r="Q215" i="98" a="1"/>
  <c r="Q215" i="98" s="1"/>
  <c r="P215" i="98" a="1"/>
  <c r="P215" i="98" s="1"/>
  <c r="O215" i="98" a="1"/>
  <c r="O215" i="98" s="1"/>
  <c r="N215" i="98" a="1"/>
  <c r="N215" i="98" s="1"/>
  <c r="M215" i="98" a="1"/>
  <c r="M215" i="98" s="1"/>
  <c r="L215" i="98" a="1"/>
  <c r="L215" i="98" s="1"/>
  <c r="K215" i="98" a="1"/>
  <c r="K215" i="98" s="1"/>
  <c r="J215" i="98" a="1"/>
  <c r="J215" i="98" s="1"/>
  <c r="I215" i="98" a="1"/>
  <c r="I215" i="98" s="1"/>
  <c r="H215" i="98" a="1"/>
  <c r="H215" i="98" s="1"/>
  <c r="G215" i="98" a="1"/>
  <c r="G215" i="98" s="1"/>
  <c r="F215" i="98" a="1"/>
  <c r="F215" i="98" s="1"/>
  <c r="E215" i="98" a="1"/>
  <c r="E215" i="98" s="1"/>
  <c r="D215" i="98" a="1"/>
  <c r="D215" i="98" s="1"/>
  <c r="AH214" i="98" a="1"/>
  <c r="AH214" i="98" s="1"/>
  <c r="AG214" i="98" a="1"/>
  <c r="AG214" i="98" s="1"/>
  <c r="AF214" i="98" a="1"/>
  <c r="AF214" i="98" s="1"/>
  <c r="AE214" i="98" a="1"/>
  <c r="AE214" i="98" s="1"/>
  <c r="AD214" i="98" a="1"/>
  <c r="AD214" i="98" s="1"/>
  <c r="AC214" i="98" a="1"/>
  <c r="AC214" i="98" s="1"/>
  <c r="AB214" i="98" a="1"/>
  <c r="AB214" i="98" s="1"/>
  <c r="AA214" i="98" a="1"/>
  <c r="AA214" i="98" s="1"/>
  <c r="Z214" i="98" a="1"/>
  <c r="Z214" i="98" s="1"/>
  <c r="Y214" i="98" a="1"/>
  <c r="Y214" i="98" s="1"/>
  <c r="X214" i="98" a="1"/>
  <c r="X214" i="98" s="1"/>
  <c r="W214" i="98" a="1"/>
  <c r="W214" i="98" s="1"/>
  <c r="V214" i="98" a="1"/>
  <c r="V214" i="98" s="1"/>
  <c r="U214" i="98" a="1"/>
  <c r="U214" i="98" s="1"/>
  <c r="T214" i="98" a="1"/>
  <c r="T214" i="98" s="1"/>
  <c r="S214" i="98" a="1"/>
  <c r="S214" i="98" s="1"/>
  <c r="R214" i="98" a="1"/>
  <c r="R214" i="98" s="1"/>
  <c r="Q214" i="98" a="1"/>
  <c r="Q214" i="98" s="1"/>
  <c r="P214" i="98" a="1"/>
  <c r="P214" i="98" s="1"/>
  <c r="O214" i="98" a="1"/>
  <c r="O214" i="98" s="1"/>
  <c r="N214" i="98" a="1"/>
  <c r="N214" i="98" s="1"/>
  <c r="M214" i="98" a="1"/>
  <c r="M214" i="98" s="1"/>
  <c r="L214" i="98" a="1"/>
  <c r="L214" i="98" s="1"/>
  <c r="K214" i="98" a="1"/>
  <c r="K214" i="98" s="1"/>
  <c r="J214" i="98" a="1"/>
  <c r="J214" i="98" s="1"/>
  <c r="I214" i="98" a="1"/>
  <c r="I214" i="98" s="1"/>
  <c r="H214" i="98" a="1"/>
  <c r="H214" i="98" s="1"/>
  <c r="G214" i="98" a="1"/>
  <c r="G214" i="98" s="1"/>
  <c r="F214" i="98" a="1"/>
  <c r="F214" i="98" s="1"/>
  <c r="E214" i="98" a="1"/>
  <c r="E214" i="98" s="1"/>
  <c r="D214" i="98" a="1"/>
  <c r="D214" i="98" s="1"/>
  <c r="AH213" i="98" a="1"/>
  <c r="AH213" i="98" s="1"/>
  <c r="AG213" i="98" a="1"/>
  <c r="AG213" i="98" s="1"/>
  <c r="AF213" i="98" a="1"/>
  <c r="AF213" i="98" s="1"/>
  <c r="AE213" i="98" a="1"/>
  <c r="AE213" i="98" s="1"/>
  <c r="AD213" i="98" a="1"/>
  <c r="AD213" i="98" s="1"/>
  <c r="AC213" i="98" a="1"/>
  <c r="AC213" i="98" s="1"/>
  <c r="AB213" i="98" a="1"/>
  <c r="AB213" i="98" s="1"/>
  <c r="AA213" i="98" a="1"/>
  <c r="AA213" i="98" s="1"/>
  <c r="Z213" i="98" a="1"/>
  <c r="Z213" i="98" s="1"/>
  <c r="Y213" i="98" a="1"/>
  <c r="Y213" i="98" s="1"/>
  <c r="X213" i="98" a="1"/>
  <c r="X213" i="98" s="1"/>
  <c r="W213" i="98" a="1"/>
  <c r="W213" i="98" s="1"/>
  <c r="V213" i="98" a="1"/>
  <c r="V213" i="98" s="1"/>
  <c r="U213" i="98" a="1"/>
  <c r="U213" i="98" s="1"/>
  <c r="T213" i="98" a="1"/>
  <c r="T213" i="98" s="1"/>
  <c r="S213" i="98" a="1"/>
  <c r="S213" i="98" s="1"/>
  <c r="R213" i="98" a="1"/>
  <c r="R213" i="98" s="1"/>
  <c r="Q213" i="98" a="1"/>
  <c r="Q213" i="98" s="1"/>
  <c r="P213" i="98" a="1"/>
  <c r="P213" i="98" s="1"/>
  <c r="O213" i="98" a="1"/>
  <c r="O213" i="98" s="1"/>
  <c r="N213" i="98" a="1"/>
  <c r="N213" i="98" s="1"/>
  <c r="M213" i="98" a="1"/>
  <c r="M213" i="98" s="1"/>
  <c r="L213" i="98" a="1"/>
  <c r="L213" i="98" s="1"/>
  <c r="K213" i="98" a="1"/>
  <c r="K213" i="98" s="1"/>
  <c r="J213" i="98" a="1"/>
  <c r="J213" i="98" s="1"/>
  <c r="I213" i="98" a="1"/>
  <c r="I213" i="98" s="1"/>
  <c r="H213" i="98" a="1"/>
  <c r="H213" i="98" s="1"/>
  <c r="G213" i="98" a="1"/>
  <c r="G213" i="98" s="1"/>
  <c r="F213" i="98" a="1"/>
  <c r="F213" i="98" s="1"/>
  <c r="E213" i="98" a="1"/>
  <c r="E213" i="98" s="1"/>
  <c r="D213" i="98" a="1"/>
  <c r="D213" i="98" s="1"/>
  <c r="AH212" i="98" a="1"/>
  <c r="AH212" i="98" s="1"/>
  <c r="AG212" i="98" a="1"/>
  <c r="AG212" i="98" s="1"/>
  <c r="AF212" i="98" a="1"/>
  <c r="AF212" i="98" s="1"/>
  <c r="AE212" i="98" a="1"/>
  <c r="AE212" i="98" s="1"/>
  <c r="AD212" i="98" a="1"/>
  <c r="AD212" i="98" s="1"/>
  <c r="AC212" i="98" a="1"/>
  <c r="AC212" i="98" s="1"/>
  <c r="AB212" i="98" a="1"/>
  <c r="AB212" i="98" s="1"/>
  <c r="AA212" i="98" a="1"/>
  <c r="AA212" i="98" s="1"/>
  <c r="Z212" i="98" a="1"/>
  <c r="Z212" i="98" s="1"/>
  <c r="Y212" i="98" a="1"/>
  <c r="Y212" i="98" s="1"/>
  <c r="X212" i="98" a="1"/>
  <c r="X212" i="98" s="1"/>
  <c r="W212" i="98" a="1"/>
  <c r="W212" i="98" s="1"/>
  <c r="V212" i="98" a="1"/>
  <c r="V212" i="98" s="1"/>
  <c r="U212" i="98" a="1"/>
  <c r="U212" i="98" s="1"/>
  <c r="T212" i="98" a="1"/>
  <c r="T212" i="98" s="1"/>
  <c r="S212" i="98" a="1"/>
  <c r="S212" i="98" s="1"/>
  <c r="R212" i="98" a="1"/>
  <c r="R212" i="98" s="1"/>
  <c r="Q212" i="98" a="1"/>
  <c r="Q212" i="98" s="1"/>
  <c r="P212" i="98" a="1"/>
  <c r="P212" i="98" s="1"/>
  <c r="O212" i="98" a="1"/>
  <c r="O212" i="98" s="1"/>
  <c r="N212" i="98" a="1"/>
  <c r="N212" i="98" s="1"/>
  <c r="M212" i="98" a="1"/>
  <c r="M212" i="98" s="1"/>
  <c r="L212" i="98" a="1"/>
  <c r="L212" i="98" s="1"/>
  <c r="K212" i="98" a="1"/>
  <c r="K212" i="98" s="1"/>
  <c r="J212" i="98" a="1"/>
  <c r="J212" i="98" s="1"/>
  <c r="I212" i="98" a="1"/>
  <c r="I212" i="98" s="1"/>
  <c r="H212" i="98" a="1"/>
  <c r="H212" i="98" s="1"/>
  <c r="G212" i="98" a="1"/>
  <c r="G212" i="98" s="1"/>
  <c r="F212" i="98" a="1"/>
  <c r="F212" i="98" s="1"/>
  <c r="E212" i="98" a="1"/>
  <c r="E212" i="98" s="1"/>
  <c r="D212" i="98" a="1"/>
  <c r="D212" i="98" s="1"/>
  <c r="AH211" i="98" a="1"/>
  <c r="AH211" i="98" s="1"/>
  <c r="AG211" i="98" a="1"/>
  <c r="AG211" i="98" s="1"/>
  <c r="AF211" i="98" a="1"/>
  <c r="AF211" i="98" s="1"/>
  <c r="AE211" i="98" a="1"/>
  <c r="AE211" i="98" s="1"/>
  <c r="AD211" i="98" a="1"/>
  <c r="AD211" i="98" s="1"/>
  <c r="AC211" i="98" a="1"/>
  <c r="AC211" i="98" s="1"/>
  <c r="AB211" i="98" a="1"/>
  <c r="AB211" i="98" s="1"/>
  <c r="AA211" i="98" a="1"/>
  <c r="AA211" i="98" s="1"/>
  <c r="Z211" i="98" a="1"/>
  <c r="Z211" i="98" s="1"/>
  <c r="Y211" i="98" a="1"/>
  <c r="Y211" i="98" s="1"/>
  <c r="X211" i="98" a="1"/>
  <c r="X211" i="98" s="1"/>
  <c r="W211" i="98" a="1"/>
  <c r="W211" i="98" s="1"/>
  <c r="V211" i="98" a="1"/>
  <c r="V211" i="98" s="1"/>
  <c r="U211" i="98" a="1"/>
  <c r="U211" i="98" s="1"/>
  <c r="T211" i="98" a="1"/>
  <c r="T211" i="98" s="1"/>
  <c r="S211" i="98" a="1"/>
  <c r="S211" i="98" s="1"/>
  <c r="R211" i="98" a="1"/>
  <c r="R211" i="98" s="1"/>
  <c r="Q211" i="98" a="1"/>
  <c r="Q211" i="98" s="1"/>
  <c r="P211" i="98" a="1"/>
  <c r="P211" i="98" s="1"/>
  <c r="O211" i="98" a="1"/>
  <c r="O211" i="98" s="1"/>
  <c r="N211" i="98" a="1"/>
  <c r="N211" i="98" s="1"/>
  <c r="M211" i="98" a="1"/>
  <c r="M211" i="98" s="1"/>
  <c r="L211" i="98" a="1"/>
  <c r="L211" i="98" s="1"/>
  <c r="K211" i="98" a="1"/>
  <c r="K211" i="98" s="1"/>
  <c r="J211" i="98" a="1"/>
  <c r="J211" i="98" s="1"/>
  <c r="I211" i="98" a="1"/>
  <c r="I211" i="98" s="1"/>
  <c r="H211" i="98" a="1"/>
  <c r="H211" i="98" s="1"/>
  <c r="G211" i="98" a="1"/>
  <c r="G211" i="98" s="1"/>
  <c r="F211" i="98" a="1"/>
  <c r="F211" i="98" s="1"/>
  <c r="E211" i="98" a="1"/>
  <c r="E211" i="98" s="1"/>
  <c r="D211" i="98" a="1"/>
  <c r="D211" i="98" s="1"/>
  <c r="AH210" i="98" a="1"/>
  <c r="AH210" i="98" s="1"/>
  <c r="AG210" i="98" a="1"/>
  <c r="AG210" i="98" s="1"/>
  <c r="AF210" i="98" a="1"/>
  <c r="AF210" i="98" s="1"/>
  <c r="AE210" i="98" a="1"/>
  <c r="AE210" i="98" s="1"/>
  <c r="AD210" i="98" a="1"/>
  <c r="AD210" i="98" s="1"/>
  <c r="AC210" i="98" a="1"/>
  <c r="AC210" i="98" s="1"/>
  <c r="AB210" i="98" a="1"/>
  <c r="AB210" i="98" s="1"/>
  <c r="AA210" i="98" a="1"/>
  <c r="AA210" i="98" s="1"/>
  <c r="Z210" i="98" a="1"/>
  <c r="Z210" i="98" s="1"/>
  <c r="Y210" i="98" a="1"/>
  <c r="Y210" i="98" s="1"/>
  <c r="X210" i="98" a="1"/>
  <c r="X210" i="98" s="1"/>
  <c r="W210" i="98" a="1"/>
  <c r="W210" i="98" s="1"/>
  <c r="V210" i="98" a="1"/>
  <c r="V210" i="98" s="1"/>
  <c r="U210" i="98" a="1"/>
  <c r="U210" i="98" s="1"/>
  <c r="T210" i="98" a="1"/>
  <c r="T210" i="98" s="1"/>
  <c r="S210" i="98" a="1"/>
  <c r="S210" i="98" s="1"/>
  <c r="R210" i="98" a="1"/>
  <c r="R210" i="98" s="1"/>
  <c r="Q210" i="98" a="1"/>
  <c r="Q210" i="98" s="1"/>
  <c r="P210" i="98" a="1"/>
  <c r="P210" i="98" s="1"/>
  <c r="O210" i="98" a="1"/>
  <c r="O210" i="98" s="1"/>
  <c r="N210" i="98" a="1"/>
  <c r="N210" i="98" s="1"/>
  <c r="M210" i="98" a="1"/>
  <c r="M210" i="98" s="1"/>
  <c r="L210" i="98" a="1"/>
  <c r="L210" i="98" s="1"/>
  <c r="K210" i="98" a="1"/>
  <c r="K210" i="98" s="1"/>
  <c r="J210" i="98" a="1"/>
  <c r="J210" i="98" s="1"/>
  <c r="I210" i="98" a="1"/>
  <c r="I210" i="98" s="1"/>
  <c r="H210" i="98" a="1"/>
  <c r="H210" i="98" s="1"/>
  <c r="G210" i="98" a="1"/>
  <c r="G210" i="98" s="1"/>
  <c r="F210" i="98" a="1"/>
  <c r="F210" i="98" s="1"/>
  <c r="E210" i="98" a="1"/>
  <c r="E210" i="98" s="1"/>
  <c r="D210" i="98" a="1"/>
  <c r="D210" i="98" s="1"/>
  <c r="AH209" i="98" a="1"/>
  <c r="AH209" i="98" s="1"/>
  <c r="AG209" i="98" a="1"/>
  <c r="AG209" i="98" s="1"/>
  <c r="AF209" i="98" a="1"/>
  <c r="AF209" i="98" s="1"/>
  <c r="AE209" i="98" a="1"/>
  <c r="AE209" i="98" s="1"/>
  <c r="AD209" i="98" a="1"/>
  <c r="AD209" i="98" s="1"/>
  <c r="AC209" i="98" a="1"/>
  <c r="AC209" i="98" s="1"/>
  <c r="AB209" i="98" a="1"/>
  <c r="AB209" i="98" s="1"/>
  <c r="AA209" i="98" a="1"/>
  <c r="AA209" i="98" s="1"/>
  <c r="Z209" i="98" a="1"/>
  <c r="Z209" i="98" s="1"/>
  <c r="Y209" i="98" a="1"/>
  <c r="Y209" i="98" s="1"/>
  <c r="X209" i="98" a="1"/>
  <c r="X209" i="98" s="1"/>
  <c r="W209" i="98" a="1"/>
  <c r="W209" i="98" s="1"/>
  <c r="V209" i="98" a="1"/>
  <c r="V209" i="98" s="1"/>
  <c r="U209" i="98" a="1"/>
  <c r="U209" i="98" s="1"/>
  <c r="T209" i="98" a="1"/>
  <c r="T209" i="98" s="1"/>
  <c r="S209" i="98" a="1"/>
  <c r="S209" i="98" s="1"/>
  <c r="R209" i="98" a="1"/>
  <c r="R209" i="98" s="1"/>
  <c r="Q209" i="98" a="1"/>
  <c r="Q209" i="98" s="1"/>
  <c r="P209" i="98" a="1"/>
  <c r="P209" i="98" s="1"/>
  <c r="O209" i="98" a="1"/>
  <c r="O209" i="98" s="1"/>
  <c r="N209" i="98" a="1"/>
  <c r="N209" i="98" s="1"/>
  <c r="M209" i="98" a="1"/>
  <c r="M209" i="98" s="1"/>
  <c r="L209" i="98" a="1"/>
  <c r="L209" i="98" s="1"/>
  <c r="K209" i="98" a="1"/>
  <c r="K209" i="98" s="1"/>
  <c r="J209" i="98" a="1"/>
  <c r="J209" i="98" s="1"/>
  <c r="I209" i="98" a="1"/>
  <c r="I209" i="98" s="1"/>
  <c r="H209" i="98" a="1"/>
  <c r="H209" i="98" s="1"/>
  <c r="G209" i="98" a="1"/>
  <c r="G209" i="98" s="1"/>
  <c r="F209" i="98" a="1"/>
  <c r="F209" i="98" s="1"/>
  <c r="E209" i="98" a="1"/>
  <c r="E209" i="98" s="1"/>
  <c r="D209" i="98" a="1"/>
  <c r="D209" i="98" s="1"/>
  <c r="AH208" i="98" a="1"/>
  <c r="AH208" i="98" s="1"/>
  <c r="AG208" i="98" a="1"/>
  <c r="AG208" i="98" s="1"/>
  <c r="AF208" i="98" a="1"/>
  <c r="AF208" i="98" s="1"/>
  <c r="AE208" i="98" a="1"/>
  <c r="AE208" i="98" s="1"/>
  <c r="AD208" i="98" a="1"/>
  <c r="AD208" i="98" s="1"/>
  <c r="AC208" i="98" a="1"/>
  <c r="AC208" i="98" s="1"/>
  <c r="AB208" i="98" a="1"/>
  <c r="AB208" i="98" s="1"/>
  <c r="AA208" i="98" a="1"/>
  <c r="AA208" i="98" s="1"/>
  <c r="Z208" i="98" a="1"/>
  <c r="Z208" i="98" s="1"/>
  <c r="Y208" i="98" a="1"/>
  <c r="Y208" i="98" s="1"/>
  <c r="X208" i="98" a="1"/>
  <c r="X208" i="98" s="1"/>
  <c r="W208" i="98" a="1"/>
  <c r="W208" i="98" s="1"/>
  <c r="V208" i="98" a="1"/>
  <c r="V208" i="98" s="1"/>
  <c r="U208" i="98" a="1"/>
  <c r="U208" i="98" s="1"/>
  <c r="T208" i="98" a="1"/>
  <c r="T208" i="98" s="1"/>
  <c r="S208" i="98" a="1"/>
  <c r="S208" i="98" s="1"/>
  <c r="R208" i="98" a="1"/>
  <c r="R208" i="98" s="1"/>
  <c r="Q208" i="98" a="1"/>
  <c r="Q208" i="98" s="1"/>
  <c r="P208" i="98" a="1"/>
  <c r="P208" i="98" s="1"/>
  <c r="O208" i="98" a="1"/>
  <c r="O208" i="98" s="1"/>
  <c r="N208" i="98" a="1"/>
  <c r="N208" i="98" s="1"/>
  <c r="M208" i="98" a="1"/>
  <c r="M208" i="98" s="1"/>
  <c r="L208" i="98" a="1"/>
  <c r="L208" i="98" s="1"/>
  <c r="K208" i="98" a="1"/>
  <c r="K208" i="98" s="1"/>
  <c r="J208" i="98" a="1"/>
  <c r="J208" i="98" s="1"/>
  <c r="I208" i="98" a="1"/>
  <c r="I208" i="98" s="1"/>
  <c r="H208" i="98" a="1"/>
  <c r="H208" i="98" s="1"/>
  <c r="G208" i="98" a="1"/>
  <c r="G208" i="98" s="1"/>
  <c r="F208" i="98" a="1"/>
  <c r="F208" i="98" s="1"/>
  <c r="E208" i="98" a="1"/>
  <c r="E208" i="98" s="1"/>
  <c r="D208" i="98" a="1"/>
  <c r="D208" i="98" s="1"/>
  <c r="AH207" i="98" a="1"/>
  <c r="AH207" i="98" s="1"/>
  <c r="AG207" i="98" a="1"/>
  <c r="AG207" i="98" s="1"/>
  <c r="AF207" i="98" a="1"/>
  <c r="AF207" i="98" s="1"/>
  <c r="AE207" i="98" a="1"/>
  <c r="AE207" i="98" s="1"/>
  <c r="AD207" i="98" a="1"/>
  <c r="AD207" i="98" s="1"/>
  <c r="AC207" i="98" a="1"/>
  <c r="AC207" i="98" s="1"/>
  <c r="AB207" i="98" a="1"/>
  <c r="AB207" i="98" s="1"/>
  <c r="AA207" i="98" a="1"/>
  <c r="AA207" i="98" s="1"/>
  <c r="Z207" i="98" a="1"/>
  <c r="Z207" i="98" s="1"/>
  <c r="Y207" i="98" a="1"/>
  <c r="Y207" i="98" s="1"/>
  <c r="X207" i="98" a="1"/>
  <c r="X207" i="98" s="1"/>
  <c r="W207" i="98" a="1"/>
  <c r="W207" i="98" s="1"/>
  <c r="V207" i="98" a="1"/>
  <c r="V207" i="98" s="1"/>
  <c r="U207" i="98" a="1"/>
  <c r="U207" i="98" s="1"/>
  <c r="T207" i="98" a="1"/>
  <c r="T207" i="98" s="1"/>
  <c r="S207" i="98" a="1"/>
  <c r="S207" i="98" s="1"/>
  <c r="R207" i="98" a="1"/>
  <c r="R207" i="98" s="1"/>
  <c r="Q207" i="98" a="1"/>
  <c r="Q207" i="98" s="1"/>
  <c r="P207" i="98" a="1"/>
  <c r="P207" i="98" s="1"/>
  <c r="O207" i="98" a="1"/>
  <c r="O207" i="98" s="1"/>
  <c r="N207" i="98" a="1"/>
  <c r="N207" i="98" s="1"/>
  <c r="M207" i="98" a="1"/>
  <c r="M207" i="98" s="1"/>
  <c r="L207" i="98" a="1"/>
  <c r="L207" i="98" s="1"/>
  <c r="K207" i="98" a="1"/>
  <c r="K207" i="98" s="1"/>
  <c r="J207" i="98" a="1"/>
  <c r="J207" i="98" s="1"/>
  <c r="I207" i="98" a="1"/>
  <c r="I207" i="98" s="1"/>
  <c r="H207" i="98" a="1"/>
  <c r="H207" i="98" s="1"/>
  <c r="G207" i="98" a="1"/>
  <c r="G207" i="98" s="1"/>
  <c r="F207" i="98" a="1"/>
  <c r="F207" i="98" s="1"/>
  <c r="E207" i="98" a="1"/>
  <c r="E207" i="98" s="1"/>
  <c r="D207" i="98" a="1"/>
  <c r="D207" i="98" s="1"/>
  <c r="AH206" i="98" a="1"/>
  <c r="AH206" i="98" s="1"/>
  <c r="AG206" i="98" a="1"/>
  <c r="AG206" i="98" s="1"/>
  <c r="AF206" i="98" a="1"/>
  <c r="AF206" i="98" s="1"/>
  <c r="AE206" i="98" a="1"/>
  <c r="AE206" i="98" s="1"/>
  <c r="AD206" i="98" a="1"/>
  <c r="AD206" i="98" s="1"/>
  <c r="AC206" i="98" a="1"/>
  <c r="AC206" i="98" s="1"/>
  <c r="AB206" i="98" a="1"/>
  <c r="AB206" i="98" s="1"/>
  <c r="AA206" i="98" a="1"/>
  <c r="AA206" i="98" s="1"/>
  <c r="Z206" i="98" a="1"/>
  <c r="Z206" i="98" s="1"/>
  <c r="Y206" i="98" a="1"/>
  <c r="Y206" i="98" s="1"/>
  <c r="X206" i="98" a="1"/>
  <c r="X206" i="98" s="1"/>
  <c r="W206" i="98" a="1"/>
  <c r="W206" i="98" s="1"/>
  <c r="V206" i="98" a="1"/>
  <c r="V206" i="98" s="1"/>
  <c r="U206" i="98" a="1"/>
  <c r="U206" i="98" s="1"/>
  <c r="T206" i="98" a="1"/>
  <c r="T206" i="98" s="1"/>
  <c r="S206" i="98" a="1"/>
  <c r="S206" i="98" s="1"/>
  <c r="R206" i="98" a="1"/>
  <c r="R206" i="98" s="1"/>
  <c r="Q206" i="98" a="1"/>
  <c r="Q206" i="98" s="1"/>
  <c r="P206" i="98" a="1"/>
  <c r="P206" i="98" s="1"/>
  <c r="O206" i="98" a="1"/>
  <c r="O206" i="98" s="1"/>
  <c r="N206" i="98" a="1"/>
  <c r="N206" i="98" s="1"/>
  <c r="M206" i="98" a="1"/>
  <c r="M206" i="98" s="1"/>
  <c r="L206" i="98" a="1"/>
  <c r="L206" i="98" s="1"/>
  <c r="K206" i="98" a="1"/>
  <c r="K206" i="98" s="1"/>
  <c r="J206" i="98" a="1"/>
  <c r="J206" i="98" s="1"/>
  <c r="I206" i="98" a="1"/>
  <c r="I206" i="98" s="1"/>
  <c r="H206" i="98" a="1"/>
  <c r="H206" i="98" s="1"/>
  <c r="G206" i="98" a="1"/>
  <c r="G206" i="98" s="1"/>
  <c r="F206" i="98" a="1"/>
  <c r="F206" i="98" s="1"/>
  <c r="E206" i="98" a="1"/>
  <c r="E206" i="98" s="1"/>
  <c r="D206" i="98" a="1"/>
  <c r="D206" i="98" s="1"/>
  <c r="AH205" i="98" a="1"/>
  <c r="AH205" i="98" s="1"/>
  <c r="AG205" i="98" a="1"/>
  <c r="AG205" i="98" s="1"/>
  <c r="AF205" i="98" a="1"/>
  <c r="AF205" i="98" s="1"/>
  <c r="AE205" i="98" a="1"/>
  <c r="AE205" i="98" s="1"/>
  <c r="AD205" i="98" a="1"/>
  <c r="AD205" i="98" s="1"/>
  <c r="AC205" i="98" a="1"/>
  <c r="AC205" i="98" s="1"/>
  <c r="AB205" i="98" a="1"/>
  <c r="AB205" i="98" s="1"/>
  <c r="AA205" i="98" a="1"/>
  <c r="AA205" i="98" s="1"/>
  <c r="Z205" i="98" a="1"/>
  <c r="Z205" i="98" s="1"/>
  <c r="Y205" i="98" a="1"/>
  <c r="Y205" i="98" s="1"/>
  <c r="X205" i="98" a="1"/>
  <c r="X205" i="98" s="1"/>
  <c r="W205" i="98" a="1"/>
  <c r="W205" i="98" s="1"/>
  <c r="V205" i="98" a="1"/>
  <c r="V205" i="98" s="1"/>
  <c r="U205" i="98" a="1"/>
  <c r="U205" i="98" s="1"/>
  <c r="T205" i="98" a="1"/>
  <c r="T205" i="98" s="1"/>
  <c r="S205" i="98" a="1"/>
  <c r="S205" i="98" s="1"/>
  <c r="R205" i="98" a="1"/>
  <c r="R205" i="98" s="1"/>
  <c r="Q205" i="98" a="1"/>
  <c r="Q205" i="98" s="1"/>
  <c r="P205" i="98" a="1"/>
  <c r="P205" i="98" s="1"/>
  <c r="O205" i="98" a="1"/>
  <c r="O205" i="98" s="1"/>
  <c r="N205" i="98" a="1"/>
  <c r="N205" i="98" s="1"/>
  <c r="M205" i="98" a="1"/>
  <c r="M205" i="98" s="1"/>
  <c r="L205" i="98" a="1"/>
  <c r="L205" i="98" s="1"/>
  <c r="K205" i="98" a="1"/>
  <c r="K205" i="98" s="1"/>
  <c r="J205" i="98" a="1"/>
  <c r="J205" i="98" s="1"/>
  <c r="I205" i="98" a="1"/>
  <c r="I205" i="98" s="1"/>
  <c r="H205" i="98" a="1"/>
  <c r="H205" i="98" s="1"/>
  <c r="G205" i="98" a="1"/>
  <c r="G205" i="98" s="1"/>
  <c r="F205" i="98" a="1"/>
  <c r="F205" i="98" s="1"/>
  <c r="E205" i="98" a="1"/>
  <c r="E205" i="98" s="1"/>
  <c r="D205" i="98" a="1"/>
  <c r="D205" i="98" s="1"/>
  <c r="AH204" i="98" a="1"/>
  <c r="AH204" i="98" s="1"/>
  <c r="AG204" i="98" a="1"/>
  <c r="AG204" i="98" s="1"/>
  <c r="AF204" i="98" a="1"/>
  <c r="AF204" i="98" s="1"/>
  <c r="AE204" i="98" a="1"/>
  <c r="AE204" i="98" s="1"/>
  <c r="AD204" i="98" a="1"/>
  <c r="AD204" i="98" s="1"/>
  <c r="AC204" i="98" a="1"/>
  <c r="AC204" i="98" s="1"/>
  <c r="AB204" i="98" a="1"/>
  <c r="AB204" i="98" s="1"/>
  <c r="AA204" i="98" a="1"/>
  <c r="AA204" i="98" s="1"/>
  <c r="Z204" i="98" a="1"/>
  <c r="Z204" i="98" s="1"/>
  <c r="Y204" i="98" a="1"/>
  <c r="Y204" i="98" s="1"/>
  <c r="X204" i="98" a="1"/>
  <c r="X204" i="98" s="1"/>
  <c r="W204" i="98" a="1"/>
  <c r="W204" i="98" s="1"/>
  <c r="V204" i="98" a="1"/>
  <c r="V204" i="98" s="1"/>
  <c r="U204" i="98" a="1"/>
  <c r="U204" i="98" s="1"/>
  <c r="T204" i="98" a="1"/>
  <c r="T204" i="98" s="1"/>
  <c r="S204" i="98" a="1"/>
  <c r="S204" i="98" s="1"/>
  <c r="R204" i="98" a="1"/>
  <c r="R204" i="98" s="1"/>
  <c r="Q204" i="98" a="1"/>
  <c r="Q204" i="98" s="1"/>
  <c r="P204" i="98" a="1"/>
  <c r="P204" i="98" s="1"/>
  <c r="O204" i="98" a="1"/>
  <c r="O204" i="98" s="1"/>
  <c r="N204" i="98" a="1"/>
  <c r="N204" i="98" s="1"/>
  <c r="M204" i="98" a="1"/>
  <c r="M204" i="98" s="1"/>
  <c r="L204" i="98" a="1"/>
  <c r="L204" i="98" s="1"/>
  <c r="K204" i="98" a="1"/>
  <c r="K204" i="98" s="1"/>
  <c r="J204" i="98" a="1"/>
  <c r="J204" i="98" s="1"/>
  <c r="I204" i="98" a="1"/>
  <c r="I204" i="98" s="1"/>
  <c r="H204" i="98" a="1"/>
  <c r="H204" i="98" s="1"/>
  <c r="G204" i="98" a="1"/>
  <c r="G204" i="98" s="1"/>
  <c r="F204" i="98" a="1"/>
  <c r="F204" i="98" s="1"/>
  <c r="E204" i="98" a="1"/>
  <c r="E204" i="98" s="1"/>
  <c r="D204" i="98" a="1"/>
  <c r="D204" i="98" s="1"/>
  <c r="AH203" i="98" a="1"/>
  <c r="AH203" i="98" s="1"/>
  <c r="AG203" i="98" a="1"/>
  <c r="AG203" i="98" s="1"/>
  <c r="AF203" i="98" a="1"/>
  <c r="AF203" i="98" s="1"/>
  <c r="AE203" i="98" a="1"/>
  <c r="AE203" i="98" s="1"/>
  <c r="AD203" i="98" a="1"/>
  <c r="AD203" i="98" s="1"/>
  <c r="AC203" i="98" a="1"/>
  <c r="AC203" i="98" s="1"/>
  <c r="AB203" i="98" a="1"/>
  <c r="AB203" i="98" s="1"/>
  <c r="AA203" i="98" a="1"/>
  <c r="AA203" i="98" s="1"/>
  <c r="Z203" i="98" a="1"/>
  <c r="Z203" i="98" s="1"/>
  <c r="Y203" i="98" a="1"/>
  <c r="Y203" i="98" s="1"/>
  <c r="X203" i="98" a="1"/>
  <c r="X203" i="98" s="1"/>
  <c r="W203" i="98" a="1"/>
  <c r="W203" i="98" s="1"/>
  <c r="V203" i="98" a="1"/>
  <c r="V203" i="98" s="1"/>
  <c r="U203" i="98" a="1"/>
  <c r="U203" i="98" s="1"/>
  <c r="T203" i="98" a="1"/>
  <c r="T203" i="98" s="1"/>
  <c r="S203" i="98" a="1"/>
  <c r="S203" i="98" s="1"/>
  <c r="R203" i="98" a="1"/>
  <c r="R203" i="98" s="1"/>
  <c r="Q203" i="98" a="1"/>
  <c r="Q203" i="98" s="1"/>
  <c r="P203" i="98" a="1"/>
  <c r="P203" i="98" s="1"/>
  <c r="O203" i="98" a="1"/>
  <c r="O203" i="98" s="1"/>
  <c r="N203" i="98" a="1"/>
  <c r="N203" i="98" s="1"/>
  <c r="M203" i="98" a="1"/>
  <c r="M203" i="98" s="1"/>
  <c r="L203" i="98" a="1"/>
  <c r="L203" i="98" s="1"/>
  <c r="K203" i="98" a="1"/>
  <c r="K203" i="98" s="1"/>
  <c r="J203" i="98" a="1"/>
  <c r="J203" i="98" s="1"/>
  <c r="I203" i="98" a="1"/>
  <c r="I203" i="98" s="1"/>
  <c r="H203" i="98" a="1"/>
  <c r="H203" i="98" s="1"/>
  <c r="G203" i="98" a="1"/>
  <c r="G203" i="98" s="1"/>
  <c r="F203" i="98" a="1"/>
  <c r="F203" i="98" s="1"/>
  <c r="E203" i="98" a="1"/>
  <c r="E203" i="98" s="1"/>
  <c r="D203" i="98" a="1"/>
  <c r="D203" i="98" s="1"/>
  <c r="AH202" i="98" a="1"/>
  <c r="AH202" i="98" s="1"/>
  <c r="AG202" i="98" a="1"/>
  <c r="AG202" i="98" s="1"/>
  <c r="AF202" i="98" a="1"/>
  <c r="AF202" i="98" s="1"/>
  <c r="AE202" i="98" a="1"/>
  <c r="AE202" i="98" s="1"/>
  <c r="AD202" i="98" a="1"/>
  <c r="AD202" i="98" s="1"/>
  <c r="AC202" i="98" a="1"/>
  <c r="AC202" i="98" s="1"/>
  <c r="AB202" i="98" a="1"/>
  <c r="AB202" i="98" s="1"/>
  <c r="AA202" i="98" a="1"/>
  <c r="AA202" i="98" s="1"/>
  <c r="Z202" i="98" a="1"/>
  <c r="Z202" i="98" s="1"/>
  <c r="Y202" i="98" a="1"/>
  <c r="Y202" i="98" s="1"/>
  <c r="X202" i="98" a="1"/>
  <c r="X202" i="98" s="1"/>
  <c r="W202" i="98" a="1"/>
  <c r="W202" i="98" s="1"/>
  <c r="V202" i="98" a="1"/>
  <c r="V202" i="98" s="1"/>
  <c r="U202" i="98" a="1"/>
  <c r="U202" i="98" s="1"/>
  <c r="T202" i="98" a="1"/>
  <c r="T202" i="98" s="1"/>
  <c r="S202" i="98" a="1"/>
  <c r="S202" i="98" s="1"/>
  <c r="R202" i="98" a="1"/>
  <c r="R202" i="98" s="1"/>
  <c r="Q202" i="98" a="1"/>
  <c r="Q202" i="98" s="1"/>
  <c r="P202" i="98" a="1"/>
  <c r="P202" i="98" s="1"/>
  <c r="O202" i="98" a="1"/>
  <c r="O202" i="98" s="1"/>
  <c r="N202" i="98" a="1"/>
  <c r="N202" i="98" s="1"/>
  <c r="M202" i="98" a="1"/>
  <c r="M202" i="98" s="1"/>
  <c r="L202" i="98" a="1"/>
  <c r="L202" i="98" s="1"/>
  <c r="K202" i="98" a="1"/>
  <c r="K202" i="98" s="1"/>
  <c r="J202" i="98" a="1"/>
  <c r="J202" i="98" s="1"/>
  <c r="I202" i="98" a="1"/>
  <c r="I202" i="98" s="1"/>
  <c r="H202" i="98" a="1"/>
  <c r="H202" i="98" s="1"/>
  <c r="G202" i="98" a="1"/>
  <c r="G202" i="98" s="1"/>
  <c r="F202" i="98" a="1"/>
  <c r="F202" i="98" s="1"/>
  <c r="E202" i="98" a="1"/>
  <c r="E202" i="98" s="1"/>
  <c r="D202" i="98" a="1"/>
  <c r="D202" i="98" s="1"/>
  <c r="AH201" i="98" a="1"/>
  <c r="AH201" i="98" s="1"/>
  <c r="AG201" i="98" a="1"/>
  <c r="AG201" i="98" s="1"/>
  <c r="AF201" i="98" a="1"/>
  <c r="AF201" i="98" s="1"/>
  <c r="AE201" i="98" a="1"/>
  <c r="AE201" i="98" s="1"/>
  <c r="AD201" i="98" a="1"/>
  <c r="AD201" i="98" s="1"/>
  <c r="AC201" i="98" a="1"/>
  <c r="AC201" i="98" s="1"/>
  <c r="AB201" i="98" a="1"/>
  <c r="AB201" i="98" s="1"/>
  <c r="AA201" i="98" a="1"/>
  <c r="AA201" i="98" s="1"/>
  <c r="Z201" i="98" a="1"/>
  <c r="Z201" i="98" s="1"/>
  <c r="Y201" i="98" a="1"/>
  <c r="Y201" i="98" s="1"/>
  <c r="X201" i="98" a="1"/>
  <c r="X201" i="98" s="1"/>
  <c r="W201" i="98" a="1"/>
  <c r="W201" i="98" s="1"/>
  <c r="V201" i="98" a="1"/>
  <c r="V201" i="98" s="1"/>
  <c r="U201" i="98" a="1"/>
  <c r="U201" i="98" s="1"/>
  <c r="T201" i="98" a="1"/>
  <c r="T201" i="98" s="1"/>
  <c r="S201" i="98" a="1"/>
  <c r="S201" i="98" s="1"/>
  <c r="R201" i="98" a="1"/>
  <c r="R201" i="98" s="1"/>
  <c r="Q201" i="98" a="1"/>
  <c r="Q201" i="98" s="1"/>
  <c r="P201" i="98" a="1"/>
  <c r="P201" i="98" s="1"/>
  <c r="O201" i="98" a="1"/>
  <c r="O201" i="98" s="1"/>
  <c r="N201" i="98" a="1"/>
  <c r="N201" i="98" s="1"/>
  <c r="M201" i="98" a="1"/>
  <c r="M201" i="98" s="1"/>
  <c r="L201" i="98" a="1"/>
  <c r="L201" i="98" s="1"/>
  <c r="K201" i="98" a="1"/>
  <c r="K201" i="98" s="1"/>
  <c r="J201" i="98" a="1"/>
  <c r="J201" i="98" s="1"/>
  <c r="I201" i="98" a="1"/>
  <c r="I201" i="98" s="1"/>
  <c r="H201" i="98" a="1"/>
  <c r="H201" i="98" s="1"/>
  <c r="G201" i="98" a="1"/>
  <c r="G201" i="98" s="1"/>
  <c r="F201" i="98" a="1"/>
  <c r="F201" i="98" s="1"/>
  <c r="E201" i="98" a="1"/>
  <c r="E201" i="98" s="1"/>
  <c r="D201" i="98" a="1"/>
  <c r="D201" i="98" s="1"/>
  <c r="AH200" i="98" a="1"/>
  <c r="AH200" i="98" s="1"/>
  <c r="AG200" i="98" a="1"/>
  <c r="AG200" i="98" s="1"/>
  <c r="AF200" i="98" a="1"/>
  <c r="AF200" i="98" s="1"/>
  <c r="AE200" i="98" a="1"/>
  <c r="AE200" i="98" s="1"/>
  <c r="AD200" i="98" a="1"/>
  <c r="AD200" i="98" s="1"/>
  <c r="AC200" i="98" a="1"/>
  <c r="AC200" i="98" s="1"/>
  <c r="AB200" i="98" a="1"/>
  <c r="AB200" i="98" s="1"/>
  <c r="AA200" i="98" a="1"/>
  <c r="AA200" i="98" s="1"/>
  <c r="Z200" i="98" a="1"/>
  <c r="Z200" i="98" s="1"/>
  <c r="Y200" i="98" a="1"/>
  <c r="Y200" i="98" s="1"/>
  <c r="X200" i="98" a="1"/>
  <c r="X200" i="98" s="1"/>
  <c r="W200" i="98" a="1"/>
  <c r="W200" i="98" s="1"/>
  <c r="V200" i="98" a="1"/>
  <c r="V200" i="98" s="1"/>
  <c r="U200" i="98" a="1"/>
  <c r="U200" i="98" s="1"/>
  <c r="T200" i="98" a="1"/>
  <c r="T200" i="98" s="1"/>
  <c r="S200" i="98" a="1"/>
  <c r="S200" i="98" s="1"/>
  <c r="R200" i="98" a="1"/>
  <c r="R200" i="98" s="1"/>
  <c r="Q200" i="98" a="1"/>
  <c r="Q200" i="98" s="1"/>
  <c r="P200" i="98" a="1"/>
  <c r="P200" i="98" s="1"/>
  <c r="O200" i="98" a="1"/>
  <c r="O200" i="98" s="1"/>
  <c r="N200" i="98" a="1"/>
  <c r="N200" i="98" s="1"/>
  <c r="M200" i="98" a="1"/>
  <c r="M200" i="98" s="1"/>
  <c r="L200" i="98" a="1"/>
  <c r="L200" i="98" s="1"/>
  <c r="K200" i="98" a="1"/>
  <c r="K200" i="98" s="1"/>
  <c r="J200" i="98" a="1"/>
  <c r="J200" i="98" s="1"/>
  <c r="I200" i="98" a="1"/>
  <c r="I200" i="98" s="1"/>
  <c r="H200" i="98" a="1"/>
  <c r="H200" i="98" s="1"/>
  <c r="G200" i="98" a="1"/>
  <c r="G200" i="98" s="1"/>
  <c r="F200" i="98" a="1"/>
  <c r="F200" i="98" s="1"/>
  <c r="E200" i="98" a="1"/>
  <c r="E200" i="98" s="1"/>
  <c r="D200" i="98" a="1"/>
  <c r="D200" i="98" s="1"/>
  <c r="AH199" i="98" a="1"/>
  <c r="AH199" i="98" s="1"/>
  <c r="AG199" i="98" a="1"/>
  <c r="AG199" i="98" s="1"/>
  <c r="AF199" i="98" a="1"/>
  <c r="AF199" i="98" s="1"/>
  <c r="AE199" i="98" a="1"/>
  <c r="AE199" i="98" s="1"/>
  <c r="AD199" i="98" a="1"/>
  <c r="AD199" i="98" s="1"/>
  <c r="AC199" i="98" a="1"/>
  <c r="AC199" i="98" s="1"/>
  <c r="AB199" i="98" a="1"/>
  <c r="AB199" i="98" s="1"/>
  <c r="AA199" i="98" a="1"/>
  <c r="AA199" i="98" s="1"/>
  <c r="Z199" i="98" a="1"/>
  <c r="Z199" i="98" s="1"/>
  <c r="Y199" i="98" a="1"/>
  <c r="Y199" i="98" s="1"/>
  <c r="X199" i="98" a="1"/>
  <c r="X199" i="98" s="1"/>
  <c r="W199" i="98" a="1"/>
  <c r="W199" i="98" s="1"/>
  <c r="V199" i="98" a="1"/>
  <c r="V199" i="98" s="1"/>
  <c r="U199" i="98" a="1"/>
  <c r="U199" i="98" s="1"/>
  <c r="T199" i="98" a="1"/>
  <c r="T199" i="98" s="1"/>
  <c r="S199" i="98" a="1"/>
  <c r="S199" i="98" s="1"/>
  <c r="R199" i="98" a="1"/>
  <c r="R199" i="98" s="1"/>
  <c r="Q199" i="98" a="1"/>
  <c r="Q199" i="98" s="1"/>
  <c r="P199" i="98" a="1"/>
  <c r="P199" i="98" s="1"/>
  <c r="O199" i="98" a="1"/>
  <c r="O199" i="98" s="1"/>
  <c r="N199" i="98" a="1"/>
  <c r="N199" i="98" s="1"/>
  <c r="M199" i="98" a="1"/>
  <c r="M199" i="98" s="1"/>
  <c r="L199" i="98" a="1"/>
  <c r="L199" i="98" s="1"/>
  <c r="K199" i="98" a="1"/>
  <c r="K199" i="98" s="1"/>
  <c r="J199" i="98" a="1"/>
  <c r="J199" i="98" s="1"/>
  <c r="I199" i="98" a="1"/>
  <c r="I199" i="98" s="1"/>
  <c r="H199" i="98" a="1"/>
  <c r="H199" i="98" s="1"/>
  <c r="G199" i="98" a="1"/>
  <c r="G199" i="98" s="1"/>
  <c r="F199" i="98" a="1"/>
  <c r="F199" i="98" s="1"/>
  <c r="E199" i="98" a="1"/>
  <c r="E199" i="98" s="1"/>
  <c r="D199" i="98" a="1"/>
  <c r="D199" i="98" s="1"/>
  <c r="AH198" i="98" a="1"/>
  <c r="AH198" i="98" s="1"/>
  <c r="AG198" i="98" a="1"/>
  <c r="AG198" i="98" s="1"/>
  <c r="AF198" i="98" a="1"/>
  <c r="AF198" i="98" s="1"/>
  <c r="AE198" i="98" a="1"/>
  <c r="AE198" i="98" s="1"/>
  <c r="AD198" i="98" a="1"/>
  <c r="AD198" i="98" s="1"/>
  <c r="AC198" i="98" a="1"/>
  <c r="AC198" i="98" s="1"/>
  <c r="AB198" i="98" a="1"/>
  <c r="AB198" i="98" s="1"/>
  <c r="AA198" i="98" a="1"/>
  <c r="AA198" i="98" s="1"/>
  <c r="Z198" i="98" a="1"/>
  <c r="Z198" i="98" s="1"/>
  <c r="Y198" i="98" a="1"/>
  <c r="Y198" i="98" s="1"/>
  <c r="X198" i="98" a="1"/>
  <c r="X198" i="98" s="1"/>
  <c r="W198" i="98" a="1"/>
  <c r="W198" i="98" s="1"/>
  <c r="V198" i="98" a="1"/>
  <c r="V198" i="98" s="1"/>
  <c r="U198" i="98" a="1"/>
  <c r="U198" i="98" s="1"/>
  <c r="T198" i="98" a="1"/>
  <c r="T198" i="98" s="1"/>
  <c r="S198" i="98" a="1"/>
  <c r="S198" i="98" s="1"/>
  <c r="R198" i="98" a="1"/>
  <c r="R198" i="98" s="1"/>
  <c r="Q198" i="98" a="1"/>
  <c r="Q198" i="98" s="1"/>
  <c r="P198" i="98" a="1"/>
  <c r="P198" i="98" s="1"/>
  <c r="O198" i="98" a="1"/>
  <c r="O198" i="98" s="1"/>
  <c r="N198" i="98" a="1"/>
  <c r="N198" i="98" s="1"/>
  <c r="M198" i="98" a="1"/>
  <c r="M198" i="98" s="1"/>
  <c r="L198" i="98" a="1"/>
  <c r="L198" i="98" s="1"/>
  <c r="K198" i="98" a="1"/>
  <c r="K198" i="98" s="1"/>
  <c r="J198" i="98" a="1"/>
  <c r="J198" i="98" s="1"/>
  <c r="I198" i="98" a="1"/>
  <c r="I198" i="98" s="1"/>
  <c r="H198" i="98" a="1"/>
  <c r="H198" i="98" s="1"/>
  <c r="G198" i="98" a="1"/>
  <c r="G198" i="98" s="1"/>
  <c r="F198" i="98" a="1"/>
  <c r="F198" i="98" s="1"/>
  <c r="E198" i="98" a="1"/>
  <c r="E198" i="98" s="1"/>
  <c r="D198" i="98" a="1"/>
  <c r="D198" i="98" s="1"/>
  <c r="AH197" i="98" a="1"/>
  <c r="AH197" i="98" s="1"/>
  <c r="AG197" i="98" a="1"/>
  <c r="AG197" i="98" s="1"/>
  <c r="AF197" i="98" a="1"/>
  <c r="AF197" i="98" s="1"/>
  <c r="AE197" i="98" a="1"/>
  <c r="AE197" i="98" s="1"/>
  <c r="AD197" i="98" a="1"/>
  <c r="AD197" i="98" s="1"/>
  <c r="AC197" i="98" a="1"/>
  <c r="AC197" i="98" s="1"/>
  <c r="AB197" i="98" a="1"/>
  <c r="AB197" i="98" s="1"/>
  <c r="AA197" i="98" a="1"/>
  <c r="AA197" i="98" s="1"/>
  <c r="Z197" i="98" a="1"/>
  <c r="Z197" i="98" s="1"/>
  <c r="Y197" i="98" a="1"/>
  <c r="Y197" i="98" s="1"/>
  <c r="X197" i="98" a="1"/>
  <c r="X197" i="98" s="1"/>
  <c r="W197" i="98" a="1"/>
  <c r="W197" i="98" s="1"/>
  <c r="V197" i="98" a="1"/>
  <c r="V197" i="98" s="1"/>
  <c r="U197" i="98" a="1"/>
  <c r="U197" i="98" s="1"/>
  <c r="T197" i="98" a="1"/>
  <c r="T197" i="98" s="1"/>
  <c r="S197" i="98" a="1"/>
  <c r="S197" i="98" s="1"/>
  <c r="R197" i="98" a="1"/>
  <c r="R197" i="98" s="1"/>
  <c r="Q197" i="98" a="1"/>
  <c r="Q197" i="98" s="1"/>
  <c r="P197" i="98" a="1"/>
  <c r="P197" i="98" s="1"/>
  <c r="O197" i="98" a="1"/>
  <c r="O197" i="98" s="1"/>
  <c r="N197" i="98" a="1"/>
  <c r="N197" i="98" s="1"/>
  <c r="M197" i="98" a="1"/>
  <c r="M197" i="98" s="1"/>
  <c r="L197" i="98" a="1"/>
  <c r="L197" i="98" s="1"/>
  <c r="K197" i="98" a="1"/>
  <c r="K197" i="98" s="1"/>
  <c r="J197" i="98" a="1"/>
  <c r="J197" i="98" s="1"/>
  <c r="I197" i="98" a="1"/>
  <c r="I197" i="98" s="1"/>
  <c r="H197" i="98" a="1"/>
  <c r="H197" i="98" s="1"/>
  <c r="G197" i="98" a="1"/>
  <c r="G197" i="98" s="1"/>
  <c r="F197" i="98" a="1"/>
  <c r="F197" i="98" s="1"/>
  <c r="E197" i="98" a="1"/>
  <c r="E197" i="98" s="1"/>
  <c r="D197" i="98" a="1"/>
  <c r="D197" i="98" s="1"/>
  <c r="AH196" i="98" a="1"/>
  <c r="AH196" i="98" s="1"/>
  <c r="AG196" i="98" a="1"/>
  <c r="AG196" i="98" s="1"/>
  <c r="AF196" i="98" a="1"/>
  <c r="AF196" i="98" s="1"/>
  <c r="AE196" i="98" a="1"/>
  <c r="AE196" i="98" s="1"/>
  <c r="AD196" i="98" a="1"/>
  <c r="AD196" i="98" s="1"/>
  <c r="AC196" i="98" a="1"/>
  <c r="AC196" i="98" s="1"/>
  <c r="AB196" i="98" a="1"/>
  <c r="AB196" i="98" s="1"/>
  <c r="AA196" i="98" a="1"/>
  <c r="AA196" i="98" s="1"/>
  <c r="Z196" i="98" a="1"/>
  <c r="Z196" i="98" s="1"/>
  <c r="Y196" i="98" a="1"/>
  <c r="Y196" i="98" s="1"/>
  <c r="X196" i="98" a="1"/>
  <c r="X196" i="98" s="1"/>
  <c r="W196" i="98" a="1"/>
  <c r="W196" i="98" s="1"/>
  <c r="V196" i="98" a="1"/>
  <c r="V196" i="98" s="1"/>
  <c r="U196" i="98" a="1"/>
  <c r="U196" i="98" s="1"/>
  <c r="T196" i="98" a="1"/>
  <c r="T196" i="98" s="1"/>
  <c r="S196" i="98" a="1"/>
  <c r="S196" i="98" s="1"/>
  <c r="R196" i="98" a="1"/>
  <c r="R196" i="98" s="1"/>
  <c r="Q196" i="98" a="1"/>
  <c r="Q196" i="98" s="1"/>
  <c r="P196" i="98" a="1"/>
  <c r="P196" i="98" s="1"/>
  <c r="O196" i="98" a="1"/>
  <c r="O196" i="98" s="1"/>
  <c r="N196" i="98" a="1"/>
  <c r="N196" i="98" s="1"/>
  <c r="M196" i="98" a="1"/>
  <c r="M196" i="98" s="1"/>
  <c r="L196" i="98" a="1"/>
  <c r="L196" i="98" s="1"/>
  <c r="K196" i="98" a="1"/>
  <c r="K196" i="98" s="1"/>
  <c r="J196" i="98" a="1"/>
  <c r="J196" i="98" s="1"/>
  <c r="I196" i="98" a="1"/>
  <c r="I196" i="98" s="1"/>
  <c r="H196" i="98" a="1"/>
  <c r="H196" i="98" s="1"/>
  <c r="G196" i="98" a="1"/>
  <c r="G196" i="98" s="1"/>
  <c r="F196" i="98" a="1"/>
  <c r="F196" i="98" s="1"/>
  <c r="E196" i="98" a="1"/>
  <c r="E196" i="98" s="1"/>
  <c r="D196" i="98" a="1"/>
  <c r="D196" i="98" s="1"/>
  <c r="AH195" i="98" a="1"/>
  <c r="AH195" i="98" s="1"/>
  <c r="AG195" i="98" a="1"/>
  <c r="AG195" i="98" s="1"/>
  <c r="AF195" i="98" a="1"/>
  <c r="AF195" i="98" s="1"/>
  <c r="AE195" i="98" a="1"/>
  <c r="AE195" i="98" s="1"/>
  <c r="AD195" i="98" a="1"/>
  <c r="AD195" i="98" s="1"/>
  <c r="AC195" i="98" a="1"/>
  <c r="AC195" i="98" s="1"/>
  <c r="AB195" i="98" a="1"/>
  <c r="AB195" i="98" s="1"/>
  <c r="AA195" i="98" a="1"/>
  <c r="AA195" i="98" s="1"/>
  <c r="Z195" i="98" a="1"/>
  <c r="Z195" i="98" s="1"/>
  <c r="Y195" i="98" a="1"/>
  <c r="Y195" i="98" s="1"/>
  <c r="X195" i="98" a="1"/>
  <c r="X195" i="98" s="1"/>
  <c r="W195" i="98" a="1"/>
  <c r="W195" i="98" s="1"/>
  <c r="V195" i="98" a="1"/>
  <c r="V195" i="98" s="1"/>
  <c r="U195" i="98" a="1"/>
  <c r="U195" i="98" s="1"/>
  <c r="T195" i="98" a="1"/>
  <c r="T195" i="98" s="1"/>
  <c r="S195" i="98" a="1"/>
  <c r="S195" i="98" s="1"/>
  <c r="R195" i="98" a="1"/>
  <c r="R195" i="98" s="1"/>
  <c r="Q195" i="98" a="1"/>
  <c r="Q195" i="98" s="1"/>
  <c r="P195" i="98" a="1"/>
  <c r="P195" i="98" s="1"/>
  <c r="O195" i="98" a="1"/>
  <c r="O195" i="98" s="1"/>
  <c r="N195" i="98" a="1"/>
  <c r="N195" i="98" s="1"/>
  <c r="M195" i="98" a="1"/>
  <c r="M195" i="98" s="1"/>
  <c r="L195" i="98" a="1"/>
  <c r="L195" i="98" s="1"/>
  <c r="K195" i="98" a="1"/>
  <c r="K195" i="98" s="1"/>
  <c r="J195" i="98" a="1"/>
  <c r="J195" i="98" s="1"/>
  <c r="I195" i="98" a="1"/>
  <c r="I195" i="98" s="1"/>
  <c r="H195" i="98" a="1"/>
  <c r="H195" i="98" s="1"/>
  <c r="G195" i="98" a="1"/>
  <c r="G195" i="98" s="1"/>
  <c r="F195" i="98" a="1"/>
  <c r="F195" i="98" s="1"/>
  <c r="E195" i="98" a="1"/>
  <c r="E195" i="98" s="1"/>
  <c r="D195" i="98" a="1"/>
  <c r="D195" i="98" s="1"/>
  <c r="AH194" i="98" a="1"/>
  <c r="AH194" i="98" s="1"/>
  <c r="AG194" i="98" a="1"/>
  <c r="AG194" i="98" s="1"/>
  <c r="AF194" i="98" a="1"/>
  <c r="AF194" i="98" s="1"/>
  <c r="AE194" i="98" a="1"/>
  <c r="AE194" i="98" s="1"/>
  <c r="AD194" i="98" a="1"/>
  <c r="AD194" i="98" s="1"/>
  <c r="AC194" i="98" a="1"/>
  <c r="AC194" i="98" s="1"/>
  <c r="AB194" i="98" a="1"/>
  <c r="AB194" i="98" s="1"/>
  <c r="AA194" i="98" a="1"/>
  <c r="AA194" i="98" s="1"/>
  <c r="Z194" i="98" a="1"/>
  <c r="Z194" i="98" s="1"/>
  <c r="Y194" i="98" a="1"/>
  <c r="Y194" i="98" s="1"/>
  <c r="X194" i="98" a="1"/>
  <c r="X194" i="98" s="1"/>
  <c r="W194" i="98" a="1"/>
  <c r="W194" i="98" s="1"/>
  <c r="V194" i="98" a="1"/>
  <c r="V194" i="98" s="1"/>
  <c r="U194" i="98" a="1"/>
  <c r="U194" i="98" s="1"/>
  <c r="T194" i="98" a="1"/>
  <c r="T194" i="98" s="1"/>
  <c r="S194" i="98" a="1"/>
  <c r="S194" i="98" s="1"/>
  <c r="R194" i="98" a="1"/>
  <c r="R194" i="98" s="1"/>
  <c r="Q194" i="98" a="1"/>
  <c r="Q194" i="98" s="1"/>
  <c r="P194" i="98" a="1"/>
  <c r="P194" i="98" s="1"/>
  <c r="O194" i="98" a="1"/>
  <c r="O194" i="98" s="1"/>
  <c r="N194" i="98" a="1"/>
  <c r="N194" i="98" s="1"/>
  <c r="M194" i="98" a="1"/>
  <c r="M194" i="98" s="1"/>
  <c r="L194" i="98" a="1"/>
  <c r="L194" i="98" s="1"/>
  <c r="K194" i="98" a="1"/>
  <c r="K194" i="98" s="1"/>
  <c r="J194" i="98" a="1"/>
  <c r="J194" i="98" s="1"/>
  <c r="I194" i="98" a="1"/>
  <c r="I194" i="98" s="1"/>
  <c r="H194" i="98" a="1"/>
  <c r="H194" i="98" s="1"/>
  <c r="G194" i="98" a="1"/>
  <c r="G194" i="98" s="1"/>
  <c r="F194" i="98" a="1"/>
  <c r="F194" i="98" s="1"/>
  <c r="E194" i="98" a="1"/>
  <c r="E194" i="98" s="1"/>
  <c r="D194" i="98" a="1"/>
  <c r="D194" i="98" s="1"/>
  <c r="AH193" i="98" a="1"/>
  <c r="AH193" i="98" s="1"/>
  <c r="AG193" i="98" a="1"/>
  <c r="AG193" i="98" s="1"/>
  <c r="AF193" i="98" a="1"/>
  <c r="AF193" i="98" s="1"/>
  <c r="AE193" i="98" a="1"/>
  <c r="AE193" i="98" s="1"/>
  <c r="AD193" i="98" a="1"/>
  <c r="AD193" i="98" s="1"/>
  <c r="AC193" i="98" a="1"/>
  <c r="AC193" i="98" s="1"/>
  <c r="AB193" i="98" a="1"/>
  <c r="AB193" i="98" s="1"/>
  <c r="AA193" i="98" a="1"/>
  <c r="AA193" i="98" s="1"/>
  <c r="Z193" i="98" a="1"/>
  <c r="Z193" i="98" s="1"/>
  <c r="Y193" i="98" a="1"/>
  <c r="Y193" i="98" s="1"/>
  <c r="X193" i="98" a="1"/>
  <c r="X193" i="98" s="1"/>
  <c r="W193" i="98" a="1"/>
  <c r="W193" i="98" s="1"/>
  <c r="V193" i="98" a="1"/>
  <c r="V193" i="98" s="1"/>
  <c r="U193" i="98" a="1"/>
  <c r="U193" i="98" s="1"/>
  <c r="T193" i="98" a="1"/>
  <c r="T193" i="98" s="1"/>
  <c r="S193" i="98" a="1"/>
  <c r="S193" i="98" s="1"/>
  <c r="R193" i="98" a="1"/>
  <c r="R193" i="98" s="1"/>
  <c r="Q193" i="98" a="1"/>
  <c r="Q193" i="98" s="1"/>
  <c r="P193" i="98" a="1"/>
  <c r="P193" i="98" s="1"/>
  <c r="O193" i="98" a="1"/>
  <c r="O193" i="98" s="1"/>
  <c r="N193" i="98" a="1"/>
  <c r="N193" i="98" s="1"/>
  <c r="M193" i="98" a="1"/>
  <c r="M193" i="98" s="1"/>
  <c r="L193" i="98" a="1"/>
  <c r="L193" i="98" s="1"/>
  <c r="K193" i="98" a="1"/>
  <c r="K193" i="98" s="1"/>
  <c r="J193" i="98" a="1"/>
  <c r="J193" i="98" s="1"/>
  <c r="I193" i="98" a="1"/>
  <c r="I193" i="98" s="1"/>
  <c r="H193" i="98" a="1"/>
  <c r="H193" i="98" s="1"/>
  <c r="G193" i="98" a="1"/>
  <c r="G193" i="98" s="1"/>
  <c r="F193" i="98" a="1"/>
  <c r="F193" i="98" s="1"/>
  <c r="E193" i="98" a="1"/>
  <c r="E193" i="98" s="1"/>
  <c r="D193" i="98" a="1"/>
  <c r="D193" i="98" s="1"/>
  <c r="AH192" i="98" a="1"/>
  <c r="AH192" i="98" s="1"/>
  <c r="AG192" i="98" a="1"/>
  <c r="AG192" i="98" s="1"/>
  <c r="AF192" i="98" a="1"/>
  <c r="AF192" i="98" s="1"/>
  <c r="AE192" i="98" a="1"/>
  <c r="AE192" i="98" s="1"/>
  <c r="AD192" i="98" a="1"/>
  <c r="AD192" i="98" s="1"/>
  <c r="AC192" i="98" a="1"/>
  <c r="AC192" i="98" s="1"/>
  <c r="AB192" i="98" a="1"/>
  <c r="AB192" i="98" s="1"/>
  <c r="AA192" i="98" a="1"/>
  <c r="AA192" i="98" s="1"/>
  <c r="Z192" i="98" a="1"/>
  <c r="Z192" i="98" s="1"/>
  <c r="Y192" i="98" a="1"/>
  <c r="Y192" i="98" s="1"/>
  <c r="X192" i="98" a="1"/>
  <c r="X192" i="98" s="1"/>
  <c r="W192" i="98" a="1"/>
  <c r="W192" i="98" s="1"/>
  <c r="V192" i="98" a="1"/>
  <c r="V192" i="98" s="1"/>
  <c r="U192" i="98" a="1"/>
  <c r="U192" i="98" s="1"/>
  <c r="T192" i="98" a="1"/>
  <c r="T192" i="98" s="1"/>
  <c r="S192" i="98" a="1"/>
  <c r="S192" i="98" s="1"/>
  <c r="R192" i="98" a="1"/>
  <c r="R192" i="98" s="1"/>
  <c r="Q192" i="98" a="1"/>
  <c r="Q192" i="98" s="1"/>
  <c r="P192" i="98" a="1"/>
  <c r="P192" i="98" s="1"/>
  <c r="O192" i="98" a="1"/>
  <c r="O192" i="98" s="1"/>
  <c r="N192" i="98" a="1"/>
  <c r="N192" i="98" s="1"/>
  <c r="M192" i="98" a="1"/>
  <c r="M192" i="98" s="1"/>
  <c r="L192" i="98" a="1"/>
  <c r="L192" i="98" s="1"/>
  <c r="K192" i="98" a="1"/>
  <c r="K192" i="98" s="1"/>
  <c r="J192" i="98" a="1"/>
  <c r="J192" i="98" s="1"/>
  <c r="I192" i="98" a="1"/>
  <c r="I192" i="98" s="1"/>
  <c r="H192" i="98" a="1"/>
  <c r="H192" i="98" s="1"/>
  <c r="G192" i="98" a="1"/>
  <c r="G192" i="98" s="1"/>
  <c r="F192" i="98" a="1"/>
  <c r="F192" i="98" s="1"/>
  <c r="E192" i="98" a="1"/>
  <c r="E192" i="98" s="1"/>
  <c r="D192" i="98" a="1"/>
  <c r="D192" i="98" s="1"/>
  <c r="AH191" i="98" a="1"/>
  <c r="AH191" i="98" s="1"/>
  <c r="AG191" i="98" a="1"/>
  <c r="AG191" i="98" s="1"/>
  <c r="AF191" i="98" a="1"/>
  <c r="AF191" i="98" s="1"/>
  <c r="AE191" i="98" a="1"/>
  <c r="AE191" i="98" s="1"/>
  <c r="AD191" i="98" a="1"/>
  <c r="AD191" i="98" s="1"/>
  <c r="AC191" i="98" a="1"/>
  <c r="AC191" i="98" s="1"/>
  <c r="AB191" i="98" a="1"/>
  <c r="AB191" i="98" s="1"/>
  <c r="AA191" i="98" a="1"/>
  <c r="AA191" i="98" s="1"/>
  <c r="Z191" i="98" a="1"/>
  <c r="Z191" i="98" s="1"/>
  <c r="Y191" i="98" a="1"/>
  <c r="Y191" i="98" s="1"/>
  <c r="X191" i="98" a="1"/>
  <c r="X191" i="98" s="1"/>
  <c r="W191" i="98" a="1"/>
  <c r="W191" i="98" s="1"/>
  <c r="V191" i="98" a="1"/>
  <c r="V191" i="98" s="1"/>
  <c r="U191" i="98" a="1"/>
  <c r="U191" i="98" s="1"/>
  <c r="T191" i="98" a="1"/>
  <c r="T191" i="98" s="1"/>
  <c r="S191" i="98" a="1"/>
  <c r="S191" i="98" s="1"/>
  <c r="R191" i="98" a="1"/>
  <c r="R191" i="98" s="1"/>
  <c r="Q191" i="98" a="1"/>
  <c r="Q191" i="98" s="1"/>
  <c r="P191" i="98" a="1"/>
  <c r="P191" i="98" s="1"/>
  <c r="O191" i="98" a="1"/>
  <c r="O191" i="98" s="1"/>
  <c r="N191" i="98" a="1"/>
  <c r="N191" i="98" s="1"/>
  <c r="M191" i="98" a="1"/>
  <c r="M191" i="98" s="1"/>
  <c r="L191" i="98" a="1"/>
  <c r="L191" i="98" s="1"/>
  <c r="K191" i="98" a="1"/>
  <c r="K191" i="98" s="1"/>
  <c r="J191" i="98" a="1"/>
  <c r="J191" i="98" s="1"/>
  <c r="I191" i="98" a="1"/>
  <c r="I191" i="98" s="1"/>
  <c r="H191" i="98" a="1"/>
  <c r="H191" i="98" s="1"/>
  <c r="G191" i="98" a="1"/>
  <c r="G191" i="98" s="1"/>
  <c r="F191" i="98" a="1"/>
  <c r="F191" i="98" s="1"/>
  <c r="E191" i="98" a="1"/>
  <c r="E191" i="98" s="1"/>
  <c r="D191" i="98" a="1"/>
  <c r="D191" i="98" s="1"/>
  <c r="AH190" i="98" a="1"/>
  <c r="AH190" i="98" s="1"/>
  <c r="AG190" i="98" a="1"/>
  <c r="AG190" i="98" s="1"/>
  <c r="AF190" i="98" a="1"/>
  <c r="AF190" i="98" s="1"/>
  <c r="AE190" i="98" a="1"/>
  <c r="AE190" i="98" s="1"/>
  <c r="AD190" i="98" a="1"/>
  <c r="AD190" i="98" s="1"/>
  <c r="AC190" i="98" a="1"/>
  <c r="AC190" i="98" s="1"/>
  <c r="AB190" i="98" a="1"/>
  <c r="AB190" i="98" s="1"/>
  <c r="AA190" i="98" a="1"/>
  <c r="AA190" i="98" s="1"/>
  <c r="Z190" i="98" a="1"/>
  <c r="Z190" i="98" s="1"/>
  <c r="Y190" i="98" a="1"/>
  <c r="Y190" i="98" s="1"/>
  <c r="X190" i="98" a="1"/>
  <c r="X190" i="98" s="1"/>
  <c r="W190" i="98" a="1"/>
  <c r="W190" i="98" s="1"/>
  <c r="V190" i="98" a="1"/>
  <c r="V190" i="98" s="1"/>
  <c r="U190" i="98" a="1"/>
  <c r="U190" i="98" s="1"/>
  <c r="T190" i="98" a="1"/>
  <c r="T190" i="98" s="1"/>
  <c r="S190" i="98" a="1"/>
  <c r="S190" i="98" s="1"/>
  <c r="R190" i="98" a="1"/>
  <c r="R190" i="98" s="1"/>
  <c r="Q190" i="98" a="1"/>
  <c r="Q190" i="98" s="1"/>
  <c r="P190" i="98" a="1"/>
  <c r="P190" i="98" s="1"/>
  <c r="O190" i="98" a="1"/>
  <c r="O190" i="98" s="1"/>
  <c r="N190" i="98" a="1"/>
  <c r="N190" i="98" s="1"/>
  <c r="M190" i="98" a="1"/>
  <c r="M190" i="98" s="1"/>
  <c r="L190" i="98" a="1"/>
  <c r="L190" i="98" s="1"/>
  <c r="K190" i="98" a="1"/>
  <c r="K190" i="98" s="1"/>
  <c r="J190" i="98" a="1"/>
  <c r="J190" i="98" s="1"/>
  <c r="I190" i="98" a="1"/>
  <c r="I190" i="98" s="1"/>
  <c r="H190" i="98" a="1"/>
  <c r="H190" i="98" s="1"/>
  <c r="G190" i="98" a="1"/>
  <c r="G190" i="98" s="1"/>
  <c r="F190" i="98" a="1"/>
  <c r="F190" i="98" s="1"/>
  <c r="E190" i="98" a="1"/>
  <c r="E190" i="98" s="1"/>
  <c r="D190" i="98" a="1"/>
  <c r="D190" i="98" s="1"/>
  <c r="AH189" i="98" a="1"/>
  <c r="AH189" i="98" s="1"/>
  <c r="AG189" i="98" a="1"/>
  <c r="AG189" i="98" s="1"/>
  <c r="AF189" i="98" a="1"/>
  <c r="AF189" i="98" s="1"/>
  <c r="AE189" i="98" a="1"/>
  <c r="AE189" i="98" s="1"/>
  <c r="AD189" i="98" a="1"/>
  <c r="AD189" i="98" s="1"/>
  <c r="AC189" i="98" a="1"/>
  <c r="AC189" i="98" s="1"/>
  <c r="AB189" i="98" a="1"/>
  <c r="AB189" i="98" s="1"/>
  <c r="AA189" i="98" a="1"/>
  <c r="AA189" i="98" s="1"/>
  <c r="Z189" i="98" a="1"/>
  <c r="Z189" i="98" s="1"/>
  <c r="Y189" i="98" a="1"/>
  <c r="Y189" i="98" s="1"/>
  <c r="X189" i="98" a="1"/>
  <c r="X189" i="98" s="1"/>
  <c r="W189" i="98" a="1"/>
  <c r="W189" i="98" s="1"/>
  <c r="V189" i="98" a="1"/>
  <c r="V189" i="98" s="1"/>
  <c r="U189" i="98" a="1"/>
  <c r="U189" i="98" s="1"/>
  <c r="T189" i="98" a="1"/>
  <c r="T189" i="98" s="1"/>
  <c r="S189" i="98" a="1"/>
  <c r="S189" i="98" s="1"/>
  <c r="R189" i="98" a="1"/>
  <c r="R189" i="98" s="1"/>
  <c r="Q189" i="98" a="1"/>
  <c r="Q189" i="98" s="1"/>
  <c r="P189" i="98" a="1"/>
  <c r="P189" i="98" s="1"/>
  <c r="O189" i="98" a="1"/>
  <c r="O189" i="98" s="1"/>
  <c r="N189" i="98" a="1"/>
  <c r="N189" i="98" s="1"/>
  <c r="M189" i="98" a="1"/>
  <c r="M189" i="98" s="1"/>
  <c r="L189" i="98" a="1"/>
  <c r="L189" i="98" s="1"/>
  <c r="K189" i="98" a="1"/>
  <c r="K189" i="98" s="1"/>
  <c r="J189" i="98" a="1"/>
  <c r="J189" i="98" s="1"/>
  <c r="I189" i="98" a="1"/>
  <c r="I189" i="98" s="1"/>
  <c r="H189" i="98" a="1"/>
  <c r="H189" i="98" s="1"/>
  <c r="G189" i="98" a="1"/>
  <c r="G189" i="98" s="1"/>
  <c r="F189" i="98" a="1"/>
  <c r="F189" i="98" s="1"/>
  <c r="E189" i="98" a="1"/>
  <c r="E189" i="98" s="1"/>
  <c r="D189" i="98" a="1"/>
  <c r="D189" i="98" s="1"/>
  <c r="AH188" i="98" a="1"/>
  <c r="AH188" i="98" s="1"/>
  <c r="AG188" i="98" a="1"/>
  <c r="AG188" i="98" s="1"/>
  <c r="AF188" i="98" a="1"/>
  <c r="AF188" i="98" s="1"/>
  <c r="AE188" i="98" a="1"/>
  <c r="AE188" i="98" s="1"/>
  <c r="AD188" i="98" a="1"/>
  <c r="AD188" i="98" s="1"/>
  <c r="AC188" i="98" a="1"/>
  <c r="AC188" i="98" s="1"/>
  <c r="AB188" i="98" a="1"/>
  <c r="AB188" i="98" s="1"/>
  <c r="AA188" i="98" a="1"/>
  <c r="AA188" i="98" s="1"/>
  <c r="Z188" i="98" a="1"/>
  <c r="Z188" i="98" s="1"/>
  <c r="Y188" i="98" a="1"/>
  <c r="Y188" i="98" s="1"/>
  <c r="X188" i="98" a="1"/>
  <c r="X188" i="98" s="1"/>
  <c r="W188" i="98" a="1"/>
  <c r="W188" i="98" s="1"/>
  <c r="V188" i="98" a="1"/>
  <c r="V188" i="98" s="1"/>
  <c r="U188" i="98" a="1"/>
  <c r="U188" i="98" s="1"/>
  <c r="T188" i="98" a="1"/>
  <c r="T188" i="98" s="1"/>
  <c r="S188" i="98" a="1"/>
  <c r="S188" i="98" s="1"/>
  <c r="R188" i="98" a="1"/>
  <c r="R188" i="98" s="1"/>
  <c r="Q188" i="98" a="1"/>
  <c r="Q188" i="98" s="1"/>
  <c r="P188" i="98" a="1"/>
  <c r="P188" i="98" s="1"/>
  <c r="O188" i="98" a="1"/>
  <c r="O188" i="98" s="1"/>
  <c r="N188" i="98" a="1"/>
  <c r="N188" i="98" s="1"/>
  <c r="M188" i="98" a="1"/>
  <c r="M188" i="98" s="1"/>
  <c r="L188" i="98" a="1"/>
  <c r="L188" i="98" s="1"/>
  <c r="K188" i="98" a="1"/>
  <c r="K188" i="98" s="1"/>
  <c r="J188" i="98" a="1"/>
  <c r="J188" i="98" s="1"/>
  <c r="I188" i="98" a="1"/>
  <c r="I188" i="98" s="1"/>
  <c r="H188" i="98" a="1"/>
  <c r="H188" i="98" s="1"/>
  <c r="G188" i="98" a="1"/>
  <c r="G188" i="98" s="1"/>
  <c r="F188" i="98" a="1"/>
  <c r="F188" i="98" s="1"/>
  <c r="E188" i="98" a="1"/>
  <c r="E188" i="98" s="1"/>
  <c r="D188" i="98" a="1"/>
  <c r="D188" i="98" s="1"/>
  <c r="AH187" i="98" a="1"/>
  <c r="AH187" i="98" s="1"/>
  <c r="AG187" i="98" a="1"/>
  <c r="AG187" i="98" s="1"/>
  <c r="AF187" i="98" a="1"/>
  <c r="AF187" i="98" s="1"/>
  <c r="AE187" i="98" a="1"/>
  <c r="AE187" i="98" s="1"/>
  <c r="AD187" i="98" a="1"/>
  <c r="AD187" i="98" s="1"/>
  <c r="AC187" i="98" a="1"/>
  <c r="AC187" i="98" s="1"/>
  <c r="AB187" i="98" a="1"/>
  <c r="AB187" i="98" s="1"/>
  <c r="AA187" i="98" a="1"/>
  <c r="AA187" i="98" s="1"/>
  <c r="Z187" i="98" a="1"/>
  <c r="Z187" i="98" s="1"/>
  <c r="Y187" i="98" a="1"/>
  <c r="Y187" i="98" s="1"/>
  <c r="X187" i="98" a="1"/>
  <c r="X187" i="98" s="1"/>
  <c r="W187" i="98" a="1"/>
  <c r="W187" i="98" s="1"/>
  <c r="V187" i="98" a="1"/>
  <c r="V187" i="98" s="1"/>
  <c r="U187" i="98" a="1"/>
  <c r="U187" i="98" s="1"/>
  <c r="T187" i="98" a="1"/>
  <c r="T187" i="98" s="1"/>
  <c r="S187" i="98" a="1"/>
  <c r="S187" i="98" s="1"/>
  <c r="R187" i="98" a="1"/>
  <c r="R187" i="98" s="1"/>
  <c r="Q187" i="98" a="1"/>
  <c r="Q187" i="98" s="1"/>
  <c r="P187" i="98" a="1"/>
  <c r="P187" i="98" s="1"/>
  <c r="O187" i="98" a="1"/>
  <c r="O187" i="98" s="1"/>
  <c r="N187" i="98" a="1"/>
  <c r="N187" i="98" s="1"/>
  <c r="M187" i="98" a="1"/>
  <c r="M187" i="98" s="1"/>
  <c r="L187" i="98" a="1"/>
  <c r="L187" i="98" s="1"/>
  <c r="K187" i="98" a="1"/>
  <c r="K187" i="98" s="1"/>
  <c r="J187" i="98" a="1"/>
  <c r="J187" i="98" s="1"/>
  <c r="I187" i="98" a="1"/>
  <c r="I187" i="98" s="1"/>
  <c r="H187" i="98" a="1"/>
  <c r="H187" i="98" s="1"/>
  <c r="G187" i="98" a="1"/>
  <c r="G187" i="98" s="1"/>
  <c r="F187" i="98" a="1"/>
  <c r="F187" i="98" s="1"/>
  <c r="E187" i="98" a="1"/>
  <c r="E187" i="98" s="1"/>
  <c r="D187" i="98" a="1"/>
  <c r="D187" i="98" s="1"/>
  <c r="AH186" i="98" a="1"/>
  <c r="AH186" i="98" s="1"/>
  <c r="AG186" i="98" a="1"/>
  <c r="AG186" i="98" s="1"/>
  <c r="AF186" i="98" a="1"/>
  <c r="AF186" i="98" s="1"/>
  <c r="AE186" i="98" a="1"/>
  <c r="AE186" i="98" s="1"/>
  <c r="AD186" i="98" a="1"/>
  <c r="AD186" i="98" s="1"/>
  <c r="AC186" i="98" a="1"/>
  <c r="AC186" i="98" s="1"/>
  <c r="AB186" i="98" a="1"/>
  <c r="AB186" i="98" s="1"/>
  <c r="AA186" i="98" a="1"/>
  <c r="AA186" i="98" s="1"/>
  <c r="Z186" i="98" a="1"/>
  <c r="Z186" i="98" s="1"/>
  <c r="Y186" i="98" a="1"/>
  <c r="Y186" i="98" s="1"/>
  <c r="X186" i="98" a="1"/>
  <c r="X186" i="98" s="1"/>
  <c r="W186" i="98" a="1"/>
  <c r="W186" i="98" s="1"/>
  <c r="V186" i="98" a="1"/>
  <c r="V186" i="98" s="1"/>
  <c r="U186" i="98" a="1"/>
  <c r="U186" i="98" s="1"/>
  <c r="T186" i="98" a="1"/>
  <c r="T186" i="98" s="1"/>
  <c r="S186" i="98" a="1"/>
  <c r="S186" i="98" s="1"/>
  <c r="R186" i="98" a="1"/>
  <c r="R186" i="98" s="1"/>
  <c r="Q186" i="98" a="1"/>
  <c r="Q186" i="98" s="1"/>
  <c r="P186" i="98" a="1"/>
  <c r="P186" i="98" s="1"/>
  <c r="O186" i="98" a="1"/>
  <c r="O186" i="98" s="1"/>
  <c r="N186" i="98" a="1"/>
  <c r="N186" i="98" s="1"/>
  <c r="M186" i="98" a="1"/>
  <c r="M186" i="98" s="1"/>
  <c r="L186" i="98" a="1"/>
  <c r="L186" i="98" s="1"/>
  <c r="K186" i="98" a="1"/>
  <c r="K186" i="98" s="1"/>
  <c r="J186" i="98" a="1"/>
  <c r="J186" i="98" s="1"/>
  <c r="I186" i="98" a="1"/>
  <c r="I186" i="98" s="1"/>
  <c r="H186" i="98" a="1"/>
  <c r="H186" i="98" s="1"/>
  <c r="G186" i="98" a="1"/>
  <c r="G186" i="98" s="1"/>
  <c r="F186" i="98" a="1"/>
  <c r="F186" i="98" s="1"/>
  <c r="E186" i="98" a="1"/>
  <c r="E186" i="98" s="1"/>
  <c r="D186" i="98" a="1"/>
  <c r="D186" i="98" s="1"/>
  <c r="AH185" i="98" a="1"/>
  <c r="AH185" i="98" s="1"/>
  <c r="AG185" i="98" a="1"/>
  <c r="AG185" i="98" s="1"/>
  <c r="AF185" i="98" a="1"/>
  <c r="AF185" i="98" s="1"/>
  <c r="AE185" i="98" a="1"/>
  <c r="AE185" i="98" s="1"/>
  <c r="AD185" i="98" a="1"/>
  <c r="AD185" i="98" s="1"/>
  <c r="AC185" i="98" a="1"/>
  <c r="AC185" i="98" s="1"/>
  <c r="AB185" i="98" a="1"/>
  <c r="AB185" i="98" s="1"/>
  <c r="AA185" i="98" a="1"/>
  <c r="AA185" i="98" s="1"/>
  <c r="Z185" i="98" a="1"/>
  <c r="Z185" i="98" s="1"/>
  <c r="Y185" i="98" a="1"/>
  <c r="Y185" i="98" s="1"/>
  <c r="X185" i="98" a="1"/>
  <c r="X185" i="98" s="1"/>
  <c r="W185" i="98" a="1"/>
  <c r="W185" i="98" s="1"/>
  <c r="V185" i="98" a="1"/>
  <c r="V185" i="98" s="1"/>
  <c r="U185" i="98" a="1"/>
  <c r="U185" i="98" s="1"/>
  <c r="T185" i="98" a="1"/>
  <c r="T185" i="98" s="1"/>
  <c r="S185" i="98" a="1"/>
  <c r="S185" i="98" s="1"/>
  <c r="R185" i="98" a="1"/>
  <c r="R185" i="98" s="1"/>
  <c r="Q185" i="98" a="1"/>
  <c r="Q185" i="98" s="1"/>
  <c r="P185" i="98" a="1"/>
  <c r="P185" i="98" s="1"/>
  <c r="O185" i="98" a="1"/>
  <c r="O185" i="98" s="1"/>
  <c r="N185" i="98" a="1"/>
  <c r="N185" i="98" s="1"/>
  <c r="M185" i="98" a="1"/>
  <c r="M185" i="98" s="1"/>
  <c r="L185" i="98" a="1"/>
  <c r="L185" i="98" s="1"/>
  <c r="K185" i="98" a="1"/>
  <c r="K185" i="98" s="1"/>
  <c r="J185" i="98" a="1"/>
  <c r="J185" i="98" s="1"/>
  <c r="I185" i="98" a="1"/>
  <c r="I185" i="98" s="1"/>
  <c r="H185" i="98" a="1"/>
  <c r="H185" i="98" s="1"/>
  <c r="G185" i="98" a="1"/>
  <c r="G185" i="98" s="1"/>
  <c r="F185" i="98" a="1"/>
  <c r="F185" i="98" s="1"/>
  <c r="E185" i="98" a="1"/>
  <c r="E185" i="98" s="1"/>
  <c r="D185" i="98" a="1"/>
  <c r="D185" i="98" s="1"/>
  <c r="AH184" i="98" a="1"/>
  <c r="AH184" i="98" s="1"/>
  <c r="AG184" i="98" a="1"/>
  <c r="AG184" i="98" s="1"/>
  <c r="AF184" i="98" a="1"/>
  <c r="AF184" i="98" s="1"/>
  <c r="AE184" i="98" a="1"/>
  <c r="AE184" i="98" s="1"/>
  <c r="AD184" i="98" a="1"/>
  <c r="AD184" i="98" s="1"/>
  <c r="AC184" i="98" a="1"/>
  <c r="AC184" i="98" s="1"/>
  <c r="AB184" i="98" a="1"/>
  <c r="AB184" i="98" s="1"/>
  <c r="AA184" i="98" a="1"/>
  <c r="AA184" i="98" s="1"/>
  <c r="Z184" i="98" a="1"/>
  <c r="Z184" i="98" s="1"/>
  <c r="Y184" i="98" a="1"/>
  <c r="Y184" i="98" s="1"/>
  <c r="X184" i="98" a="1"/>
  <c r="X184" i="98" s="1"/>
  <c r="W184" i="98" a="1"/>
  <c r="W184" i="98" s="1"/>
  <c r="V184" i="98" a="1"/>
  <c r="V184" i="98" s="1"/>
  <c r="U184" i="98" a="1"/>
  <c r="U184" i="98" s="1"/>
  <c r="T184" i="98" a="1"/>
  <c r="T184" i="98" s="1"/>
  <c r="S184" i="98" a="1"/>
  <c r="S184" i="98" s="1"/>
  <c r="R184" i="98" a="1"/>
  <c r="R184" i="98" s="1"/>
  <c r="Q184" i="98" a="1"/>
  <c r="Q184" i="98" s="1"/>
  <c r="P184" i="98" a="1"/>
  <c r="P184" i="98" s="1"/>
  <c r="O184" i="98" a="1"/>
  <c r="O184" i="98" s="1"/>
  <c r="N184" i="98" a="1"/>
  <c r="N184" i="98" s="1"/>
  <c r="M184" i="98" a="1"/>
  <c r="M184" i="98" s="1"/>
  <c r="L184" i="98" a="1"/>
  <c r="L184" i="98" s="1"/>
  <c r="K184" i="98" a="1"/>
  <c r="K184" i="98" s="1"/>
  <c r="J184" i="98" a="1"/>
  <c r="J184" i="98" s="1"/>
  <c r="I184" i="98" a="1"/>
  <c r="I184" i="98" s="1"/>
  <c r="H184" i="98" a="1"/>
  <c r="H184" i="98" s="1"/>
  <c r="G184" i="98" a="1"/>
  <c r="G184" i="98" s="1"/>
  <c r="F184" i="98" a="1"/>
  <c r="F184" i="98" s="1"/>
  <c r="E184" i="98" a="1"/>
  <c r="E184" i="98" s="1"/>
  <c r="D184" i="98" a="1"/>
  <c r="D184" i="98" s="1"/>
  <c r="AH183" i="98" a="1"/>
  <c r="AH183" i="98" s="1"/>
  <c r="AG183" i="98" a="1"/>
  <c r="AG183" i="98" s="1"/>
  <c r="AF183" i="98" a="1"/>
  <c r="AF183" i="98" s="1"/>
  <c r="AE183" i="98" a="1"/>
  <c r="AE183" i="98" s="1"/>
  <c r="AD183" i="98" a="1"/>
  <c r="AD183" i="98" s="1"/>
  <c r="AC183" i="98" a="1"/>
  <c r="AC183" i="98" s="1"/>
  <c r="AB183" i="98" a="1"/>
  <c r="AB183" i="98" s="1"/>
  <c r="AA183" i="98" a="1"/>
  <c r="AA183" i="98" s="1"/>
  <c r="Z183" i="98" a="1"/>
  <c r="Z183" i="98" s="1"/>
  <c r="Y183" i="98" a="1"/>
  <c r="Y183" i="98" s="1"/>
  <c r="X183" i="98" a="1"/>
  <c r="X183" i="98" s="1"/>
  <c r="W183" i="98" a="1"/>
  <c r="W183" i="98" s="1"/>
  <c r="V183" i="98" a="1"/>
  <c r="V183" i="98" s="1"/>
  <c r="U183" i="98" a="1"/>
  <c r="U183" i="98" s="1"/>
  <c r="T183" i="98" a="1"/>
  <c r="T183" i="98" s="1"/>
  <c r="S183" i="98" a="1"/>
  <c r="S183" i="98" s="1"/>
  <c r="R183" i="98" a="1"/>
  <c r="R183" i="98" s="1"/>
  <c r="Q183" i="98" a="1"/>
  <c r="Q183" i="98" s="1"/>
  <c r="P183" i="98" a="1"/>
  <c r="P183" i="98" s="1"/>
  <c r="O183" i="98" a="1"/>
  <c r="O183" i="98" s="1"/>
  <c r="N183" i="98" a="1"/>
  <c r="N183" i="98" s="1"/>
  <c r="M183" i="98" a="1"/>
  <c r="M183" i="98" s="1"/>
  <c r="L183" i="98" a="1"/>
  <c r="L183" i="98" s="1"/>
  <c r="K183" i="98" a="1"/>
  <c r="K183" i="98" s="1"/>
  <c r="J183" i="98" a="1"/>
  <c r="J183" i="98" s="1"/>
  <c r="I183" i="98" a="1"/>
  <c r="I183" i="98" s="1"/>
  <c r="H183" i="98" a="1"/>
  <c r="H183" i="98" s="1"/>
  <c r="G183" i="98" a="1"/>
  <c r="G183" i="98" s="1"/>
  <c r="F183" i="98" a="1"/>
  <c r="F183" i="98" s="1"/>
  <c r="E183" i="98" a="1"/>
  <c r="E183" i="98" s="1"/>
  <c r="D183" i="98" a="1"/>
  <c r="D183" i="98" s="1"/>
  <c r="AH182" i="98" a="1"/>
  <c r="AH182" i="98" s="1"/>
  <c r="AG182" i="98" a="1"/>
  <c r="AG182" i="98" s="1"/>
  <c r="AF182" i="98" a="1"/>
  <c r="AF182" i="98" s="1"/>
  <c r="AE182" i="98" a="1"/>
  <c r="AE182" i="98" s="1"/>
  <c r="AD182" i="98" a="1"/>
  <c r="AD182" i="98" s="1"/>
  <c r="AC182" i="98" a="1"/>
  <c r="AC182" i="98" s="1"/>
  <c r="AB182" i="98" a="1"/>
  <c r="AB182" i="98" s="1"/>
  <c r="AA182" i="98" a="1"/>
  <c r="AA182" i="98" s="1"/>
  <c r="Z182" i="98" a="1"/>
  <c r="Z182" i="98" s="1"/>
  <c r="Y182" i="98" a="1"/>
  <c r="Y182" i="98" s="1"/>
  <c r="X182" i="98" a="1"/>
  <c r="X182" i="98" s="1"/>
  <c r="W182" i="98" a="1"/>
  <c r="W182" i="98" s="1"/>
  <c r="V182" i="98" a="1"/>
  <c r="V182" i="98" s="1"/>
  <c r="U182" i="98" a="1"/>
  <c r="U182" i="98" s="1"/>
  <c r="T182" i="98" a="1"/>
  <c r="T182" i="98" s="1"/>
  <c r="S182" i="98" a="1"/>
  <c r="S182" i="98" s="1"/>
  <c r="R182" i="98" a="1"/>
  <c r="R182" i="98" s="1"/>
  <c r="Q182" i="98" a="1"/>
  <c r="Q182" i="98" s="1"/>
  <c r="P182" i="98" a="1"/>
  <c r="P182" i="98" s="1"/>
  <c r="O182" i="98" a="1"/>
  <c r="O182" i="98" s="1"/>
  <c r="N182" i="98" a="1"/>
  <c r="N182" i="98" s="1"/>
  <c r="M182" i="98" a="1"/>
  <c r="M182" i="98" s="1"/>
  <c r="L182" i="98" a="1"/>
  <c r="L182" i="98" s="1"/>
  <c r="K182" i="98" a="1"/>
  <c r="K182" i="98" s="1"/>
  <c r="J182" i="98" a="1"/>
  <c r="J182" i="98" s="1"/>
  <c r="I182" i="98" a="1"/>
  <c r="I182" i="98" s="1"/>
  <c r="H182" i="98" a="1"/>
  <c r="H182" i="98" s="1"/>
  <c r="G182" i="98" a="1"/>
  <c r="G182" i="98" s="1"/>
  <c r="F182" i="98" a="1"/>
  <c r="F182" i="98" s="1"/>
  <c r="E182" i="98" a="1"/>
  <c r="E182" i="98" s="1"/>
  <c r="D182" i="98" a="1"/>
  <c r="D182" i="98" s="1"/>
  <c r="AH181" i="98" a="1"/>
  <c r="AH181" i="98" s="1"/>
  <c r="AG181" i="98" a="1"/>
  <c r="AG181" i="98" s="1"/>
  <c r="AF181" i="98" a="1"/>
  <c r="AF181" i="98" s="1"/>
  <c r="AE181" i="98" a="1"/>
  <c r="AE181" i="98" s="1"/>
  <c r="AD181" i="98" a="1"/>
  <c r="AD181" i="98" s="1"/>
  <c r="AC181" i="98" a="1"/>
  <c r="AC181" i="98" s="1"/>
  <c r="AB181" i="98" a="1"/>
  <c r="AB181" i="98" s="1"/>
  <c r="AA181" i="98" a="1"/>
  <c r="AA181" i="98" s="1"/>
  <c r="Z181" i="98" a="1"/>
  <c r="Z181" i="98" s="1"/>
  <c r="Y181" i="98" a="1"/>
  <c r="Y181" i="98" s="1"/>
  <c r="X181" i="98" a="1"/>
  <c r="X181" i="98" s="1"/>
  <c r="W181" i="98" a="1"/>
  <c r="W181" i="98" s="1"/>
  <c r="V181" i="98" a="1"/>
  <c r="V181" i="98" s="1"/>
  <c r="U181" i="98" a="1"/>
  <c r="U181" i="98" s="1"/>
  <c r="T181" i="98" a="1"/>
  <c r="T181" i="98" s="1"/>
  <c r="S181" i="98" a="1"/>
  <c r="S181" i="98" s="1"/>
  <c r="R181" i="98" a="1"/>
  <c r="R181" i="98" s="1"/>
  <c r="Q181" i="98" a="1"/>
  <c r="Q181" i="98" s="1"/>
  <c r="P181" i="98" a="1"/>
  <c r="P181" i="98" s="1"/>
  <c r="O181" i="98" a="1"/>
  <c r="O181" i="98" s="1"/>
  <c r="N181" i="98" a="1"/>
  <c r="N181" i="98" s="1"/>
  <c r="M181" i="98" a="1"/>
  <c r="M181" i="98" s="1"/>
  <c r="L181" i="98" a="1"/>
  <c r="L181" i="98" s="1"/>
  <c r="K181" i="98" a="1"/>
  <c r="K181" i="98" s="1"/>
  <c r="J181" i="98" a="1"/>
  <c r="J181" i="98" s="1"/>
  <c r="I181" i="98" a="1"/>
  <c r="I181" i="98" s="1"/>
  <c r="H181" i="98" a="1"/>
  <c r="H181" i="98" s="1"/>
  <c r="G181" i="98" a="1"/>
  <c r="G181" i="98" s="1"/>
  <c r="F181" i="98" a="1"/>
  <c r="F181" i="98" s="1"/>
  <c r="E181" i="98" a="1"/>
  <c r="E181" i="98" s="1"/>
  <c r="D181" i="98" a="1"/>
  <c r="D181" i="98" s="1"/>
  <c r="AH180" i="98" a="1"/>
  <c r="AH180" i="98" s="1"/>
  <c r="AG180" i="98" a="1"/>
  <c r="AG180" i="98" s="1"/>
  <c r="AF180" i="98" a="1"/>
  <c r="AF180" i="98" s="1"/>
  <c r="AE180" i="98" a="1"/>
  <c r="AE180" i="98" s="1"/>
  <c r="AD180" i="98" a="1"/>
  <c r="AD180" i="98" s="1"/>
  <c r="AC180" i="98" a="1"/>
  <c r="AC180" i="98" s="1"/>
  <c r="AB180" i="98" a="1"/>
  <c r="AB180" i="98" s="1"/>
  <c r="AA180" i="98" a="1"/>
  <c r="AA180" i="98" s="1"/>
  <c r="Z180" i="98" a="1"/>
  <c r="Z180" i="98" s="1"/>
  <c r="Y180" i="98" a="1"/>
  <c r="Y180" i="98" s="1"/>
  <c r="X180" i="98" a="1"/>
  <c r="X180" i="98" s="1"/>
  <c r="W180" i="98" a="1"/>
  <c r="W180" i="98" s="1"/>
  <c r="V180" i="98" a="1"/>
  <c r="V180" i="98" s="1"/>
  <c r="U180" i="98" a="1"/>
  <c r="U180" i="98" s="1"/>
  <c r="T180" i="98" a="1"/>
  <c r="T180" i="98" s="1"/>
  <c r="S180" i="98" a="1"/>
  <c r="S180" i="98" s="1"/>
  <c r="R180" i="98" a="1"/>
  <c r="R180" i="98" s="1"/>
  <c r="Q180" i="98" a="1"/>
  <c r="Q180" i="98" s="1"/>
  <c r="P180" i="98" a="1"/>
  <c r="P180" i="98" s="1"/>
  <c r="O180" i="98" a="1"/>
  <c r="O180" i="98" s="1"/>
  <c r="N180" i="98" a="1"/>
  <c r="N180" i="98" s="1"/>
  <c r="M180" i="98" a="1"/>
  <c r="M180" i="98" s="1"/>
  <c r="L180" i="98" a="1"/>
  <c r="L180" i="98" s="1"/>
  <c r="K180" i="98" a="1"/>
  <c r="K180" i="98" s="1"/>
  <c r="J180" i="98" a="1"/>
  <c r="J180" i="98" s="1"/>
  <c r="I180" i="98" a="1"/>
  <c r="I180" i="98" s="1"/>
  <c r="H180" i="98" a="1"/>
  <c r="H180" i="98" s="1"/>
  <c r="G180" i="98" a="1"/>
  <c r="G180" i="98" s="1"/>
  <c r="F180" i="98" a="1"/>
  <c r="F180" i="98" s="1"/>
  <c r="E180" i="98" a="1"/>
  <c r="E180" i="98" s="1"/>
  <c r="D180" i="98" a="1"/>
  <c r="D180" i="98" s="1"/>
  <c r="AH179" i="98" a="1"/>
  <c r="AH179" i="98" s="1"/>
  <c r="AG179" i="98" a="1"/>
  <c r="AG179" i="98" s="1"/>
  <c r="AF179" i="98" a="1"/>
  <c r="AF179" i="98" s="1"/>
  <c r="AE179" i="98" a="1"/>
  <c r="AE179" i="98" s="1"/>
  <c r="AD179" i="98" a="1"/>
  <c r="AD179" i="98" s="1"/>
  <c r="AC179" i="98" a="1"/>
  <c r="AC179" i="98" s="1"/>
  <c r="AB179" i="98" a="1"/>
  <c r="AB179" i="98" s="1"/>
  <c r="AA179" i="98" a="1"/>
  <c r="AA179" i="98" s="1"/>
  <c r="Z179" i="98" a="1"/>
  <c r="Z179" i="98" s="1"/>
  <c r="Y179" i="98" a="1"/>
  <c r="Y179" i="98" s="1"/>
  <c r="X179" i="98" a="1"/>
  <c r="X179" i="98" s="1"/>
  <c r="W179" i="98" a="1"/>
  <c r="W179" i="98" s="1"/>
  <c r="V179" i="98" a="1"/>
  <c r="V179" i="98" s="1"/>
  <c r="U179" i="98" a="1"/>
  <c r="U179" i="98" s="1"/>
  <c r="T179" i="98" a="1"/>
  <c r="T179" i="98" s="1"/>
  <c r="S179" i="98" a="1"/>
  <c r="S179" i="98" s="1"/>
  <c r="R179" i="98" a="1"/>
  <c r="R179" i="98" s="1"/>
  <c r="Q179" i="98" a="1"/>
  <c r="Q179" i="98" s="1"/>
  <c r="P179" i="98" a="1"/>
  <c r="P179" i="98" s="1"/>
  <c r="O179" i="98" a="1"/>
  <c r="O179" i="98" s="1"/>
  <c r="N179" i="98" a="1"/>
  <c r="N179" i="98" s="1"/>
  <c r="M179" i="98" a="1"/>
  <c r="M179" i="98" s="1"/>
  <c r="L179" i="98" a="1"/>
  <c r="L179" i="98" s="1"/>
  <c r="K179" i="98" a="1"/>
  <c r="K179" i="98" s="1"/>
  <c r="J179" i="98" a="1"/>
  <c r="J179" i="98" s="1"/>
  <c r="I179" i="98" a="1"/>
  <c r="I179" i="98" s="1"/>
  <c r="H179" i="98" a="1"/>
  <c r="H179" i="98" s="1"/>
  <c r="G179" i="98" a="1"/>
  <c r="G179" i="98" s="1"/>
  <c r="F179" i="98" a="1"/>
  <c r="F179" i="98" s="1"/>
  <c r="E179" i="98" a="1"/>
  <c r="E179" i="98" s="1"/>
  <c r="D179" i="98" a="1"/>
  <c r="D179" i="98" s="1"/>
  <c r="AH178" i="98" a="1"/>
  <c r="AH178" i="98" s="1"/>
  <c r="AG178" i="98" a="1"/>
  <c r="AG178" i="98" s="1"/>
  <c r="AF178" i="98" a="1"/>
  <c r="AF178" i="98" s="1"/>
  <c r="AE178" i="98" a="1"/>
  <c r="AE178" i="98" s="1"/>
  <c r="AD178" i="98" a="1"/>
  <c r="AD178" i="98" s="1"/>
  <c r="AC178" i="98" a="1"/>
  <c r="AC178" i="98" s="1"/>
  <c r="AB178" i="98" a="1"/>
  <c r="AB178" i="98" s="1"/>
  <c r="AA178" i="98" a="1"/>
  <c r="AA178" i="98" s="1"/>
  <c r="Z178" i="98" a="1"/>
  <c r="Z178" i="98" s="1"/>
  <c r="Y178" i="98" a="1"/>
  <c r="Y178" i="98" s="1"/>
  <c r="X178" i="98" a="1"/>
  <c r="X178" i="98" s="1"/>
  <c r="W178" i="98" a="1"/>
  <c r="W178" i="98" s="1"/>
  <c r="V178" i="98" a="1"/>
  <c r="V178" i="98" s="1"/>
  <c r="U178" i="98" a="1"/>
  <c r="U178" i="98" s="1"/>
  <c r="T178" i="98" a="1"/>
  <c r="T178" i="98" s="1"/>
  <c r="S178" i="98" a="1"/>
  <c r="S178" i="98" s="1"/>
  <c r="R178" i="98" a="1"/>
  <c r="R178" i="98" s="1"/>
  <c r="Q178" i="98" a="1"/>
  <c r="Q178" i="98" s="1"/>
  <c r="P178" i="98" a="1"/>
  <c r="P178" i="98" s="1"/>
  <c r="O178" i="98" a="1"/>
  <c r="O178" i="98" s="1"/>
  <c r="N178" i="98" a="1"/>
  <c r="N178" i="98" s="1"/>
  <c r="M178" i="98" a="1"/>
  <c r="M178" i="98" s="1"/>
  <c r="L178" i="98" a="1"/>
  <c r="L178" i="98" s="1"/>
  <c r="K178" i="98" a="1"/>
  <c r="K178" i="98" s="1"/>
  <c r="J178" i="98" a="1"/>
  <c r="J178" i="98" s="1"/>
  <c r="I178" i="98" a="1"/>
  <c r="I178" i="98" s="1"/>
  <c r="H178" i="98" a="1"/>
  <c r="H178" i="98" s="1"/>
  <c r="G178" i="98" a="1"/>
  <c r="G178" i="98" s="1"/>
  <c r="F178" i="98" a="1"/>
  <c r="F178" i="98" s="1"/>
  <c r="E178" i="98" a="1"/>
  <c r="E178" i="98" s="1"/>
  <c r="D178" i="98" a="1"/>
  <c r="D178" i="98" s="1"/>
  <c r="AH177" i="98" a="1"/>
  <c r="AH177" i="98" s="1"/>
  <c r="AG177" i="98" a="1"/>
  <c r="AG177" i="98" s="1"/>
  <c r="AF177" i="98" a="1"/>
  <c r="AF177" i="98" s="1"/>
  <c r="AE177" i="98" a="1"/>
  <c r="AE177" i="98" s="1"/>
  <c r="AD177" i="98" a="1"/>
  <c r="AD177" i="98" s="1"/>
  <c r="AC177" i="98" a="1"/>
  <c r="AC177" i="98" s="1"/>
  <c r="AB177" i="98" a="1"/>
  <c r="AB177" i="98" s="1"/>
  <c r="AA177" i="98" a="1"/>
  <c r="AA177" i="98" s="1"/>
  <c r="Z177" i="98" a="1"/>
  <c r="Z177" i="98" s="1"/>
  <c r="Y177" i="98" a="1"/>
  <c r="Y177" i="98" s="1"/>
  <c r="X177" i="98" a="1"/>
  <c r="X177" i="98" s="1"/>
  <c r="W177" i="98" a="1"/>
  <c r="W177" i="98" s="1"/>
  <c r="V177" i="98" a="1"/>
  <c r="V177" i="98" s="1"/>
  <c r="U177" i="98" a="1"/>
  <c r="U177" i="98" s="1"/>
  <c r="T177" i="98" a="1"/>
  <c r="T177" i="98" s="1"/>
  <c r="S177" i="98" a="1"/>
  <c r="S177" i="98" s="1"/>
  <c r="R177" i="98" a="1"/>
  <c r="R177" i="98" s="1"/>
  <c r="Q177" i="98" a="1"/>
  <c r="Q177" i="98" s="1"/>
  <c r="P177" i="98" a="1"/>
  <c r="P177" i="98" s="1"/>
  <c r="O177" i="98" a="1"/>
  <c r="O177" i="98" s="1"/>
  <c r="N177" i="98" a="1"/>
  <c r="N177" i="98" s="1"/>
  <c r="M177" i="98" a="1"/>
  <c r="M177" i="98" s="1"/>
  <c r="L177" i="98" a="1"/>
  <c r="L177" i="98" s="1"/>
  <c r="K177" i="98" a="1"/>
  <c r="K177" i="98" s="1"/>
  <c r="J177" i="98" a="1"/>
  <c r="J177" i="98" s="1"/>
  <c r="I177" i="98" a="1"/>
  <c r="I177" i="98" s="1"/>
  <c r="H177" i="98" a="1"/>
  <c r="H177" i="98" s="1"/>
  <c r="G177" i="98" a="1"/>
  <c r="G177" i="98" s="1"/>
  <c r="F177" i="98" a="1"/>
  <c r="F177" i="98" s="1"/>
  <c r="E177" i="98" a="1"/>
  <c r="E177" i="98" s="1"/>
  <c r="D177" i="98" a="1"/>
  <c r="D177" i="98" s="1"/>
  <c r="AH176" i="98" a="1"/>
  <c r="AH176" i="98" s="1"/>
  <c r="AG176" i="98" a="1"/>
  <c r="AG176" i="98" s="1"/>
  <c r="AF176" i="98" a="1"/>
  <c r="AF176" i="98" s="1"/>
  <c r="AE176" i="98" a="1"/>
  <c r="AE176" i="98" s="1"/>
  <c r="AD176" i="98" a="1"/>
  <c r="AD176" i="98" s="1"/>
  <c r="AC176" i="98" a="1"/>
  <c r="AC176" i="98" s="1"/>
  <c r="AB176" i="98" a="1"/>
  <c r="AB176" i="98" s="1"/>
  <c r="AA176" i="98" a="1"/>
  <c r="AA176" i="98" s="1"/>
  <c r="Z176" i="98" a="1"/>
  <c r="Z176" i="98" s="1"/>
  <c r="Y176" i="98" a="1"/>
  <c r="Y176" i="98" s="1"/>
  <c r="X176" i="98" a="1"/>
  <c r="X176" i="98" s="1"/>
  <c r="W176" i="98" a="1"/>
  <c r="W176" i="98" s="1"/>
  <c r="V176" i="98" a="1"/>
  <c r="V176" i="98" s="1"/>
  <c r="U176" i="98" a="1"/>
  <c r="U176" i="98" s="1"/>
  <c r="T176" i="98" a="1"/>
  <c r="T176" i="98" s="1"/>
  <c r="S176" i="98" a="1"/>
  <c r="S176" i="98" s="1"/>
  <c r="R176" i="98" a="1"/>
  <c r="R176" i="98" s="1"/>
  <c r="Q176" i="98" a="1"/>
  <c r="Q176" i="98" s="1"/>
  <c r="P176" i="98" a="1"/>
  <c r="P176" i="98" s="1"/>
  <c r="O176" i="98" a="1"/>
  <c r="O176" i="98" s="1"/>
  <c r="N176" i="98" a="1"/>
  <c r="N176" i="98" s="1"/>
  <c r="M176" i="98" a="1"/>
  <c r="M176" i="98" s="1"/>
  <c r="L176" i="98" a="1"/>
  <c r="L176" i="98" s="1"/>
  <c r="K176" i="98" a="1"/>
  <c r="K176" i="98" s="1"/>
  <c r="J176" i="98" a="1"/>
  <c r="J176" i="98" s="1"/>
  <c r="I176" i="98" a="1"/>
  <c r="I176" i="98" s="1"/>
  <c r="H176" i="98" a="1"/>
  <c r="H176" i="98" s="1"/>
  <c r="G176" i="98" a="1"/>
  <c r="G176" i="98" s="1"/>
  <c r="F176" i="98" a="1"/>
  <c r="F176" i="98" s="1"/>
  <c r="E176" i="98" a="1"/>
  <c r="E176" i="98" s="1"/>
  <c r="D176" i="98" a="1"/>
  <c r="D176" i="98" s="1"/>
  <c r="AH175" i="98" a="1"/>
  <c r="AH175" i="98" s="1"/>
  <c r="AG175" i="98" a="1"/>
  <c r="AG175" i="98" s="1"/>
  <c r="AF175" i="98" a="1"/>
  <c r="AF175" i="98" s="1"/>
  <c r="AE175" i="98" a="1"/>
  <c r="AE175" i="98" s="1"/>
  <c r="AD175" i="98" a="1"/>
  <c r="AD175" i="98" s="1"/>
  <c r="AC175" i="98" a="1"/>
  <c r="AC175" i="98" s="1"/>
  <c r="AB175" i="98" a="1"/>
  <c r="AB175" i="98" s="1"/>
  <c r="AA175" i="98" a="1"/>
  <c r="AA175" i="98" s="1"/>
  <c r="Z175" i="98" a="1"/>
  <c r="Z175" i="98" s="1"/>
  <c r="Y175" i="98" a="1"/>
  <c r="Y175" i="98" s="1"/>
  <c r="X175" i="98" a="1"/>
  <c r="X175" i="98" s="1"/>
  <c r="W175" i="98" a="1"/>
  <c r="W175" i="98" s="1"/>
  <c r="V175" i="98" a="1"/>
  <c r="V175" i="98" s="1"/>
  <c r="U175" i="98" a="1"/>
  <c r="U175" i="98" s="1"/>
  <c r="T175" i="98" a="1"/>
  <c r="T175" i="98" s="1"/>
  <c r="S175" i="98" a="1"/>
  <c r="S175" i="98" s="1"/>
  <c r="R175" i="98" a="1"/>
  <c r="R175" i="98" s="1"/>
  <c r="Q175" i="98" a="1"/>
  <c r="Q175" i="98" s="1"/>
  <c r="P175" i="98" a="1"/>
  <c r="P175" i="98" s="1"/>
  <c r="O175" i="98" a="1"/>
  <c r="O175" i="98" s="1"/>
  <c r="N175" i="98" a="1"/>
  <c r="N175" i="98" s="1"/>
  <c r="M175" i="98" a="1"/>
  <c r="M175" i="98" s="1"/>
  <c r="L175" i="98" a="1"/>
  <c r="L175" i="98" s="1"/>
  <c r="K175" i="98" a="1"/>
  <c r="K175" i="98" s="1"/>
  <c r="J175" i="98" a="1"/>
  <c r="J175" i="98" s="1"/>
  <c r="I175" i="98" a="1"/>
  <c r="I175" i="98" s="1"/>
  <c r="H175" i="98" a="1"/>
  <c r="H175" i="98" s="1"/>
  <c r="G175" i="98" a="1"/>
  <c r="G175" i="98" s="1"/>
  <c r="F175" i="98" a="1"/>
  <c r="F175" i="98" s="1"/>
  <c r="E175" i="98" a="1"/>
  <c r="E175" i="98" s="1"/>
  <c r="D175" i="98" a="1"/>
  <c r="D175" i="98" s="1"/>
  <c r="AH174" i="98" a="1"/>
  <c r="AH174" i="98" s="1"/>
  <c r="AG174" i="98" a="1"/>
  <c r="AG174" i="98" s="1"/>
  <c r="AF174" i="98" a="1"/>
  <c r="AF174" i="98" s="1"/>
  <c r="AE174" i="98" a="1"/>
  <c r="AE174" i="98" s="1"/>
  <c r="AD174" i="98" a="1"/>
  <c r="AD174" i="98" s="1"/>
  <c r="AC174" i="98" a="1"/>
  <c r="AC174" i="98" s="1"/>
  <c r="AB174" i="98" a="1"/>
  <c r="AB174" i="98" s="1"/>
  <c r="AA174" i="98" a="1"/>
  <c r="AA174" i="98" s="1"/>
  <c r="Z174" i="98" a="1"/>
  <c r="Z174" i="98" s="1"/>
  <c r="Y174" i="98" a="1"/>
  <c r="Y174" i="98" s="1"/>
  <c r="X174" i="98" a="1"/>
  <c r="X174" i="98" s="1"/>
  <c r="W174" i="98" a="1"/>
  <c r="W174" i="98" s="1"/>
  <c r="V174" i="98" a="1"/>
  <c r="V174" i="98" s="1"/>
  <c r="U174" i="98" a="1"/>
  <c r="U174" i="98" s="1"/>
  <c r="T174" i="98" a="1"/>
  <c r="T174" i="98" s="1"/>
  <c r="S174" i="98" a="1"/>
  <c r="S174" i="98" s="1"/>
  <c r="R174" i="98" a="1"/>
  <c r="R174" i="98" s="1"/>
  <c r="Q174" i="98" a="1"/>
  <c r="Q174" i="98" s="1"/>
  <c r="P174" i="98" a="1"/>
  <c r="P174" i="98" s="1"/>
  <c r="O174" i="98" a="1"/>
  <c r="O174" i="98" s="1"/>
  <c r="N174" i="98" a="1"/>
  <c r="N174" i="98" s="1"/>
  <c r="M174" i="98" a="1"/>
  <c r="M174" i="98" s="1"/>
  <c r="L174" i="98" a="1"/>
  <c r="L174" i="98" s="1"/>
  <c r="K174" i="98" a="1"/>
  <c r="K174" i="98" s="1"/>
  <c r="J174" i="98" a="1"/>
  <c r="J174" i="98" s="1"/>
  <c r="I174" i="98" a="1"/>
  <c r="I174" i="98" s="1"/>
  <c r="H174" i="98" a="1"/>
  <c r="H174" i="98" s="1"/>
  <c r="G174" i="98" a="1"/>
  <c r="G174" i="98" s="1"/>
  <c r="F174" i="98" a="1"/>
  <c r="F174" i="98" s="1"/>
  <c r="E174" i="98" a="1"/>
  <c r="E174" i="98" s="1"/>
  <c r="D174" i="98" a="1"/>
  <c r="D174" i="98" s="1"/>
  <c r="AH173" i="98" a="1"/>
  <c r="AH173" i="98" s="1"/>
  <c r="AG173" i="98" a="1"/>
  <c r="AG173" i="98" s="1"/>
  <c r="AF173" i="98" a="1"/>
  <c r="AF173" i="98" s="1"/>
  <c r="AE173" i="98" a="1"/>
  <c r="AE173" i="98" s="1"/>
  <c r="AD173" i="98" a="1"/>
  <c r="AD173" i="98" s="1"/>
  <c r="AC173" i="98" a="1"/>
  <c r="AC173" i="98" s="1"/>
  <c r="AB173" i="98" a="1"/>
  <c r="AB173" i="98" s="1"/>
  <c r="AA173" i="98" a="1"/>
  <c r="AA173" i="98" s="1"/>
  <c r="Z173" i="98" a="1"/>
  <c r="Z173" i="98" s="1"/>
  <c r="Y173" i="98" a="1"/>
  <c r="Y173" i="98" s="1"/>
  <c r="X173" i="98" a="1"/>
  <c r="X173" i="98" s="1"/>
  <c r="W173" i="98" a="1"/>
  <c r="W173" i="98" s="1"/>
  <c r="V173" i="98" a="1"/>
  <c r="V173" i="98" s="1"/>
  <c r="U173" i="98" a="1"/>
  <c r="U173" i="98" s="1"/>
  <c r="T173" i="98" a="1"/>
  <c r="T173" i="98" s="1"/>
  <c r="S173" i="98" a="1"/>
  <c r="S173" i="98" s="1"/>
  <c r="R173" i="98" a="1"/>
  <c r="R173" i="98" s="1"/>
  <c r="Q173" i="98" a="1"/>
  <c r="Q173" i="98" s="1"/>
  <c r="P173" i="98" a="1"/>
  <c r="P173" i="98" s="1"/>
  <c r="O173" i="98" a="1"/>
  <c r="O173" i="98" s="1"/>
  <c r="N173" i="98" a="1"/>
  <c r="N173" i="98" s="1"/>
  <c r="M173" i="98" a="1"/>
  <c r="M173" i="98" s="1"/>
  <c r="L173" i="98" a="1"/>
  <c r="L173" i="98" s="1"/>
  <c r="K173" i="98" a="1"/>
  <c r="K173" i="98" s="1"/>
  <c r="J173" i="98" a="1"/>
  <c r="J173" i="98" s="1"/>
  <c r="I173" i="98" a="1"/>
  <c r="I173" i="98" s="1"/>
  <c r="H173" i="98" a="1"/>
  <c r="H173" i="98" s="1"/>
  <c r="G173" i="98" a="1"/>
  <c r="G173" i="98" s="1"/>
  <c r="F173" i="98" a="1"/>
  <c r="F173" i="98" s="1"/>
  <c r="E173" i="98" a="1"/>
  <c r="E173" i="98" s="1"/>
  <c r="D173" i="98" a="1"/>
  <c r="D173" i="98" s="1"/>
  <c r="AH172" i="98" a="1"/>
  <c r="AH172" i="98" s="1"/>
  <c r="AG172" i="98" a="1"/>
  <c r="AG172" i="98" s="1"/>
  <c r="AF172" i="98" a="1"/>
  <c r="AF172" i="98" s="1"/>
  <c r="AE172" i="98" a="1"/>
  <c r="AE172" i="98" s="1"/>
  <c r="AD172" i="98" a="1"/>
  <c r="AD172" i="98" s="1"/>
  <c r="AC172" i="98" a="1"/>
  <c r="AC172" i="98" s="1"/>
  <c r="AB172" i="98" a="1"/>
  <c r="AB172" i="98" s="1"/>
  <c r="AA172" i="98" a="1"/>
  <c r="AA172" i="98" s="1"/>
  <c r="Z172" i="98" a="1"/>
  <c r="Z172" i="98" s="1"/>
  <c r="Y172" i="98" a="1"/>
  <c r="Y172" i="98" s="1"/>
  <c r="X172" i="98" a="1"/>
  <c r="X172" i="98" s="1"/>
  <c r="W172" i="98" a="1"/>
  <c r="W172" i="98" s="1"/>
  <c r="V172" i="98" a="1"/>
  <c r="V172" i="98" s="1"/>
  <c r="U172" i="98" a="1"/>
  <c r="U172" i="98" s="1"/>
  <c r="T172" i="98" a="1"/>
  <c r="T172" i="98" s="1"/>
  <c r="S172" i="98" a="1"/>
  <c r="S172" i="98" s="1"/>
  <c r="R172" i="98" a="1"/>
  <c r="R172" i="98" s="1"/>
  <c r="Q172" i="98" a="1"/>
  <c r="Q172" i="98" s="1"/>
  <c r="P172" i="98" a="1"/>
  <c r="P172" i="98" s="1"/>
  <c r="O172" i="98" a="1"/>
  <c r="O172" i="98" s="1"/>
  <c r="N172" i="98" a="1"/>
  <c r="N172" i="98" s="1"/>
  <c r="M172" i="98" a="1"/>
  <c r="M172" i="98" s="1"/>
  <c r="L172" i="98" a="1"/>
  <c r="L172" i="98" s="1"/>
  <c r="K172" i="98" a="1"/>
  <c r="K172" i="98" s="1"/>
  <c r="J172" i="98" a="1"/>
  <c r="J172" i="98" s="1"/>
  <c r="I172" i="98" a="1"/>
  <c r="I172" i="98" s="1"/>
  <c r="H172" i="98" a="1"/>
  <c r="H172" i="98" s="1"/>
  <c r="G172" i="98" a="1"/>
  <c r="G172" i="98" s="1"/>
  <c r="F172" i="98" a="1"/>
  <c r="F172" i="98" s="1"/>
  <c r="E172" i="98" a="1"/>
  <c r="E172" i="98" s="1"/>
  <c r="D172" i="98" a="1"/>
  <c r="D172" i="98" s="1"/>
  <c r="AH171" i="98" a="1"/>
  <c r="AH171" i="98" s="1"/>
  <c r="AG171" i="98" a="1"/>
  <c r="AG171" i="98" s="1"/>
  <c r="AF171" i="98" a="1"/>
  <c r="AF171" i="98" s="1"/>
  <c r="AE171" i="98" a="1"/>
  <c r="AE171" i="98" s="1"/>
  <c r="AD171" i="98" a="1"/>
  <c r="AD171" i="98" s="1"/>
  <c r="AC171" i="98" a="1"/>
  <c r="AC171" i="98" s="1"/>
  <c r="AB171" i="98" a="1"/>
  <c r="AB171" i="98" s="1"/>
  <c r="AA171" i="98" a="1"/>
  <c r="AA171" i="98" s="1"/>
  <c r="Z171" i="98" a="1"/>
  <c r="Z171" i="98" s="1"/>
  <c r="Y171" i="98" a="1"/>
  <c r="Y171" i="98" s="1"/>
  <c r="X171" i="98" a="1"/>
  <c r="X171" i="98" s="1"/>
  <c r="W171" i="98" a="1"/>
  <c r="W171" i="98" s="1"/>
  <c r="V171" i="98" a="1"/>
  <c r="V171" i="98" s="1"/>
  <c r="U171" i="98" a="1"/>
  <c r="U171" i="98" s="1"/>
  <c r="T171" i="98" a="1"/>
  <c r="T171" i="98" s="1"/>
  <c r="S171" i="98" a="1"/>
  <c r="S171" i="98" s="1"/>
  <c r="R171" i="98" a="1"/>
  <c r="R171" i="98" s="1"/>
  <c r="Q171" i="98" a="1"/>
  <c r="Q171" i="98" s="1"/>
  <c r="P171" i="98" a="1"/>
  <c r="P171" i="98" s="1"/>
  <c r="O171" i="98" a="1"/>
  <c r="O171" i="98" s="1"/>
  <c r="N171" i="98" a="1"/>
  <c r="N171" i="98" s="1"/>
  <c r="M171" i="98" a="1"/>
  <c r="M171" i="98" s="1"/>
  <c r="L171" i="98" a="1"/>
  <c r="L171" i="98" s="1"/>
  <c r="K171" i="98" a="1"/>
  <c r="K171" i="98" s="1"/>
  <c r="J171" i="98" a="1"/>
  <c r="J171" i="98" s="1"/>
  <c r="I171" i="98" a="1"/>
  <c r="I171" i="98" s="1"/>
  <c r="H171" i="98" a="1"/>
  <c r="H171" i="98" s="1"/>
  <c r="G171" i="98" a="1"/>
  <c r="G171" i="98" s="1"/>
  <c r="F171" i="98" a="1"/>
  <c r="F171" i="98" s="1"/>
  <c r="E171" i="98" a="1"/>
  <c r="E171" i="98" s="1"/>
  <c r="D171" i="98" a="1"/>
  <c r="D171" i="98" s="1"/>
  <c r="AH170" i="98" a="1"/>
  <c r="AH170" i="98" s="1"/>
  <c r="AG170" i="98" a="1"/>
  <c r="AG170" i="98" s="1"/>
  <c r="AF170" i="98" a="1"/>
  <c r="AF170" i="98" s="1"/>
  <c r="AE170" i="98" a="1"/>
  <c r="AE170" i="98" s="1"/>
  <c r="AD170" i="98" a="1"/>
  <c r="AD170" i="98" s="1"/>
  <c r="AC170" i="98" a="1"/>
  <c r="AC170" i="98" s="1"/>
  <c r="AB170" i="98" a="1"/>
  <c r="AB170" i="98" s="1"/>
  <c r="AA170" i="98" a="1"/>
  <c r="AA170" i="98" s="1"/>
  <c r="Z170" i="98" a="1"/>
  <c r="Z170" i="98" s="1"/>
  <c r="Y170" i="98" a="1"/>
  <c r="Y170" i="98" s="1"/>
  <c r="X170" i="98" a="1"/>
  <c r="X170" i="98" s="1"/>
  <c r="W170" i="98" a="1"/>
  <c r="W170" i="98" s="1"/>
  <c r="V170" i="98" a="1"/>
  <c r="V170" i="98" s="1"/>
  <c r="U170" i="98" a="1"/>
  <c r="U170" i="98" s="1"/>
  <c r="T170" i="98" a="1"/>
  <c r="T170" i="98" s="1"/>
  <c r="S170" i="98" a="1"/>
  <c r="S170" i="98" s="1"/>
  <c r="R170" i="98" a="1"/>
  <c r="R170" i="98" s="1"/>
  <c r="Q170" i="98" a="1"/>
  <c r="Q170" i="98" s="1"/>
  <c r="P170" i="98" a="1"/>
  <c r="P170" i="98" s="1"/>
  <c r="O170" i="98" a="1"/>
  <c r="O170" i="98" s="1"/>
  <c r="N170" i="98" a="1"/>
  <c r="N170" i="98" s="1"/>
  <c r="M170" i="98" a="1"/>
  <c r="M170" i="98" s="1"/>
  <c r="L170" i="98" a="1"/>
  <c r="L170" i="98" s="1"/>
  <c r="K170" i="98" a="1"/>
  <c r="K170" i="98" s="1"/>
  <c r="J170" i="98" a="1"/>
  <c r="J170" i="98" s="1"/>
  <c r="I170" i="98" a="1"/>
  <c r="I170" i="98" s="1"/>
  <c r="H170" i="98" a="1"/>
  <c r="H170" i="98" s="1"/>
  <c r="G170" i="98" a="1"/>
  <c r="G170" i="98" s="1"/>
  <c r="F170" i="98" a="1"/>
  <c r="F170" i="98" s="1"/>
  <c r="E170" i="98" a="1"/>
  <c r="E170" i="98" s="1"/>
  <c r="D170" i="98" a="1"/>
  <c r="D170" i="98" s="1"/>
  <c r="AH169" i="98" a="1"/>
  <c r="AH169" i="98" s="1"/>
  <c r="AG169" i="98" a="1"/>
  <c r="AG169" i="98" s="1"/>
  <c r="AF169" i="98" a="1"/>
  <c r="AF169" i="98" s="1"/>
  <c r="AE169" i="98" a="1"/>
  <c r="AE169" i="98" s="1"/>
  <c r="AD169" i="98" a="1"/>
  <c r="AD169" i="98" s="1"/>
  <c r="AC169" i="98" a="1"/>
  <c r="AC169" i="98" s="1"/>
  <c r="AB169" i="98" a="1"/>
  <c r="AB169" i="98" s="1"/>
  <c r="AA169" i="98" a="1"/>
  <c r="AA169" i="98" s="1"/>
  <c r="Z169" i="98" a="1"/>
  <c r="Z169" i="98" s="1"/>
  <c r="Y169" i="98" a="1"/>
  <c r="Y169" i="98" s="1"/>
  <c r="X169" i="98" a="1"/>
  <c r="X169" i="98" s="1"/>
  <c r="W169" i="98" a="1"/>
  <c r="W169" i="98" s="1"/>
  <c r="V169" i="98" a="1"/>
  <c r="V169" i="98" s="1"/>
  <c r="U169" i="98" a="1"/>
  <c r="U169" i="98" s="1"/>
  <c r="T169" i="98" a="1"/>
  <c r="T169" i="98" s="1"/>
  <c r="S169" i="98" a="1"/>
  <c r="S169" i="98" s="1"/>
  <c r="R169" i="98" a="1"/>
  <c r="R169" i="98" s="1"/>
  <c r="Q169" i="98" a="1"/>
  <c r="Q169" i="98" s="1"/>
  <c r="P169" i="98" a="1"/>
  <c r="P169" i="98" s="1"/>
  <c r="O169" i="98" a="1"/>
  <c r="O169" i="98" s="1"/>
  <c r="N169" i="98" a="1"/>
  <c r="N169" i="98" s="1"/>
  <c r="M169" i="98" a="1"/>
  <c r="M169" i="98" s="1"/>
  <c r="L169" i="98" a="1"/>
  <c r="L169" i="98" s="1"/>
  <c r="K169" i="98" a="1"/>
  <c r="K169" i="98" s="1"/>
  <c r="J169" i="98" a="1"/>
  <c r="J169" i="98" s="1"/>
  <c r="I169" i="98" a="1"/>
  <c r="I169" i="98" s="1"/>
  <c r="H169" i="98" a="1"/>
  <c r="H169" i="98" s="1"/>
  <c r="G169" i="98" a="1"/>
  <c r="G169" i="98" s="1"/>
  <c r="F169" i="98" a="1"/>
  <c r="F169" i="98" s="1"/>
  <c r="E169" i="98" a="1"/>
  <c r="E169" i="98" s="1"/>
  <c r="D169" i="98" a="1"/>
  <c r="D169" i="98" s="1"/>
  <c r="AH168" i="98" a="1"/>
  <c r="AH168" i="98" s="1"/>
  <c r="AG168" i="98" a="1"/>
  <c r="AG168" i="98" s="1"/>
  <c r="AF168" i="98" a="1"/>
  <c r="AF168" i="98" s="1"/>
  <c r="AE168" i="98" a="1"/>
  <c r="AE168" i="98" s="1"/>
  <c r="AD168" i="98" a="1"/>
  <c r="AD168" i="98" s="1"/>
  <c r="AC168" i="98" a="1"/>
  <c r="AC168" i="98" s="1"/>
  <c r="AB168" i="98" a="1"/>
  <c r="AB168" i="98" s="1"/>
  <c r="AA168" i="98" a="1"/>
  <c r="AA168" i="98" s="1"/>
  <c r="Z168" i="98" a="1"/>
  <c r="Z168" i="98" s="1"/>
  <c r="Y168" i="98" a="1"/>
  <c r="Y168" i="98" s="1"/>
  <c r="X168" i="98" a="1"/>
  <c r="X168" i="98" s="1"/>
  <c r="W168" i="98" a="1"/>
  <c r="W168" i="98" s="1"/>
  <c r="V168" i="98" a="1"/>
  <c r="V168" i="98" s="1"/>
  <c r="U168" i="98" a="1"/>
  <c r="U168" i="98" s="1"/>
  <c r="T168" i="98" a="1"/>
  <c r="T168" i="98" s="1"/>
  <c r="S168" i="98" a="1"/>
  <c r="S168" i="98" s="1"/>
  <c r="R168" i="98" a="1"/>
  <c r="R168" i="98" s="1"/>
  <c r="Q168" i="98" a="1"/>
  <c r="Q168" i="98" s="1"/>
  <c r="P168" i="98" a="1"/>
  <c r="P168" i="98" s="1"/>
  <c r="O168" i="98" a="1"/>
  <c r="O168" i="98" s="1"/>
  <c r="N168" i="98" a="1"/>
  <c r="N168" i="98" s="1"/>
  <c r="M168" i="98" a="1"/>
  <c r="M168" i="98" s="1"/>
  <c r="L168" i="98" a="1"/>
  <c r="L168" i="98" s="1"/>
  <c r="K168" i="98" a="1"/>
  <c r="K168" i="98" s="1"/>
  <c r="J168" i="98" a="1"/>
  <c r="J168" i="98" s="1"/>
  <c r="I168" i="98" a="1"/>
  <c r="I168" i="98" s="1"/>
  <c r="H168" i="98" a="1"/>
  <c r="H168" i="98" s="1"/>
  <c r="G168" i="98" a="1"/>
  <c r="G168" i="98" s="1"/>
  <c r="F168" i="98" a="1"/>
  <c r="F168" i="98" s="1"/>
  <c r="E168" i="98" a="1"/>
  <c r="E168" i="98" s="1"/>
  <c r="D168" i="98" a="1"/>
  <c r="D168" i="98" s="1"/>
  <c r="AH167" i="98" a="1"/>
  <c r="AH167" i="98" s="1"/>
  <c r="AG167" i="98" a="1"/>
  <c r="AG167" i="98" s="1"/>
  <c r="AF167" i="98" a="1"/>
  <c r="AF167" i="98" s="1"/>
  <c r="AE167" i="98" a="1"/>
  <c r="AE167" i="98" s="1"/>
  <c r="AD167" i="98" a="1"/>
  <c r="AD167" i="98" s="1"/>
  <c r="AC167" i="98" a="1"/>
  <c r="AC167" i="98" s="1"/>
  <c r="AB167" i="98" a="1"/>
  <c r="AB167" i="98" s="1"/>
  <c r="AA167" i="98" a="1"/>
  <c r="AA167" i="98" s="1"/>
  <c r="Z167" i="98" a="1"/>
  <c r="Z167" i="98" s="1"/>
  <c r="Y167" i="98" a="1"/>
  <c r="Y167" i="98" s="1"/>
  <c r="X167" i="98" a="1"/>
  <c r="X167" i="98" s="1"/>
  <c r="W167" i="98" a="1"/>
  <c r="W167" i="98" s="1"/>
  <c r="V167" i="98" a="1"/>
  <c r="V167" i="98" s="1"/>
  <c r="U167" i="98" a="1"/>
  <c r="U167" i="98" s="1"/>
  <c r="T167" i="98" a="1"/>
  <c r="T167" i="98" s="1"/>
  <c r="S167" i="98" a="1"/>
  <c r="S167" i="98" s="1"/>
  <c r="R167" i="98" a="1"/>
  <c r="R167" i="98" s="1"/>
  <c r="Q167" i="98" a="1"/>
  <c r="Q167" i="98" s="1"/>
  <c r="P167" i="98" a="1"/>
  <c r="P167" i="98" s="1"/>
  <c r="O167" i="98" a="1"/>
  <c r="O167" i="98" s="1"/>
  <c r="N167" i="98" a="1"/>
  <c r="N167" i="98" s="1"/>
  <c r="M167" i="98" a="1"/>
  <c r="M167" i="98" s="1"/>
  <c r="L167" i="98" a="1"/>
  <c r="L167" i="98" s="1"/>
  <c r="K167" i="98" a="1"/>
  <c r="K167" i="98" s="1"/>
  <c r="J167" i="98" a="1"/>
  <c r="J167" i="98" s="1"/>
  <c r="I167" i="98" a="1"/>
  <c r="I167" i="98" s="1"/>
  <c r="H167" i="98" a="1"/>
  <c r="H167" i="98" s="1"/>
  <c r="G167" i="98" a="1"/>
  <c r="G167" i="98" s="1"/>
  <c r="F167" i="98" a="1"/>
  <c r="F167" i="98" s="1"/>
  <c r="E167" i="98" a="1"/>
  <c r="E167" i="98" s="1"/>
  <c r="D167" i="98" a="1"/>
  <c r="D167" i="98" s="1"/>
  <c r="AH166" i="98" a="1"/>
  <c r="AH166" i="98" s="1"/>
  <c r="AG166" i="98" a="1"/>
  <c r="AG166" i="98" s="1"/>
  <c r="AF166" i="98" a="1"/>
  <c r="AF166" i="98" s="1"/>
  <c r="AE166" i="98" a="1"/>
  <c r="AE166" i="98" s="1"/>
  <c r="AD166" i="98" a="1"/>
  <c r="AD166" i="98" s="1"/>
  <c r="AC166" i="98" a="1"/>
  <c r="AC166" i="98" s="1"/>
  <c r="AB166" i="98" a="1"/>
  <c r="AB166" i="98" s="1"/>
  <c r="AA166" i="98" a="1"/>
  <c r="AA166" i="98" s="1"/>
  <c r="Z166" i="98" a="1"/>
  <c r="Z166" i="98" s="1"/>
  <c r="Y166" i="98" a="1"/>
  <c r="Y166" i="98" s="1"/>
  <c r="X166" i="98" a="1"/>
  <c r="X166" i="98" s="1"/>
  <c r="W166" i="98" a="1"/>
  <c r="W166" i="98" s="1"/>
  <c r="V166" i="98" a="1"/>
  <c r="V166" i="98" s="1"/>
  <c r="U166" i="98" a="1"/>
  <c r="U166" i="98" s="1"/>
  <c r="T166" i="98" a="1"/>
  <c r="T166" i="98" s="1"/>
  <c r="S166" i="98" a="1"/>
  <c r="S166" i="98" s="1"/>
  <c r="R166" i="98" a="1"/>
  <c r="R166" i="98" s="1"/>
  <c r="Q166" i="98" a="1"/>
  <c r="Q166" i="98" s="1"/>
  <c r="P166" i="98" a="1"/>
  <c r="P166" i="98" s="1"/>
  <c r="O166" i="98" a="1"/>
  <c r="O166" i="98" s="1"/>
  <c r="N166" i="98" a="1"/>
  <c r="N166" i="98" s="1"/>
  <c r="M166" i="98" a="1"/>
  <c r="M166" i="98" s="1"/>
  <c r="L166" i="98" a="1"/>
  <c r="L166" i="98" s="1"/>
  <c r="K166" i="98" a="1"/>
  <c r="K166" i="98" s="1"/>
  <c r="J166" i="98" a="1"/>
  <c r="J166" i="98" s="1"/>
  <c r="I166" i="98" a="1"/>
  <c r="I166" i="98" s="1"/>
  <c r="H166" i="98" a="1"/>
  <c r="H166" i="98" s="1"/>
  <c r="G166" i="98" a="1"/>
  <c r="G166" i="98" s="1"/>
  <c r="F166" i="98" a="1"/>
  <c r="F166" i="98" s="1"/>
  <c r="E166" i="98" a="1"/>
  <c r="E166" i="98" s="1"/>
  <c r="D166" i="98" a="1"/>
  <c r="D166" i="98" s="1"/>
  <c r="AH165" i="98" a="1"/>
  <c r="AH165" i="98" s="1"/>
  <c r="AG165" i="98" a="1"/>
  <c r="AG165" i="98" s="1"/>
  <c r="AF165" i="98" a="1"/>
  <c r="AF165" i="98" s="1"/>
  <c r="AE165" i="98" a="1"/>
  <c r="AE165" i="98" s="1"/>
  <c r="AD165" i="98" a="1"/>
  <c r="AD165" i="98" s="1"/>
  <c r="AC165" i="98" a="1"/>
  <c r="AC165" i="98" s="1"/>
  <c r="AB165" i="98" a="1"/>
  <c r="AB165" i="98" s="1"/>
  <c r="AA165" i="98" a="1"/>
  <c r="AA165" i="98" s="1"/>
  <c r="Z165" i="98" a="1"/>
  <c r="Z165" i="98" s="1"/>
  <c r="Y165" i="98" a="1"/>
  <c r="Y165" i="98" s="1"/>
  <c r="X165" i="98" a="1"/>
  <c r="X165" i="98" s="1"/>
  <c r="W165" i="98" a="1"/>
  <c r="W165" i="98" s="1"/>
  <c r="V165" i="98" a="1"/>
  <c r="V165" i="98" s="1"/>
  <c r="U165" i="98" a="1"/>
  <c r="U165" i="98" s="1"/>
  <c r="T165" i="98" a="1"/>
  <c r="T165" i="98" s="1"/>
  <c r="S165" i="98" a="1"/>
  <c r="S165" i="98" s="1"/>
  <c r="R165" i="98" a="1"/>
  <c r="R165" i="98" s="1"/>
  <c r="Q165" i="98" a="1"/>
  <c r="Q165" i="98" s="1"/>
  <c r="P165" i="98" a="1"/>
  <c r="P165" i="98" s="1"/>
  <c r="O165" i="98" a="1"/>
  <c r="O165" i="98" s="1"/>
  <c r="N165" i="98" a="1"/>
  <c r="N165" i="98" s="1"/>
  <c r="M165" i="98" a="1"/>
  <c r="M165" i="98" s="1"/>
  <c r="L165" i="98" a="1"/>
  <c r="L165" i="98" s="1"/>
  <c r="K165" i="98" a="1"/>
  <c r="K165" i="98" s="1"/>
  <c r="J165" i="98" a="1"/>
  <c r="J165" i="98" s="1"/>
  <c r="I165" i="98" a="1"/>
  <c r="I165" i="98" s="1"/>
  <c r="H165" i="98" a="1"/>
  <c r="H165" i="98" s="1"/>
  <c r="G165" i="98" a="1"/>
  <c r="G165" i="98" s="1"/>
  <c r="F165" i="98" a="1"/>
  <c r="F165" i="98" s="1"/>
  <c r="E165" i="98" a="1"/>
  <c r="E165" i="98" s="1"/>
  <c r="D165" i="98" a="1"/>
  <c r="D165" i="98" s="1"/>
  <c r="AH164" i="98" a="1"/>
  <c r="AH164" i="98" s="1"/>
  <c r="AG164" i="98" a="1"/>
  <c r="AG164" i="98" s="1"/>
  <c r="AF164" i="98" a="1"/>
  <c r="AF164" i="98" s="1"/>
  <c r="AE164" i="98" a="1"/>
  <c r="AE164" i="98" s="1"/>
  <c r="AD164" i="98" a="1"/>
  <c r="AD164" i="98" s="1"/>
  <c r="AC164" i="98" a="1"/>
  <c r="AC164" i="98" s="1"/>
  <c r="AB164" i="98" a="1"/>
  <c r="AB164" i="98" s="1"/>
  <c r="AA164" i="98" a="1"/>
  <c r="AA164" i="98" s="1"/>
  <c r="Z164" i="98" a="1"/>
  <c r="Z164" i="98" s="1"/>
  <c r="Y164" i="98" a="1"/>
  <c r="Y164" i="98" s="1"/>
  <c r="X164" i="98" a="1"/>
  <c r="X164" i="98" s="1"/>
  <c r="W164" i="98" a="1"/>
  <c r="W164" i="98" s="1"/>
  <c r="V164" i="98" a="1"/>
  <c r="V164" i="98" s="1"/>
  <c r="U164" i="98" a="1"/>
  <c r="U164" i="98" s="1"/>
  <c r="T164" i="98" a="1"/>
  <c r="T164" i="98" s="1"/>
  <c r="S164" i="98" a="1"/>
  <c r="S164" i="98" s="1"/>
  <c r="R164" i="98" a="1"/>
  <c r="R164" i="98" s="1"/>
  <c r="Q164" i="98" a="1"/>
  <c r="Q164" i="98" s="1"/>
  <c r="P164" i="98" a="1"/>
  <c r="P164" i="98" s="1"/>
  <c r="O164" i="98" a="1"/>
  <c r="O164" i="98" s="1"/>
  <c r="N164" i="98" a="1"/>
  <c r="N164" i="98" s="1"/>
  <c r="M164" i="98" a="1"/>
  <c r="M164" i="98" s="1"/>
  <c r="L164" i="98" a="1"/>
  <c r="L164" i="98" s="1"/>
  <c r="K164" i="98" a="1"/>
  <c r="K164" i="98" s="1"/>
  <c r="J164" i="98" a="1"/>
  <c r="J164" i="98" s="1"/>
  <c r="I164" i="98" a="1"/>
  <c r="I164" i="98" s="1"/>
  <c r="H164" i="98" a="1"/>
  <c r="H164" i="98" s="1"/>
  <c r="G164" i="98" a="1"/>
  <c r="G164" i="98" s="1"/>
  <c r="F164" i="98" a="1"/>
  <c r="F164" i="98" s="1"/>
  <c r="E164" i="98" a="1"/>
  <c r="E164" i="98" s="1"/>
  <c r="D164" i="98" a="1"/>
  <c r="D164" i="98" s="1"/>
  <c r="AH163" i="98" a="1"/>
  <c r="AH163" i="98" s="1"/>
  <c r="AG163" i="98" a="1"/>
  <c r="AG163" i="98" s="1"/>
  <c r="AF163" i="98" a="1"/>
  <c r="AF163" i="98" s="1"/>
  <c r="AE163" i="98" a="1"/>
  <c r="AE163" i="98" s="1"/>
  <c r="AD163" i="98" a="1"/>
  <c r="AD163" i="98" s="1"/>
  <c r="AC163" i="98" a="1"/>
  <c r="AC163" i="98" s="1"/>
  <c r="AB163" i="98" a="1"/>
  <c r="AB163" i="98" s="1"/>
  <c r="AA163" i="98" a="1"/>
  <c r="AA163" i="98" s="1"/>
  <c r="Z163" i="98" a="1"/>
  <c r="Z163" i="98" s="1"/>
  <c r="Y163" i="98" a="1"/>
  <c r="Y163" i="98" s="1"/>
  <c r="X163" i="98" a="1"/>
  <c r="X163" i="98" s="1"/>
  <c r="W163" i="98" a="1"/>
  <c r="W163" i="98" s="1"/>
  <c r="V163" i="98" a="1"/>
  <c r="V163" i="98" s="1"/>
  <c r="U163" i="98" a="1"/>
  <c r="U163" i="98" s="1"/>
  <c r="T163" i="98" a="1"/>
  <c r="T163" i="98" s="1"/>
  <c r="S163" i="98" a="1"/>
  <c r="S163" i="98" s="1"/>
  <c r="R163" i="98" a="1"/>
  <c r="R163" i="98" s="1"/>
  <c r="Q163" i="98" a="1"/>
  <c r="Q163" i="98" s="1"/>
  <c r="P163" i="98" a="1"/>
  <c r="P163" i="98" s="1"/>
  <c r="O163" i="98" a="1"/>
  <c r="O163" i="98" s="1"/>
  <c r="N163" i="98" a="1"/>
  <c r="N163" i="98" s="1"/>
  <c r="M163" i="98" a="1"/>
  <c r="M163" i="98" s="1"/>
  <c r="L163" i="98" a="1"/>
  <c r="L163" i="98" s="1"/>
  <c r="K163" i="98" a="1"/>
  <c r="K163" i="98" s="1"/>
  <c r="J163" i="98" a="1"/>
  <c r="J163" i="98" s="1"/>
  <c r="I163" i="98" a="1"/>
  <c r="I163" i="98" s="1"/>
  <c r="H163" i="98" a="1"/>
  <c r="H163" i="98" s="1"/>
  <c r="G163" i="98" a="1"/>
  <c r="G163" i="98" s="1"/>
  <c r="F163" i="98" a="1"/>
  <c r="F163" i="98" s="1"/>
  <c r="E163" i="98" a="1"/>
  <c r="E163" i="98" s="1"/>
  <c r="D163" i="98" a="1"/>
  <c r="D163" i="98" s="1"/>
  <c r="AH162" i="98" a="1"/>
  <c r="AH162" i="98" s="1"/>
  <c r="AG162" i="98" a="1"/>
  <c r="AG162" i="98" s="1"/>
  <c r="AF162" i="98" a="1"/>
  <c r="AF162" i="98" s="1"/>
  <c r="AE162" i="98" a="1"/>
  <c r="AE162" i="98" s="1"/>
  <c r="AD162" i="98" a="1"/>
  <c r="AD162" i="98" s="1"/>
  <c r="AC162" i="98" a="1"/>
  <c r="AC162" i="98" s="1"/>
  <c r="AB162" i="98" a="1"/>
  <c r="AB162" i="98" s="1"/>
  <c r="AA162" i="98" a="1"/>
  <c r="AA162" i="98" s="1"/>
  <c r="Z162" i="98" a="1"/>
  <c r="Z162" i="98" s="1"/>
  <c r="Y162" i="98" a="1"/>
  <c r="Y162" i="98" s="1"/>
  <c r="X162" i="98" a="1"/>
  <c r="X162" i="98" s="1"/>
  <c r="W162" i="98" a="1"/>
  <c r="W162" i="98" s="1"/>
  <c r="V162" i="98" a="1"/>
  <c r="V162" i="98" s="1"/>
  <c r="U162" i="98" a="1"/>
  <c r="U162" i="98" s="1"/>
  <c r="T162" i="98" a="1"/>
  <c r="T162" i="98" s="1"/>
  <c r="S162" i="98" a="1"/>
  <c r="S162" i="98" s="1"/>
  <c r="R162" i="98" a="1"/>
  <c r="R162" i="98" s="1"/>
  <c r="Q162" i="98" a="1"/>
  <c r="Q162" i="98" s="1"/>
  <c r="P162" i="98" a="1"/>
  <c r="P162" i="98" s="1"/>
  <c r="O162" i="98" a="1"/>
  <c r="O162" i="98" s="1"/>
  <c r="N162" i="98" a="1"/>
  <c r="N162" i="98" s="1"/>
  <c r="M162" i="98" a="1"/>
  <c r="M162" i="98" s="1"/>
  <c r="L162" i="98" a="1"/>
  <c r="L162" i="98" s="1"/>
  <c r="K162" i="98" a="1"/>
  <c r="K162" i="98" s="1"/>
  <c r="J162" i="98" a="1"/>
  <c r="J162" i="98" s="1"/>
  <c r="I162" i="98" a="1"/>
  <c r="I162" i="98" s="1"/>
  <c r="H162" i="98" a="1"/>
  <c r="H162" i="98" s="1"/>
  <c r="G162" i="98" a="1"/>
  <c r="G162" i="98" s="1"/>
  <c r="F162" i="98" a="1"/>
  <c r="F162" i="98" s="1"/>
  <c r="E162" i="98" a="1"/>
  <c r="E162" i="98" s="1"/>
  <c r="D162" i="98" a="1"/>
  <c r="D162" i="98" s="1"/>
  <c r="AH161" i="98" a="1"/>
  <c r="AH161" i="98" s="1"/>
  <c r="AG161" i="98" a="1"/>
  <c r="AG161" i="98" s="1"/>
  <c r="AF161" i="98" a="1"/>
  <c r="AF161" i="98" s="1"/>
  <c r="AE161" i="98" a="1"/>
  <c r="AE161" i="98" s="1"/>
  <c r="AD161" i="98" a="1"/>
  <c r="AD161" i="98" s="1"/>
  <c r="AC161" i="98" a="1"/>
  <c r="AC161" i="98" s="1"/>
  <c r="AB161" i="98" a="1"/>
  <c r="AB161" i="98" s="1"/>
  <c r="AA161" i="98" a="1"/>
  <c r="AA161" i="98" s="1"/>
  <c r="Z161" i="98" a="1"/>
  <c r="Z161" i="98" s="1"/>
  <c r="Y161" i="98" a="1"/>
  <c r="Y161" i="98" s="1"/>
  <c r="X161" i="98" a="1"/>
  <c r="X161" i="98" s="1"/>
  <c r="W161" i="98" a="1"/>
  <c r="W161" i="98" s="1"/>
  <c r="V161" i="98" a="1"/>
  <c r="V161" i="98" s="1"/>
  <c r="U161" i="98" a="1"/>
  <c r="U161" i="98" s="1"/>
  <c r="T161" i="98" a="1"/>
  <c r="T161" i="98" s="1"/>
  <c r="S161" i="98" a="1"/>
  <c r="S161" i="98" s="1"/>
  <c r="R161" i="98" a="1"/>
  <c r="R161" i="98" s="1"/>
  <c r="Q161" i="98" a="1"/>
  <c r="Q161" i="98" s="1"/>
  <c r="P161" i="98" a="1"/>
  <c r="P161" i="98" s="1"/>
  <c r="O161" i="98" a="1"/>
  <c r="O161" i="98" s="1"/>
  <c r="N161" i="98" a="1"/>
  <c r="N161" i="98" s="1"/>
  <c r="M161" i="98" a="1"/>
  <c r="M161" i="98" s="1"/>
  <c r="L161" i="98" a="1"/>
  <c r="L161" i="98" s="1"/>
  <c r="K161" i="98" a="1"/>
  <c r="K161" i="98" s="1"/>
  <c r="J161" i="98" a="1"/>
  <c r="J161" i="98" s="1"/>
  <c r="I161" i="98" a="1"/>
  <c r="I161" i="98" s="1"/>
  <c r="H161" i="98" a="1"/>
  <c r="H161" i="98" s="1"/>
  <c r="G161" i="98" a="1"/>
  <c r="G161" i="98" s="1"/>
  <c r="F161" i="98" a="1"/>
  <c r="F161" i="98" s="1"/>
  <c r="E161" i="98" a="1"/>
  <c r="E161" i="98" s="1"/>
  <c r="D161" i="98" a="1"/>
  <c r="D161" i="98" s="1"/>
  <c r="AH160" i="98" a="1"/>
  <c r="AH160" i="98" s="1"/>
  <c r="AG160" i="98" a="1"/>
  <c r="AG160" i="98" s="1"/>
  <c r="AF160" i="98" a="1"/>
  <c r="AF160" i="98" s="1"/>
  <c r="AE160" i="98" a="1"/>
  <c r="AE160" i="98" s="1"/>
  <c r="AD160" i="98" a="1"/>
  <c r="AD160" i="98" s="1"/>
  <c r="AC160" i="98" a="1"/>
  <c r="AC160" i="98" s="1"/>
  <c r="AB160" i="98" a="1"/>
  <c r="AB160" i="98" s="1"/>
  <c r="AA160" i="98" a="1"/>
  <c r="AA160" i="98" s="1"/>
  <c r="Z160" i="98" a="1"/>
  <c r="Z160" i="98" s="1"/>
  <c r="Y160" i="98" a="1"/>
  <c r="Y160" i="98" s="1"/>
  <c r="X160" i="98" a="1"/>
  <c r="X160" i="98" s="1"/>
  <c r="W160" i="98" a="1"/>
  <c r="W160" i="98" s="1"/>
  <c r="V160" i="98" a="1"/>
  <c r="V160" i="98" s="1"/>
  <c r="U160" i="98" a="1"/>
  <c r="U160" i="98" s="1"/>
  <c r="T160" i="98" a="1"/>
  <c r="T160" i="98" s="1"/>
  <c r="S160" i="98" a="1"/>
  <c r="S160" i="98" s="1"/>
  <c r="R160" i="98" a="1"/>
  <c r="R160" i="98" s="1"/>
  <c r="Q160" i="98" a="1"/>
  <c r="Q160" i="98" s="1"/>
  <c r="P160" i="98" a="1"/>
  <c r="P160" i="98" s="1"/>
  <c r="O160" i="98" a="1"/>
  <c r="O160" i="98" s="1"/>
  <c r="N160" i="98" a="1"/>
  <c r="N160" i="98" s="1"/>
  <c r="M160" i="98" a="1"/>
  <c r="M160" i="98" s="1"/>
  <c r="L160" i="98" a="1"/>
  <c r="L160" i="98" s="1"/>
  <c r="K160" i="98" a="1"/>
  <c r="K160" i="98" s="1"/>
  <c r="J160" i="98" a="1"/>
  <c r="J160" i="98" s="1"/>
  <c r="I160" i="98" a="1"/>
  <c r="I160" i="98" s="1"/>
  <c r="H160" i="98" a="1"/>
  <c r="H160" i="98" s="1"/>
  <c r="G160" i="98" a="1"/>
  <c r="G160" i="98" s="1"/>
  <c r="F160" i="98" a="1"/>
  <c r="F160" i="98" s="1"/>
  <c r="E160" i="98" a="1"/>
  <c r="E160" i="98" s="1"/>
  <c r="D160" i="98" a="1"/>
  <c r="D160" i="98" s="1"/>
  <c r="AH159" i="98" a="1"/>
  <c r="AH159" i="98" s="1"/>
  <c r="AG159" i="98" a="1"/>
  <c r="AG159" i="98" s="1"/>
  <c r="AF159" i="98" a="1"/>
  <c r="AF159" i="98" s="1"/>
  <c r="AE159" i="98" a="1"/>
  <c r="AE159" i="98" s="1"/>
  <c r="AD159" i="98" a="1"/>
  <c r="AD159" i="98" s="1"/>
  <c r="AC159" i="98" a="1"/>
  <c r="AC159" i="98" s="1"/>
  <c r="AB159" i="98" a="1"/>
  <c r="AB159" i="98" s="1"/>
  <c r="AA159" i="98" a="1"/>
  <c r="AA159" i="98" s="1"/>
  <c r="Z159" i="98" a="1"/>
  <c r="Z159" i="98" s="1"/>
  <c r="Y159" i="98" a="1"/>
  <c r="Y159" i="98" s="1"/>
  <c r="X159" i="98" a="1"/>
  <c r="X159" i="98" s="1"/>
  <c r="W159" i="98" a="1"/>
  <c r="W159" i="98" s="1"/>
  <c r="V159" i="98" a="1"/>
  <c r="V159" i="98" s="1"/>
  <c r="U159" i="98" a="1"/>
  <c r="U159" i="98" s="1"/>
  <c r="T159" i="98" a="1"/>
  <c r="T159" i="98" s="1"/>
  <c r="S159" i="98" a="1"/>
  <c r="S159" i="98" s="1"/>
  <c r="R159" i="98" a="1"/>
  <c r="R159" i="98" s="1"/>
  <c r="Q159" i="98" a="1"/>
  <c r="Q159" i="98" s="1"/>
  <c r="P159" i="98" a="1"/>
  <c r="P159" i="98" s="1"/>
  <c r="O159" i="98" a="1"/>
  <c r="O159" i="98" s="1"/>
  <c r="N159" i="98" a="1"/>
  <c r="N159" i="98" s="1"/>
  <c r="M159" i="98" a="1"/>
  <c r="M159" i="98" s="1"/>
  <c r="L159" i="98" a="1"/>
  <c r="L159" i="98" s="1"/>
  <c r="K159" i="98" a="1"/>
  <c r="K159" i="98" s="1"/>
  <c r="J159" i="98" a="1"/>
  <c r="J159" i="98" s="1"/>
  <c r="I159" i="98" a="1"/>
  <c r="I159" i="98" s="1"/>
  <c r="H159" i="98" a="1"/>
  <c r="H159" i="98" s="1"/>
  <c r="G159" i="98" a="1"/>
  <c r="G159" i="98" s="1"/>
  <c r="F159" i="98" a="1"/>
  <c r="F159" i="98" s="1"/>
  <c r="E159" i="98" a="1"/>
  <c r="E159" i="98" s="1"/>
  <c r="D159" i="98" a="1"/>
  <c r="D159" i="98" s="1"/>
  <c r="AH158" i="98" a="1"/>
  <c r="AH158" i="98" s="1"/>
  <c r="AG158" i="98" a="1"/>
  <c r="AG158" i="98" s="1"/>
  <c r="AF158" i="98" a="1"/>
  <c r="AF158" i="98" s="1"/>
  <c r="AE158" i="98" a="1"/>
  <c r="AE158" i="98" s="1"/>
  <c r="AD158" i="98" a="1"/>
  <c r="AD158" i="98" s="1"/>
  <c r="AC158" i="98" a="1"/>
  <c r="AC158" i="98" s="1"/>
  <c r="AB158" i="98" a="1"/>
  <c r="AB158" i="98" s="1"/>
  <c r="AA158" i="98" a="1"/>
  <c r="AA158" i="98" s="1"/>
  <c r="Z158" i="98" a="1"/>
  <c r="Z158" i="98" s="1"/>
  <c r="Y158" i="98" a="1"/>
  <c r="Y158" i="98" s="1"/>
  <c r="X158" i="98" a="1"/>
  <c r="X158" i="98" s="1"/>
  <c r="W158" i="98" a="1"/>
  <c r="W158" i="98" s="1"/>
  <c r="V158" i="98" a="1"/>
  <c r="V158" i="98" s="1"/>
  <c r="U158" i="98" a="1"/>
  <c r="U158" i="98" s="1"/>
  <c r="T158" i="98" a="1"/>
  <c r="T158" i="98" s="1"/>
  <c r="S158" i="98" a="1"/>
  <c r="S158" i="98" s="1"/>
  <c r="R158" i="98" a="1"/>
  <c r="R158" i="98" s="1"/>
  <c r="Q158" i="98" a="1"/>
  <c r="Q158" i="98" s="1"/>
  <c r="P158" i="98" a="1"/>
  <c r="P158" i="98" s="1"/>
  <c r="O158" i="98" a="1"/>
  <c r="O158" i="98" s="1"/>
  <c r="N158" i="98" a="1"/>
  <c r="N158" i="98" s="1"/>
  <c r="M158" i="98" a="1"/>
  <c r="M158" i="98" s="1"/>
  <c r="L158" i="98" a="1"/>
  <c r="L158" i="98" s="1"/>
  <c r="K158" i="98" a="1"/>
  <c r="K158" i="98" s="1"/>
  <c r="J158" i="98" a="1"/>
  <c r="J158" i="98" s="1"/>
  <c r="I158" i="98" a="1"/>
  <c r="I158" i="98" s="1"/>
  <c r="H158" i="98" a="1"/>
  <c r="H158" i="98" s="1"/>
  <c r="G158" i="98" a="1"/>
  <c r="G158" i="98" s="1"/>
  <c r="F158" i="98" a="1"/>
  <c r="F158" i="98" s="1"/>
  <c r="E158" i="98" a="1"/>
  <c r="E158" i="98" s="1"/>
  <c r="D158" i="98" a="1"/>
  <c r="D158" i="98" s="1"/>
  <c r="AH157" i="98" a="1"/>
  <c r="AH157" i="98" s="1"/>
  <c r="AG157" i="98" a="1"/>
  <c r="AG157" i="98" s="1"/>
  <c r="AF157" i="98" a="1"/>
  <c r="AF157" i="98" s="1"/>
  <c r="AE157" i="98" a="1"/>
  <c r="AE157" i="98" s="1"/>
  <c r="AD157" i="98" a="1"/>
  <c r="AD157" i="98" s="1"/>
  <c r="AC157" i="98" a="1"/>
  <c r="AC157" i="98" s="1"/>
  <c r="AB157" i="98" a="1"/>
  <c r="AB157" i="98" s="1"/>
  <c r="AA157" i="98" a="1"/>
  <c r="AA157" i="98" s="1"/>
  <c r="Z157" i="98" a="1"/>
  <c r="Z157" i="98" s="1"/>
  <c r="Y157" i="98" a="1"/>
  <c r="Y157" i="98" s="1"/>
  <c r="X157" i="98" a="1"/>
  <c r="X157" i="98" s="1"/>
  <c r="W157" i="98" a="1"/>
  <c r="W157" i="98" s="1"/>
  <c r="V157" i="98" a="1"/>
  <c r="V157" i="98" s="1"/>
  <c r="U157" i="98" a="1"/>
  <c r="U157" i="98" s="1"/>
  <c r="T157" i="98" a="1"/>
  <c r="T157" i="98" s="1"/>
  <c r="S157" i="98" a="1"/>
  <c r="S157" i="98" s="1"/>
  <c r="R157" i="98" a="1"/>
  <c r="R157" i="98" s="1"/>
  <c r="Q157" i="98" a="1"/>
  <c r="Q157" i="98" s="1"/>
  <c r="P157" i="98" a="1"/>
  <c r="P157" i="98" s="1"/>
  <c r="O157" i="98" a="1"/>
  <c r="O157" i="98" s="1"/>
  <c r="N157" i="98" a="1"/>
  <c r="N157" i="98" s="1"/>
  <c r="M157" i="98" a="1"/>
  <c r="M157" i="98" s="1"/>
  <c r="L157" i="98" a="1"/>
  <c r="L157" i="98" s="1"/>
  <c r="K157" i="98" a="1"/>
  <c r="K157" i="98" s="1"/>
  <c r="J157" i="98" a="1"/>
  <c r="J157" i="98" s="1"/>
  <c r="I157" i="98" a="1"/>
  <c r="I157" i="98" s="1"/>
  <c r="H157" i="98" a="1"/>
  <c r="H157" i="98" s="1"/>
  <c r="G157" i="98" a="1"/>
  <c r="G157" i="98" s="1"/>
  <c r="F157" i="98" a="1"/>
  <c r="F157" i="98" s="1"/>
  <c r="E157" i="98" a="1"/>
  <c r="E157" i="98" s="1"/>
  <c r="D157" i="98" a="1"/>
  <c r="D157" i="98" s="1"/>
  <c r="AH156" i="98" a="1"/>
  <c r="AH156" i="98" s="1"/>
  <c r="AG156" i="98" a="1"/>
  <c r="AG156" i="98" s="1"/>
  <c r="AF156" i="98" a="1"/>
  <c r="AF156" i="98" s="1"/>
  <c r="AE156" i="98" a="1"/>
  <c r="AE156" i="98" s="1"/>
  <c r="AD156" i="98" a="1"/>
  <c r="AD156" i="98" s="1"/>
  <c r="AC156" i="98" a="1"/>
  <c r="AC156" i="98" s="1"/>
  <c r="AB156" i="98" a="1"/>
  <c r="AB156" i="98" s="1"/>
  <c r="AA156" i="98" a="1"/>
  <c r="AA156" i="98" s="1"/>
  <c r="Z156" i="98" a="1"/>
  <c r="Z156" i="98" s="1"/>
  <c r="Y156" i="98" a="1"/>
  <c r="Y156" i="98" s="1"/>
  <c r="X156" i="98" a="1"/>
  <c r="X156" i="98" s="1"/>
  <c r="W156" i="98" a="1"/>
  <c r="W156" i="98" s="1"/>
  <c r="V156" i="98" a="1"/>
  <c r="V156" i="98" s="1"/>
  <c r="U156" i="98" a="1"/>
  <c r="U156" i="98" s="1"/>
  <c r="T156" i="98" a="1"/>
  <c r="T156" i="98" s="1"/>
  <c r="S156" i="98" a="1"/>
  <c r="S156" i="98" s="1"/>
  <c r="R156" i="98" a="1"/>
  <c r="R156" i="98" s="1"/>
  <c r="Q156" i="98" a="1"/>
  <c r="Q156" i="98" s="1"/>
  <c r="P156" i="98" a="1"/>
  <c r="P156" i="98" s="1"/>
  <c r="O156" i="98" a="1"/>
  <c r="O156" i="98" s="1"/>
  <c r="N156" i="98" a="1"/>
  <c r="N156" i="98" s="1"/>
  <c r="M156" i="98" a="1"/>
  <c r="M156" i="98" s="1"/>
  <c r="L156" i="98" a="1"/>
  <c r="L156" i="98" s="1"/>
  <c r="K156" i="98" a="1"/>
  <c r="K156" i="98" s="1"/>
  <c r="J156" i="98" a="1"/>
  <c r="J156" i="98" s="1"/>
  <c r="I156" i="98" a="1"/>
  <c r="I156" i="98" s="1"/>
  <c r="H156" i="98" a="1"/>
  <c r="H156" i="98" s="1"/>
  <c r="G156" i="98" a="1"/>
  <c r="G156" i="98" s="1"/>
  <c r="F156" i="98" a="1"/>
  <c r="F156" i="98" s="1"/>
  <c r="E156" i="98" a="1"/>
  <c r="E156" i="98" s="1"/>
  <c r="D156" i="98" a="1"/>
  <c r="D156" i="98" s="1"/>
  <c r="AH155" i="98" a="1"/>
  <c r="AH155" i="98" s="1"/>
  <c r="AG155" i="98" a="1"/>
  <c r="AG155" i="98" s="1"/>
  <c r="AF155" i="98" a="1"/>
  <c r="AF155" i="98" s="1"/>
  <c r="AE155" i="98" a="1"/>
  <c r="AE155" i="98" s="1"/>
  <c r="AD155" i="98" a="1"/>
  <c r="AD155" i="98" s="1"/>
  <c r="AC155" i="98" a="1"/>
  <c r="AC155" i="98" s="1"/>
  <c r="AB155" i="98" a="1"/>
  <c r="AB155" i="98" s="1"/>
  <c r="AA155" i="98" a="1"/>
  <c r="AA155" i="98" s="1"/>
  <c r="Z155" i="98" a="1"/>
  <c r="Z155" i="98" s="1"/>
  <c r="Y155" i="98" a="1"/>
  <c r="Y155" i="98" s="1"/>
  <c r="X155" i="98" a="1"/>
  <c r="X155" i="98" s="1"/>
  <c r="W155" i="98" a="1"/>
  <c r="W155" i="98" s="1"/>
  <c r="V155" i="98" a="1"/>
  <c r="V155" i="98" s="1"/>
  <c r="U155" i="98" a="1"/>
  <c r="U155" i="98" s="1"/>
  <c r="T155" i="98" a="1"/>
  <c r="T155" i="98" s="1"/>
  <c r="S155" i="98" a="1"/>
  <c r="S155" i="98" s="1"/>
  <c r="R155" i="98" a="1"/>
  <c r="R155" i="98" s="1"/>
  <c r="Q155" i="98" a="1"/>
  <c r="Q155" i="98" s="1"/>
  <c r="P155" i="98" a="1"/>
  <c r="P155" i="98" s="1"/>
  <c r="O155" i="98" a="1"/>
  <c r="O155" i="98" s="1"/>
  <c r="N155" i="98" a="1"/>
  <c r="N155" i="98" s="1"/>
  <c r="M155" i="98" a="1"/>
  <c r="M155" i="98" s="1"/>
  <c r="L155" i="98" a="1"/>
  <c r="L155" i="98" s="1"/>
  <c r="K155" i="98" a="1"/>
  <c r="K155" i="98" s="1"/>
  <c r="J155" i="98" a="1"/>
  <c r="J155" i="98" s="1"/>
  <c r="I155" i="98" a="1"/>
  <c r="I155" i="98" s="1"/>
  <c r="H155" i="98" a="1"/>
  <c r="H155" i="98" s="1"/>
  <c r="G155" i="98" a="1"/>
  <c r="G155" i="98" s="1"/>
  <c r="F155" i="98" a="1"/>
  <c r="F155" i="98" s="1"/>
  <c r="E155" i="98" a="1"/>
  <c r="E155" i="98" s="1"/>
  <c r="D155" i="98" a="1"/>
  <c r="D155" i="98" s="1"/>
  <c r="AH154" i="98" a="1"/>
  <c r="AH154" i="98" s="1"/>
  <c r="AG154" i="98" a="1"/>
  <c r="AG154" i="98" s="1"/>
  <c r="AF154" i="98" a="1"/>
  <c r="AF154" i="98" s="1"/>
  <c r="AE154" i="98" a="1"/>
  <c r="AE154" i="98" s="1"/>
  <c r="AD154" i="98" a="1"/>
  <c r="AD154" i="98" s="1"/>
  <c r="AC154" i="98" a="1"/>
  <c r="AC154" i="98" s="1"/>
  <c r="AB154" i="98" a="1"/>
  <c r="AB154" i="98" s="1"/>
  <c r="AA154" i="98" a="1"/>
  <c r="AA154" i="98" s="1"/>
  <c r="Z154" i="98" a="1"/>
  <c r="Z154" i="98" s="1"/>
  <c r="Y154" i="98" a="1"/>
  <c r="Y154" i="98" s="1"/>
  <c r="X154" i="98" a="1"/>
  <c r="X154" i="98" s="1"/>
  <c r="W154" i="98" a="1"/>
  <c r="W154" i="98" s="1"/>
  <c r="V154" i="98" a="1"/>
  <c r="V154" i="98" s="1"/>
  <c r="U154" i="98" a="1"/>
  <c r="U154" i="98" s="1"/>
  <c r="T154" i="98" a="1"/>
  <c r="T154" i="98" s="1"/>
  <c r="S154" i="98" a="1"/>
  <c r="S154" i="98" s="1"/>
  <c r="R154" i="98" a="1"/>
  <c r="R154" i="98" s="1"/>
  <c r="Q154" i="98" a="1"/>
  <c r="Q154" i="98" s="1"/>
  <c r="P154" i="98" a="1"/>
  <c r="P154" i="98" s="1"/>
  <c r="O154" i="98" a="1"/>
  <c r="O154" i="98" s="1"/>
  <c r="N154" i="98" a="1"/>
  <c r="N154" i="98" s="1"/>
  <c r="M154" i="98" a="1"/>
  <c r="M154" i="98" s="1"/>
  <c r="L154" i="98" a="1"/>
  <c r="L154" i="98" s="1"/>
  <c r="K154" i="98" a="1"/>
  <c r="K154" i="98" s="1"/>
  <c r="J154" i="98" a="1"/>
  <c r="J154" i="98" s="1"/>
  <c r="I154" i="98" a="1"/>
  <c r="I154" i="98" s="1"/>
  <c r="H154" i="98" a="1"/>
  <c r="H154" i="98" s="1"/>
  <c r="G154" i="98" a="1"/>
  <c r="G154" i="98" s="1"/>
  <c r="F154" i="98" a="1"/>
  <c r="F154" i="98" s="1"/>
  <c r="E154" i="98" a="1"/>
  <c r="E154" i="98" s="1"/>
  <c r="D154" i="98" a="1"/>
  <c r="D154" i="98" s="1"/>
  <c r="AH153" i="98" a="1"/>
  <c r="AH153" i="98" s="1"/>
  <c r="AG153" i="98" a="1"/>
  <c r="AG153" i="98" s="1"/>
  <c r="AF153" i="98" a="1"/>
  <c r="AF153" i="98" s="1"/>
  <c r="AE153" i="98" a="1"/>
  <c r="AE153" i="98" s="1"/>
  <c r="AD153" i="98" a="1"/>
  <c r="AD153" i="98" s="1"/>
  <c r="AC153" i="98" a="1"/>
  <c r="AC153" i="98" s="1"/>
  <c r="AB153" i="98" a="1"/>
  <c r="AB153" i="98" s="1"/>
  <c r="AA153" i="98" a="1"/>
  <c r="AA153" i="98" s="1"/>
  <c r="Z153" i="98" a="1"/>
  <c r="Z153" i="98" s="1"/>
  <c r="Y153" i="98" a="1"/>
  <c r="Y153" i="98" s="1"/>
  <c r="X153" i="98" a="1"/>
  <c r="X153" i="98" s="1"/>
  <c r="W153" i="98" a="1"/>
  <c r="W153" i="98" s="1"/>
  <c r="V153" i="98" a="1"/>
  <c r="V153" i="98" s="1"/>
  <c r="U153" i="98" a="1"/>
  <c r="U153" i="98" s="1"/>
  <c r="T153" i="98" a="1"/>
  <c r="T153" i="98" s="1"/>
  <c r="S153" i="98" a="1"/>
  <c r="S153" i="98" s="1"/>
  <c r="R153" i="98" a="1"/>
  <c r="R153" i="98" s="1"/>
  <c r="Q153" i="98" a="1"/>
  <c r="Q153" i="98" s="1"/>
  <c r="P153" i="98" a="1"/>
  <c r="P153" i="98" s="1"/>
  <c r="O153" i="98" a="1"/>
  <c r="O153" i="98" s="1"/>
  <c r="N153" i="98" a="1"/>
  <c r="N153" i="98" s="1"/>
  <c r="M153" i="98" a="1"/>
  <c r="M153" i="98" s="1"/>
  <c r="L153" i="98" a="1"/>
  <c r="L153" i="98" s="1"/>
  <c r="K153" i="98" a="1"/>
  <c r="K153" i="98" s="1"/>
  <c r="J153" i="98" a="1"/>
  <c r="J153" i="98" s="1"/>
  <c r="I153" i="98" a="1"/>
  <c r="I153" i="98" s="1"/>
  <c r="H153" i="98" a="1"/>
  <c r="H153" i="98" s="1"/>
  <c r="G153" i="98" a="1"/>
  <c r="G153" i="98" s="1"/>
  <c r="F153" i="98" a="1"/>
  <c r="F153" i="98" s="1"/>
  <c r="E153" i="98" a="1"/>
  <c r="E153" i="98" s="1"/>
  <c r="D153" i="98" a="1"/>
  <c r="D153" i="98" s="1"/>
  <c r="AH152" i="98" a="1"/>
  <c r="AH152" i="98" s="1"/>
  <c r="AG152" i="98" a="1"/>
  <c r="AG152" i="98" s="1"/>
  <c r="AF152" i="98" a="1"/>
  <c r="AF152" i="98" s="1"/>
  <c r="AE152" i="98" a="1"/>
  <c r="AE152" i="98" s="1"/>
  <c r="AD152" i="98" a="1"/>
  <c r="AD152" i="98" s="1"/>
  <c r="AC152" i="98" a="1"/>
  <c r="AC152" i="98" s="1"/>
  <c r="AB152" i="98" a="1"/>
  <c r="AB152" i="98" s="1"/>
  <c r="AA152" i="98" a="1"/>
  <c r="AA152" i="98" s="1"/>
  <c r="Z152" i="98" a="1"/>
  <c r="Z152" i="98" s="1"/>
  <c r="Y152" i="98" a="1"/>
  <c r="Y152" i="98" s="1"/>
  <c r="X152" i="98" a="1"/>
  <c r="X152" i="98" s="1"/>
  <c r="W152" i="98" a="1"/>
  <c r="W152" i="98" s="1"/>
  <c r="V152" i="98" a="1"/>
  <c r="V152" i="98" s="1"/>
  <c r="U152" i="98" a="1"/>
  <c r="U152" i="98" s="1"/>
  <c r="T152" i="98" a="1"/>
  <c r="T152" i="98" s="1"/>
  <c r="S152" i="98" a="1"/>
  <c r="S152" i="98" s="1"/>
  <c r="R152" i="98" a="1"/>
  <c r="R152" i="98" s="1"/>
  <c r="Q152" i="98" a="1"/>
  <c r="Q152" i="98" s="1"/>
  <c r="P152" i="98" a="1"/>
  <c r="P152" i="98" s="1"/>
  <c r="O152" i="98" a="1"/>
  <c r="O152" i="98" s="1"/>
  <c r="N152" i="98" a="1"/>
  <c r="N152" i="98" s="1"/>
  <c r="M152" i="98" a="1"/>
  <c r="M152" i="98" s="1"/>
  <c r="L152" i="98" a="1"/>
  <c r="L152" i="98" s="1"/>
  <c r="K152" i="98" a="1"/>
  <c r="K152" i="98" s="1"/>
  <c r="J152" i="98" a="1"/>
  <c r="J152" i="98" s="1"/>
  <c r="I152" i="98" a="1"/>
  <c r="I152" i="98" s="1"/>
  <c r="H152" i="98" a="1"/>
  <c r="H152" i="98" s="1"/>
  <c r="G152" i="98" a="1"/>
  <c r="G152" i="98" s="1"/>
  <c r="F152" i="98" a="1"/>
  <c r="F152" i="98" s="1"/>
  <c r="E152" i="98" a="1"/>
  <c r="E152" i="98" s="1"/>
  <c r="D152" i="98" a="1"/>
  <c r="D152" i="98" s="1"/>
  <c r="AH151" i="98" a="1"/>
  <c r="AH151" i="98" s="1"/>
  <c r="AG151" i="98" a="1"/>
  <c r="AG151" i="98" s="1"/>
  <c r="AF151" i="98" a="1"/>
  <c r="AF151" i="98" s="1"/>
  <c r="AE151" i="98" a="1"/>
  <c r="AE151" i="98" s="1"/>
  <c r="AD151" i="98" a="1"/>
  <c r="AD151" i="98" s="1"/>
  <c r="AC151" i="98" a="1"/>
  <c r="AC151" i="98" s="1"/>
  <c r="AB151" i="98" a="1"/>
  <c r="AB151" i="98" s="1"/>
  <c r="AA151" i="98" a="1"/>
  <c r="AA151" i="98" s="1"/>
  <c r="Z151" i="98" a="1"/>
  <c r="Z151" i="98" s="1"/>
  <c r="Y151" i="98" a="1"/>
  <c r="Y151" i="98" s="1"/>
  <c r="X151" i="98" a="1"/>
  <c r="X151" i="98" s="1"/>
  <c r="W151" i="98" a="1"/>
  <c r="W151" i="98" s="1"/>
  <c r="V151" i="98" a="1"/>
  <c r="V151" i="98" s="1"/>
  <c r="U151" i="98" a="1"/>
  <c r="U151" i="98" s="1"/>
  <c r="T151" i="98" a="1"/>
  <c r="T151" i="98" s="1"/>
  <c r="S151" i="98" a="1"/>
  <c r="S151" i="98" s="1"/>
  <c r="R151" i="98" a="1"/>
  <c r="R151" i="98" s="1"/>
  <c r="Q151" i="98" a="1"/>
  <c r="Q151" i="98" s="1"/>
  <c r="P151" i="98" a="1"/>
  <c r="P151" i="98" s="1"/>
  <c r="O151" i="98" a="1"/>
  <c r="O151" i="98" s="1"/>
  <c r="N151" i="98" a="1"/>
  <c r="N151" i="98" s="1"/>
  <c r="M151" i="98" a="1"/>
  <c r="M151" i="98" s="1"/>
  <c r="L151" i="98" a="1"/>
  <c r="L151" i="98" s="1"/>
  <c r="K151" i="98" a="1"/>
  <c r="K151" i="98" s="1"/>
  <c r="J151" i="98" a="1"/>
  <c r="J151" i="98" s="1"/>
  <c r="I151" i="98" a="1"/>
  <c r="I151" i="98" s="1"/>
  <c r="H151" i="98" a="1"/>
  <c r="H151" i="98" s="1"/>
  <c r="G151" i="98" a="1"/>
  <c r="G151" i="98" s="1"/>
  <c r="F151" i="98" a="1"/>
  <c r="F151" i="98" s="1"/>
  <c r="E151" i="98" a="1"/>
  <c r="E151" i="98" s="1"/>
  <c r="D151" i="98" a="1"/>
  <c r="D151" i="98" s="1"/>
  <c r="AH150" i="98" a="1"/>
  <c r="AH150" i="98" s="1"/>
  <c r="AG150" i="98" a="1"/>
  <c r="AG150" i="98" s="1"/>
  <c r="AF150" i="98" a="1"/>
  <c r="AF150" i="98" s="1"/>
  <c r="AE150" i="98" a="1"/>
  <c r="AE150" i="98" s="1"/>
  <c r="AD150" i="98" a="1"/>
  <c r="AD150" i="98" s="1"/>
  <c r="AC150" i="98" a="1"/>
  <c r="AC150" i="98" s="1"/>
  <c r="AB150" i="98" a="1"/>
  <c r="AB150" i="98" s="1"/>
  <c r="AA150" i="98" a="1"/>
  <c r="AA150" i="98" s="1"/>
  <c r="Z150" i="98" a="1"/>
  <c r="Z150" i="98" s="1"/>
  <c r="Y150" i="98" a="1"/>
  <c r="Y150" i="98" s="1"/>
  <c r="X150" i="98" a="1"/>
  <c r="X150" i="98" s="1"/>
  <c r="W150" i="98" a="1"/>
  <c r="W150" i="98" s="1"/>
  <c r="V150" i="98" a="1"/>
  <c r="V150" i="98" s="1"/>
  <c r="U150" i="98" a="1"/>
  <c r="U150" i="98" s="1"/>
  <c r="T150" i="98" a="1"/>
  <c r="T150" i="98" s="1"/>
  <c r="S150" i="98" a="1"/>
  <c r="S150" i="98" s="1"/>
  <c r="R150" i="98" a="1"/>
  <c r="R150" i="98" s="1"/>
  <c r="Q150" i="98" a="1"/>
  <c r="Q150" i="98" s="1"/>
  <c r="P150" i="98" a="1"/>
  <c r="P150" i="98" s="1"/>
  <c r="O150" i="98" a="1"/>
  <c r="O150" i="98" s="1"/>
  <c r="N150" i="98" a="1"/>
  <c r="N150" i="98" s="1"/>
  <c r="M150" i="98" a="1"/>
  <c r="M150" i="98" s="1"/>
  <c r="L150" i="98" a="1"/>
  <c r="L150" i="98" s="1"/>
  <c r="K150" i="98" a="1"/>
  <c r="K150" i="98" s="1"/>
  <c r="J150" i="98" a="1"/>
  <c r="J150" i="98" s="1"/>
  <c r="I150" i="98" a="1"/>
  <c r="I150" i="98" s="1"/>
  <c r="H150" i="98" a="1"/>
  <c r="H150" i="98" s="1"/>
  <c r="G150" i="98" a="1"/>
  <c r="G150" i="98" s="1"/>
  <c r="F150" i="98" a="1"/>
  <c r="F150" i="98" s="1"/>
  <c r="E150" i="98" a="1"/>
  <c r="E150" i="98" s="1"/>
  <c r="D150" i="98" a="1"/>
  <c r="D150" i="98" s="1"/>
  <c r="AH149" i="98" a="1"/>
  <c r="AH149" i="98" s="1"/>
  <c r="AG149" i="98" a="1"/>
  <c r="AG149" i="98" s="1"/>
  <c r="AF149" i="98" a="1"/>
  <c r="AF149" i="98" s="1"/>
  <c r="AE149" i="98" a="1"/>
  <c r="AE149" i="98" s="1"/>
  <c r="AD149" i="98" a="1"/>
  <c r="AD149" i="98" s="1"/>
  <c r="AC149" i="98" a="1"/>
  <c r="AC149" i="98" s="1"/>
  <c r="AB149" i="98" a="1"/>
  <c r="AB149" i="98" s="1"/>
  <c r="AA149" i="98" a="1"/>
  <c r="AA149" i="98" s="1"/>
  <c r="Z149" i="98" a="1"/>
  <c r="Z149" i="98" s="1"/>
  <c r="Y149" i="98" a="1"/>
  <c r="Y149" i="98" s="1"/>
  <c r="X149" i="98" a="1"/>
  <c r="X149" i="98" s="1"/>
  <c r="W149" i="98" a="1"/>
  <c r="W149" i="98" s="1"/>
  <c r="V149" i="98" a="1"/>
  <c r="V149" i="98" s="1"/>
  <c r="U149" i="98" a="1"/>
  <c r="U149" i="98" s="1"/>
  <c r="T149" i="98" a="1"/>
  <c r="T149" i="98" s="1"/>
  <c r="S149" i="98" a="1"/>
  <c r="S149" i="98" s="1"/>
  <c r="R149" i="98" a="1"/>
  <c r="R149" i="98" s="1"/>
  <c r="Q149" i="98" a="1"/>
  <c r="Q149" i="98" s="1"/>
  <c r="P149" i="98" a="1"/>
  <c r="P149" i="98" s="1"/>
  <c r="O149" i="98" a="1"/>
  <c r="O149" i="98" s="1"/>
  <c r="N149" i="98" a="1"/>
  <c r="N149" i="98" s="1"/>
  <c r="M149" i="98" a="1"/>
  <c r="M149" i="98" s="1"/>
  <c r="L149" i="98" a="1"/>
  <c r="L149" i="98" s="1"/>
  <c r="K149" i="98" a="1"/>
  <c r="K149" i="98" s="1"/>
  <c r="J149" i="98" a="1"/>
  <c r="J149" i="98" s="1"/>
  <c r="I149" i="98" a="1"/>
  <c r="I149" i="98" s="1"/>
  <c r="H149" i="98" a="1"/>
  <c r="H149" i="98" s="1"/>
  <c r="G149" i="98" a="1"/>
  <c r="G149" i="98" s="1"/>
  <c r="F149" i="98" a="1"/>
  <c r="F149" i="98" s="1"/>
  <c r="E149" i="98" a="1"/>
  <c r="E149" i="98" s="1"/>
  <c r="D149" i="98" a="1"/>
  <c r="D149" i="98" s="1"/>
  <c r="AH148" i="98" a="1"/>
  <c r="AH148" i="98" s="1"/>
  <c r="AG148" i="98" a="1"/>
  <c r="AG148" i="98" s="1"/>
  <c r="AF148" i="98" a="1"/>
  <c r="AF148" i="98" s="1"/>
  <c r="AE148" i="98" a="1"/>
  <c r="AE148" i="98" s="1"/>
  <c r="AD148" i="98" a="1"/>
  <c r="AD148" i="98" s="1"/>
  <c r="AC148" i="98" a="1"/>
  <c r="AC148" i="98" s="1"/>
  <c r="AB148" i="98" a="1"/>
  <c r="AB148" i="98" s="1"/>
  <c r="AA148" i="98" a="1"/>
  <c r="AA148" i="98" s="1"/>
  <c r="Z148" i="98" a="1"/>
  <c r="Z148" i="98" s="1"/>
  <c r="Y148" i="98" a="1"/>
  <c r="Y148" i="98" s="1"/>
  <c r="X148" i="98" a="1"/>
  <c r="X148" i="98" s="1"/>
  <c r="W148" i="98" a="1"/>
  <c r="W148" i="98" s="1"/>
  <c r="V148" i="98" a="1"/>
  <c r="V148" i="98" s="1"/>
  <c r="U148" i="98" a="1"/>
  <c r="U148" i="98" s="1"/>
  <c r="T148" i="98" a="1"/>
  <c r="T148" i="98" s="1"/>
  <c r="S148" i="98" a="1"/>
  <c r="S148" i="98" s="1"/>
  <c r="R148" i="98" a="1"/>
  <c r="R148" i="98" s="1"/>
  <c r="Q148" i="98" a="1"/>
  <c r="Q148" i="98" s="1"/>
  <c r="P148" i="98" a="1"/>
  <c r="P148" i="98" s="1"/>
  <c r="O148" i="98" a="1"/>
  <c r="O148" i="98" s="1"/>
  <c r="N148" i="98" a="1"/>
  <c r="N148" i="98" s="1"/>
  <c r="M148" i="98" a="1"/>
  <c r="M148" i="98" s="1"/>
  <c r="L148" i="98" a="1"/>
  <c r="L148" i="98" s="1"/>
  <c r="K148" i="98" a="1"/>
  <c r="K148" i="98" s="1"/>
  <c r="J148" i="98" a="1"/>
  <c r="J148" i="98" s="1"/>
  <c r="I148" i="98" a="1"/>
  <c r="I148" i="98" s="1"/>
  <c r="H148" i="98" a="1"/>
  <c r="H148" i="98" s="1"/>
  <c r="G148" i="98" a="1"/>
  <c r="G148" i="98" s="1"/>
  <c r="F148" i="98" a="1"/>
  <c r="F148" i="98" s="1"/>
  <c r="E148" i="98" a="1"/>
  <c r="E148" i="98" s="1"/>
  <c r="D148" i="98" a="1"/>
  <c r="D148" i="98" s="1"/>
  <c r="AH147" i="98" a="1"/>
  <c r="AH147" i="98" s="1"/>
  <c r="AG147" i="98" a="1"/>
  <c r="AG147" i="98" s="1"/>
  <c r="AF147" i="98" a="1"/>
  <c r="AF147" i="98" s="1"/>
  <c r="AE147" i="98" a="1"/>
  <c r="AE147" i="98" s="1"/>
  <c r="AD147" i="98" a="1"/>
  <c r="AD147" i="98" s="1"/>
  <c r="AC147" i="98" a="1"/>
  <c r="AC147" i="98" s="1"/>
  <c r="AB147" i="98" a="1"/>
  <c r="AB147" i="98" s="1"/>
  <c r="AA147" i="98" a="1"/>
  <c r="AA147" i="98" s="1"/>
  <c r="Z147" i="98" a="1"/>
  <c r="Z147" i="98" s="1"/>
  <c r="Y147" i="98" a="1"/>
  <c r="Y147" i="98" s="1"/>
  <c r="X147" i="98" a="1"/>
  <c r="X147" i="98" s="1"/>
  <c r="W147" i="98" a="1"/>
  <c r="W147" i="98" s="1"/>
  <c r="V147" i="98" a="1"/>
  <c r="V147" i="98" s="1"/>
  <c r="U147" i="98" a="1"/>
  <c r="U147" i="98" s="1"/>
  <c r="T147" i="98" a="1"/>
  <c r="T147" i="98" s="1"/>
  <c r="S147" i="98" a="1"/>
  <c r="S147" i="98" s="1"/>
  <c r="R147" i="98" a="1"/>
  <c r="R147" i="98" s="1"/>
  <c r="Q147" i="98" a="1"/>
  <c r="Q147" i="98" s="1"/>
  <c r="P147" i="98" a="1"/>
  <c r="P147" i="98" s="1"/>
  <c r="O147" i="98" a="1"/>
  <c r="O147" i="98" s="1"/>
  <c r="N147" i="98" a="1"/>
  <c r="N147" i="98" s="1"/>
  <c r="M147" i="98" a="1"/>
  <c r="M147" i="98" s="1"/>
  <c r="L147" i="98" a="1"/>
  <c r="L147" i="98" s="1"/>
  <c r="K147" i="98" a="1"/>
  <c r="K147" i="98" s="1"/>
  <c r="J147" i="98" a="1"/>
  <c r="J147" i="98" s="1"/>
  <c r="I147" i="98" a="1"/>
  <c r="I147" i="98" s="1"/>
  <c r="H147" i="98" a="1"/>
  <c r="H147" i="98" s="1"/>
  <c r="G147" i="98" a="1"/>
  <c r="G147" i="98" s="1"/>
  <c r="F147" i="98" a="1"/>
  <c r="F147" i="98" s="1"/>
  <c r="E147" i="98" a="1"/>
  <c r="E147" i="98" s="1"/>
  <c r="D147" i="98" a="1"/>
  <c r="D147" i="98" s="1"/>
  <c r="AH146" i="98" a="1"/>
  <c r="AH146" i="98" s="1"/>
  <c r="AG146" i="98" a="1"/>
  <c r="AG146" i="98" s="1"/>
  <c r="AF146" i="98" a="1"/>
  <c r="AF146" i="98" s="1"/>
  <c r="AE146" i="98" a="1"/>
  <c r="AE146" i="98" s="1"/>
  <c r="AD146" i="98" a="1"/>
  <c r="AD146" i="98" s="1"/>
  <c r="AC146" i="98" a="1"/>
  <c r="AC146" i="98" s="1"/>
  <c r="AB146" i="98" a="1"/>
  <c r="AB146" i="98" s="1"/>
  <c r="AA146" i="98" a="1"/>
  <c r="AA146" i="98" s="1"/>
  <c r="Z146" i="98" a="1"/>
  <c r="Z146" i="98" s="1"/>
  <c r="Y146" i="98" a="1"/>
  <c r="Y146" i="98" s="1"/>
  <c r="X146" i="98" a="1"/>
  <c r="X146" i="98" s="1"/>
  <c r="W146" i="98" a="1"/>
  <c r="W146" i="98" s="1"/>
  <c r="V146" i="98" a="1"/>
  <c r="V146" i="98" s="1"/>
  <c r="U146" i="98" a="1"/>
  <c r="U146" i="98" s="1"/>
  <c r="T146" i="98" a="1"/>
  <c r="T146" i="98" s="1"/>
  <c r="S146" i="98" a="1"/>
  <c r="S146" i="98" s="1"/>
  <c r="R146" i="98" a="1"/>
  <c r="R146" i="98" s="1"/>
  <c r="Q146" i="98" a="1"/>
  <c r="Q146" i="98" s="1"/>
  <c r="P146" i="98" a="1"/>
  <c r="P146" i="98" s="1"/>
  <c r="O146" i="98" a="1"/>
  <c r="O146" i="98" s="1"/>
  <c r="N146" i="98" a="1"/>
  <c r="N146" i="98" s="1"/>
  <c r="M146" i="98" a="1"/>
  <c r="M146" i="98" s="1"/>
  <c r="L146" i="98" a="1"/>
  <c r="L146" i="98" s="1"/>
  <c r="K146" i="98" a="1"/>
  <c r="K146" i="98" s="1"/>
  <c r="J146" i="98" a="1"/>
  <c r="J146" i="98" s="1"/>
  <c r="I146" i="98" a="1"/>
  <c r="I146" i="98" s="1"/>
  <c r="H146" i="98" a="1"/>
  <c r="H146" i="98" s="1"/>
  <c r="G146" i="98" a="1"/>
  <c r="G146" i="98" s="1"/>
  <c r="F146" i="98" a="1"/>
  <c r="F146" i="98" s="1"/>
  <c r="E146" i="98" a="1"/>
  <c r="E146" i="98" s="1"/>
  <c r="D146" i="98" a="1"/>
  <c r="D146" i="98" s="1"/>
  <c r="AH145" i="98" a="1"/>
  <c r="AH145" i="98" s="1"/>
  <c r="AG145" i="98" a="1"/>
  <c r="AG145" i="98" s="1"/>
  <c r="AF145" i="98" a="1"/>
  <c r="AF145" i="98" s="1"/>
  <c r="AE145" i="98" a="1"/>
  <c r="AE145" i="98" s="1"/>
  <c r="AD145" i="98" a="1"/>
  <c r="AD145" i="98" s="1"/>
  <c r="AC145" i="98" a="1"/>
  <c r="AC145" i="98" s="1"/>
  <c r="AB145" i="98" a="1"/>
  <c r="AB145" i="98" s="1"/>
  <c r="AA145" i="98" a="1"/>
  <c r="AA145" i="98" s="1"/>
  <c r="Z145" i="98" a="1"/>
  <c r="Z145" i="98" s="1"/>
  <c r="Y145" i="98" a="1"/>
  <c r="Y145" i="98" s="1"/>
  <c r="X145" i="98" a="1"/>
  <c r="X145" i="98" s="1"/>
  <c r="W145" i="98" a="1"/>
  <c r="W145" i="98" s="1"/>
  <c r="V145" i="98" a="1"/>
  <c r="V145" i="98" s="1"/>
  <c r="U145" i="98" a="1"/>
  <c r="U145" i="98" s="1"/>
  <c r="T145" i="98" a="1"/>
  <c r="T145" i="98" s="1"/>
  <c r="S145" i="98" a="1"/>
  <c r="S145" i="98" s="1"/>
  <c r="R145" i="98" a="1"/>
  <c r="R145" i="98" s="1"/>
  <c r="Q145" i="98" a="1"/>
  <c r="Q145" i="98" s="1"/>
  <c r="P145" i="98" a="1"/>
  <c r="P145" i="98" s="1"/>
  <c r="O145" i="98" a="1"/>
  <c r="O145" i="98" s="1"/>
  <c r="N145" i="98" a="1"/>
  <c r="N145" i="98" s="1"/>
  <c r="M145" i="98" a="1"/>
  <c r="M145" i="98" s="1"/>
  <c r="L145" i="98" a="1"/>
  <c r="L145" i="98" s="1"/>
  <c r="K145" i="98" a="1"/>
  <c r="K145" i="98" s="1"/>
  <c r="J145" i="98" a="1"/>
  <c r="J145" i="98" s="1"/>
  <c r="I145" i="98" a="1"/>
  <c r="I145" i="98" s="1"/>
  <c r="H145" i="98" a="1"/>
  <c r="H145" i="98" s="1"/>
  <c r="G145" i="98" a="1"/>
  <c r="G145" i="98" s="1"/>
  <c r="F145" i="98" a="1"/>
  <c r="F145" i="98" s="1"/>
  <c r="E145" i="98" a="1"/>
  <c r="E145" i="98" s="1"/>
  <c r="D145" i="98" a="1"/>
  <c r="D145" i="98" s="1"/>
  <c r="AH144" i="98" a="1"/>
  <c r="AH144" i="98" s="1"/>
  <c r="AG144" i="98" a="1"/>
  <c r="AG144" i="98" s="1"/>
  <c r="AF144" i="98" a="1"/>
  <c r="AF144" i="98" s="1"/>
  <c r="AE144" i="98" a="1"/>
  <c r="AE144" i="98" s="1"/>
  <c r="AD144" i="98" a="1"/>
  <c r="AD144" i="98" s="1"/>
  <c r="AC144" i="98" a="1"/>
  <c r="AC144" i="98" s="1"/>
  <c r="AB144" i="98" a="1"/>
  <c r="AB144" i="98" s="1"/>
  <c r="AA144" i="98" a="1"/>
  <c r="AA144" i="98" s="1"/>
  <c r="Z144" i="98" a="1"/>
  <c r="Z144" i="98" s="1"/>
  <c r="Y144" i="98" a="1"/>
  <c r="Y144" i="98" s="1"/>
  <c r="X144" i="98" a="1"/>
  <c r="X144" i="98" s="1"/>
  <c r="W144" i="98" a="1"/>
  <c r="W144" i="98" s="1"/>
  <c r="V144" i="98" a="1"/>
  <c r="V144" i="98" s="1"/>
  <c r="U144" i="98" a="1"/>
  <c r="U144" i="98" s="1"/>
  <c r="T144" i="98" a="1"/>
  <c r="T144" i="98" s="1"/>
  <c r="S144" i="98" a="1"/>
  <c r="S144" i="98" s="1"/>
  <c r="R144" i="98" a="1"/>
  <c r="R144" i="98" s="1"/>
  <c r="Q144" i="98" a="1"/>
  <c r="Q144" i="98" s="1"/>
  <c r="P144" i="98" a="1"/>
  <c r="P144" i="98" s="1"/>
  <c r="O144" i="98" a="1"/>
  <c r="O144" i="98" s="1"/>
  <c r="N144" i="98" a="1"/>
  <c r="N144" i="98" s="1"/>
  <c r="M144" i="98" a="1"/>
  <c r="M144" i="98" s="1"/>
  <c r="L144" i="98" a="1"/>
  <c r="L144" i="98" s="1"/>
  <c r="K144" i="98" a="1"/>
  <c r="K144" i="98" s="1"/>
  <c r="J144" i="98" a="1"/>
  <c r="J144" i="98" s="1"/>
  <c r="I144" i="98" a="1"/>
  <c r="I144" i="98" s="1"/>
  <c r="H144" i="98" a="1"/>
  <c r="H144" i="98" s="1"/>
  <c r="G144" i="98" a="1"/>
  <c r="G144" i="98" s="1"/>
  <c r="F144" i="98" a="1"/>
  <c r="F144" i="98" s="1"/>
  <c r="E144" i="98" a="1"/>
  <c r="E144" i="98" s="1"/>
  <c r="D144" i="98" a="1"/>
  <c r="D144" i="98" s="1"/>
  <c r="AH143" i="98" a="1"/>
  <c r="AH143" i="98" s="1"/>
  <c r="AG143" i="98" a="1"/>
  <c r="AG143" i="98" s="1"/>
  <c r="AF143" i="98" a="1"/>
  <c r="AF143" i="98" s="1"/>
  <c r="AE143" i="98" a="1"/>
  <c r="AE143" i="98" s="1"/>
  <c r="AD143" i="98" a="1"/>
  <c r="AD143" i="98" s="1"/>
  <c r="AC143" i="98" a="1"/>
  <c r="AC143" i="98" s="1"/>
  <c r="AB143" i="98" a="1"/>
  <c r="AB143" i="98" s="1"/>
  <c r="AA143" i="98" a="1"/>
  <c r="AA143" i="98" s="1"/>
  <c r="Z143" i="98" a="1"/>
  <c r="Z143" i="98" s="1"/>
  <c r="Y143" i="98" a="1"/>
  <c r="Y143" i="98" s="1"/>
  <c r="X143" i="98" a="1"/>
  <c r="X143" i="98" s="1"/>
  <c r="W143" i="98" a="1"/>
  <c r="W143" i="98" s="1"/>
  <c r="V143" i="98" a="1"/>
  <c r="V143" i="98" s="1"/>
  <c r="U143" i="98" a="1"/>
  <c r="U143" i="98" s="1"/>
  <c r="T143" i="98" a="1"/>
  <c r="T143" i="98" s="1"/>
  <c r="S143" i="98" a="1"/>
  <c r="S143" i="98" s="1"/>
  <c r="R143" i="98" a="1"/>
  <c r="R143" i="98" s="1"/>
  <c r="Q143" i="98" a="1"/>
  <c r="Q143" i="98" s="1"/>
  <c r="P143" i="98" a="1"/>
  <c r="P143" i="98" s="1"/>
  <c r="O143" i="98" a="1"/>
  <c r="O143" i="98" s="1"/>
  <c r="N143" i="98" a="1"/>
  <c r="N143" i="98" s="1"/>
  <c r="M143" i="98" a="1"/>
  <c r="M143" i="98" s="1"/>
  <c r="L143" i="98" a="1"/>
  <c r="L143" i="98" s="1"/>
  <c r="K143" i="98" a="1"/>
  <c r="K143" i="98" s="1"/>
  <c r="J143" i="98" a="1"/>
  <c r="J143" i="98" s="1"/>
  <c r="I143" i="98" a="1"/>
  <c r="I143" i="98" s="1"/>
  <c r="H143" i="98" a="1"/>
  <c r="H143" i="98" s="1"/>
  <c r="G143" i="98" a="1"/>
  <c r="G143" i="98" s="1"/>
  <c r="F143" i="98" a="1"/>
  <c r="F143" i="98" s="1"/>
  <c r="E143" i="98" a="1"/>
  <c r="E143" i="98" s="1"/>
  <c r="D143" i="98" a="1"/>
  <c r="D143" i="98" s="1"/>
  <c r="AH142" i="98" a="1"/>
  <c r="AH142" i="98" s="1"/>
  <c r="AG142" i="98" a="1"/>
  <c r="AG142" i="98" s="1"/>
  <c r="AF142" i="98" a="1"/>
  <c r="AF142" i="98" s="1"/>
  <c r="AE142" i="98" a="1"/>
  <c r="AE142" i="98" s="1"/>
  <c r="AD142" i="98" a="1"/>
  <c r="AD142" i="98" s="1"/>
  <c r="AC142" i="98" a="1"/>
  <c r="AC142" i="98" s="1"/>
  <c r="AB142" i="98" a="1"/>
  <c r="AB142" i="98" s="1"/>
  <c r="AA142" i="98" a="1"/>
  <c r="AA142" i="98" s="1"/>
  <c r="Z142" i="98" a="1"/>
  <c r="Z142" i="98" s="1"/>
  <c r="Y142" i="98" a="1"/>
  <c r="Y142" i="98" s="1"/>
  <c r="X142" i="98" a="1"/>
  <c r="X142" i="98" s="1"/>
  <c r="W142" i="98" a="1"/>
  <c r="W142" i="98" s="1"/>
  <c r="V142" i="98" a="1"/>
  <c r="V142" i="98" s="1"/>
  <c r="U142" i="98" a="1"/>
  <c r="U142" i="98" s="1"/>
  <c r="T142" i="98" a="1"/>
  <c r="T142" i="98" s="1"/>
  <c r="S142" i="98" a="1"/>
  <c r="S142" i="98" s="1"/>
  <c r="R142" i="98" a="1"/>
  <c r="R142" i="98" s="1"/>
  <c r="Q142" i="98" a="1"/>
  <c r="Q142" i="98" s="1"/>
  <c r="P142" i="98" a="1"/>
  <c r="P142" i="98" s="1"/>
  <c r="O142" i="98" a="1"/>
  <c r="O142" i="98" s="1"/>
  <c r="N142" i="98" a="1"/>
  <c r="N142" i="98" s="1"/>
  <c r="M142" i="98" a="1"/>
  <c r="M142" i="98" s="1"/>
  <c r="L142" i="98" a="1"/>
  <c r="L142" i="98" s="1"/>
  <c r="K142" i="98" a="1"/>
  <c r="K142" i="98" s="1"/>
  <c r="J142" i="98" a="1"/>
  <c r="J142" i="98" s="1"/>
  <c r="I142" i="98" a="1"/>
  <c r="I142" i="98" s="1"/>
  <c r="H142" i="98" a="1"/>
  <c r="H142" i="98" s="1"/>
  <c r="G142" i="98" a="1"/>
  <c r="G142" i="98" s="1"/>
  <c r="F142" i="98" a="1"/>
  <c r="F142" i="98" s="1"/>
  <c r="E142" i="98" a="1"/>
  <c r="E142" i="98" s="1"/>
  <c r="D142" i="98" a="1"/>
  <c r="D142" i="98" s="1"/>
  <c r="AH141" i="98" a="1"/>
  <c r="AH141" i="98" s="1"/>
  <c r="AG141" i="98" a="1"/>
  <c r="AG141" i="98" s="1"/>
  <c r="AF141" i="98" a="1"/>
  <c r="AF141" i="98" s="1"/>
  <c r="AE141" i="98" a="1"/>
  <c r="AE141" i="98" s="1"/>
  <c r="AD141" i="98" a="1"/>
  <c r="AD141" i="98" s="1"/>
  <c r="AC141" i="98" a="1"/>
  <c r="AC141" i="98" s="1"/>
  <c r="AB141" i="98" a="1"/>
  <c r="AB141" i="98" s="1"/>
  <c r="AA141" i="98" a="1"/>
  <c r="AA141" i="98" s="1"/>
  <c r="Z141" i="98" a="1"/>
  <c r="Z141" i="98" s="1"/>
  <c r="Y141" i="98" a="1"/>
  <c r="Y141" i="98" s="1"/>
  <c r="X141" i="98" a="1"/>
  <c r="X141" i="98" s="1"/>
  <c r="W141" i="98" a="1"/>
  <c r="W141" i="98" s="1"/>
  <c r="V141" i="98" a="1"/>
  <c r="V141" i="98" s="1"/>
  <c r="U141" i="98" a="1"/>
  <c r="U141" i="98" s="1"/>
  <c r="T141" i="98" a="1"/>
  <c r="T141" i="98" s="1"/>
  <c r="S141" i="98" a="1"/>
  <c r="S141" i="98" s="1"/>
  <c r="R141" i="98" a="1"/>
  <c r="R141" i="98" s="1"/>
  <c r="Q141" i="98" a="1"/>
  <c r="Q141" i="98" s="1"/>
  <c r="P141" i="98" a="1"/>
  <c r="P141" i="98" s="1"/>
  <c r="O141" i="98" a="1"/>
  <c r="O141" i="98" s="1"/>
  <c r="N141" i="98" a="1"/>
  <c r="N141" i="98" s="1"/>
  <c r="M141" i="98" a="1"/>
  <c r="M141" i="98" s="1"/>
  <c r="L141" i="98" a="1"/>
  <c r="L141" i="98" s="1"/>
  <c r="K141" i="98" a="1"/>
  <c r="K141" i="98" s="1"/>
  <c r="J141" i="98" a="1"/>
  <c r="J141" i="98" s="1"/>
  <c r="I141" i="98" a="1"/>
  <c r="I141" i="98" s="1"/>
  <c r="H141" i="98" a="1"/>
  <c r="H141" i="98" s="1"/>
  <c r="G141" i="98" a="1"/>
  <c r="G141" i="98" s="1"/>
  <c r="F141" i="98" a="1"/>
  <c r="F141" i="98" s="1"/>
  <c r="E141" i="98" a="1"/>
  <c r="E141" i="98" s="1"/>
  <c r="D141" i="98" a="1"/>
  <c r="D141" i="98" s="1"/>
  <c r="AH140" i="98" a="1"/>
  <c r="AH140" i="98" s="1"/>
  <c r="AG140" i="98" a="1"/>
  <c r="AG140" i="98" s="1"/>
  <c r="AF140" i="98" a="1"/>
  <c r="AF140" i="98" s="1"/>
  <c r="AE140" i="98" a="1"/>
  <c r="AE140" i="98" s="1"/>
  <c r="AD140" i="98" a="1"/>
  <c r="AD140" i="98" s="1"/>
  <c r="AC140" i="98" a="1"/>
  <c r="AC140" i="98" s="1"/>
  <c r="AB140" i="98" a="1"/>
  <c r="AB140" i="98" s="1"/>
  <c r="AA140" i="98" a="1"/>
  <c r="AA140" i="98" s="1"/>
  <c r="Z140" i="98" a="1"/>
  <c r="Z140" i="98" s="1"/>
  <c r="Y140" i="98" a="1"/>
  <c r="Y140" i="98" s="1"/>
  <c r="X140" i="98" a="1"/>
  <c r="X140" i="98" s="1"/>
  <c r="W140" i="98" a="1"/>
  <c r="W140" i="98" s="1"/>
  <c r="V140" i="98" a="1"/>
  <c r="V140" i="98" s="1"/>
  <c r="U140" i="98" a="1"/>
  <c r="U140" i="98" s="1"/>
  <c r="T140" i="98" a="1"/>
  <c r="T140" i="98" s="1"/>
  <c r="S140" i="98" a="1"/>
  <c r="S140" i="98" s="1"/>
  <c r="R140" i="98" a="1"/>
  <c r="R140" i="98" s="1"/>
  <c r="Q140" i="98" a="1"/>
  <c r="Q140" i="98" s="1"/>
  <c r="P140" i="98" a="1"/>
  <c r="P140" i="98" s="1"/>
  <c r="O140" i="98" a="1"/>
  <c r="O140" i="98" s="1"/>
  <c r="N140" i="98" a="1"/>
  <c r="N140" i="98" s="1"/>
  <c r="M140" i="98" a="1"/>
  <c r="M140" i="98" s="1"/>
  <c r="L140" i="98" a="1"/>
  <c r="L140" i="98" s="1"/>
  <c r="K140" i="98" a="1"/>
  <c r="K140" i="98" s="1"/>
  <c r="J140" i="98" a="1"/>
  <c r="J140" i="98" s="1"/>
  <c r="I140" i="98" a="1"/>
  <c r="I140" i="98" s="1"/>
  <c r="H140" i="98" a="1"/>
  <c r="H140" i="98" s="1"/>
  <c r="G140" i="98" a="1"/>
  <c r="G140" i="98" s="1"/>
  <c r="F140" i="98" a="1"/>
  <c r="F140" i="98" s="1"/>
  <c r="E140" i="98" a="1"/>
  <c r="E140" i="98" s="1"/>
  <c r="D140" i="98" a="1"/>
  <c r="D140" i="98" s="1"/>
  <c r="AH139" i="98" a="1"/>
  <c r="AH139" i="98" s="1"/>
  <c r="AG139" i="98" a="1"/>
  <c r="AG139" i="98" s="1"/>
  <c r="AF139" i="98" a="1"/>
  <c r="AF139" i="98" s="1"/>
  <c r="AE139" i="98" a="1"/>
  <c r="AE139" i="98" s="1"/>
  <c r="AD139" i="98" a="1"/>
  <c r="AD139" i="98" s="1"/>
  <c r="AC139" i="98" a="1"/>
  <c r="AC139" i="98" s="1"/>
  <c r="AB139" i="98" a="1"/>
  <c r="AB139" i="98" s="1"/>
  <c r="AA139" i="98" a="1"/>
  <c r="AA139" i="98" s="1"/>
  <c r="Z139" i="98" a="1"/>
  <c r="Z139" i="98" s="1"/>
  <c r="Y139" i="98" a="1"/>
  <c r="Y139" i="98" s="1"/>
  <c r="X139" i="98" a="1"/>
  <c r="X139" i="98" s="1"/>
  <c r="W139" i="98" a="1"/>
  <c r="W139" i="98" s="1"/>
  <c r="V139" i="98" a="1"/>
  <c r="V139" i="98" s="1"/>
  <c r="U139" i="98" a="1"/>
  <c r="U139" i="98" s="1"/>
  <c r="T139" i="98" a="1"/>
  <c r="T139" i="98" s="1"/>
  <c r="S139" i="98" a="1"/>
  <c r="S139" i="98" s="1"/>
  <c r="R139" i="98" a="1"/>
  <c r="R139" i="98" s="1"/>
  <c r="Q139" i="98" a="1"/>
  <c r="Q139" i="98" s="1"/>
  <c r="P139" i="98" a="1"/>
  <c r="P139" i="98" s="1"/>
  <c r="O139" i="98" a="1"/>
  <c r="O139" i="98" s="1"/>
  <c r="N139" i="98" a="1"/>
  <c r="N139" i="98" s="1"/>
  <c r="M139" i="98" a="1"/>
  <c r="M139" i="98" s="1"/>
  <c r="L139" i="98" a="1"/>
  <c r="L139" i="98" s="1"/>
  <c r="K139" i="98" a="1"/>
  <c r="K139" i="98" s="1"/>
  <c r="J139" i="98" a="1"/>
  <c r="J139" i="98" s="1"/>
  <c r="I139" i="98" a="1"/>
  <c r="I139" i="98" s="1"/>
  <c r="H139" i="98" a="1"/>
  <c r="H139" i="98" s="1"/>
  <c r="G139" i="98" a="1"/>
  <c r="G139" i="98" s="1"/>
  <c r="F139" i="98" a="1"/>
  <c r="F139" i="98" s="1"/>
  <c r="E139" i="98" a="1"/>
  <c r="E139" i="98" s="1"/>
  <c r="D139" i="98" a="1"/>
  <c r="D139" i="98" s="1"/>
  <c r="AH138" i="98" a="1"/>
  <c r="AH138" i="98" s="1"/>
  <c r="AG138" i="98" a="1"/>
  <c r="AG138" i="98" s="1"/>
  <c r="AF138" i="98" a="1"/>
  <c r="AF138" i="98" s="1"/>
  <c r="AE138" i="98" a="1"/>
  <c r="AE138" i="98" s="1"/>
  <c r="AD138" i="98" a="1"/>
  <c r="AD138" i="98" s="1"/>
  <c r="AC138" i="98" a="1"/>
  <c r="AC138" i="98" s="1"/>
  <c r="AB138" i="98" a="1"/>
  <c r="AB138" i="98" s="1"/>
  <c r="AA138" i="98" a="1"/>
  <c r="AA138" i="98" s="1"/>
  <c r="Z138" i="98" a="1"/>
  <c r="Z138" i="98" s="1"/>
  <c r="Y138" i="98" a="1"/>
  <c r="Y138" i="98" s="1"/>
  <c r="X138" i="98" a="1"/>
  <c r="X138" i="98" s="1"/>
  <c r="W138" i="98" a="1"/>
  <c r="W138" i="98" s="1"/>
  <c r="V138" i="98" a="1"/>
  <c r="V138" i="98" s="1"/>
  <c r="U138" i="98" a="1"/>
  <c r="U138" i="98" s="1"/>
  <c r="T138" i="98" a="1"/>
  <c r="T138" i="98" s="1"/>
  <c r="S138" i="98" a="1"/>
  <c r="S138" i="98" s="1"/>
  <c r="R138" i="98" a="1"/>
  <c r="R138" i="98" s="1"/>
  <c r="Q138" i="98" a="1"/>
  <c r="Q138" i="98" s="1"/>
  <c r="P138" i="98" a="1"/>
  <c r="P138" i="98" s="1"/>
  <c r="O138" i="98" a="1"/>
  <c r="O138" i="98" s="1"/>
  <c r="N138" i="98" a="1"/>
  <c r="N138" i="98" s="1"/>
  <c r="M138" i="98" a="1"/>
  <c r="M138" i="98" s="1"/>
  <c r="L138" i="98" a="1"/>
  <c r="L138" i="98" s="1"/>
  <c r="K138" i="98" a="1"/>
  <c r="K138" i="98" s="1"/>
  <c r="J138" i="98" a="1"/>
  <c r="J138" i="98" s="1"/>
  <c r="I138" i="98" a="1"/>
  <c r="I138" i="98" s="1"/>
  <c r="H138" i="98" a="1"/>
  <c r="H138" i="98" s="1"/>
  <c r="G138" i="98" a="1"/>
  <c r="G138" i="98" s="1"/>
  <c r="F138" i="98" a="1"/>
  <c r="F138" i="98" s="1"/>
  <c r="E138" i="98" a="1"/>
  <c r="E138" i="98" s="1"/>
  <c r="D138" i="98" a="1"/>
  <c r="D138" i="98" s="1"/>
  <c r="AH137" i="98" a="1"/>
  <c r="AH137" i="98" s="1"/>
  <c r="AG137" i="98" a="1"/>
  <c r="AG137" i="98" s="1"/>
  <c r="AF137" i="98" a="1"/>
  <c r="AF137" i="98" s="1"/>
  <c r="AE137" i="98" a="1"/>
  <c r="AE137" i="98" s="1"/>
  <c r="AD137" i="98" a="1"/>
  <c r="AD137" i="98" s="1"/>
  <c r="AC137" i="98" a="1"/>
  <c r="AC137" i="98" s="1"/>
  <c r="AB137" i="98" a="1"/>
  <c r="AB137" i="98" s="1"/>
  <c r="AA137" i="98" a="1"/>
  <c r="AA137" i="98" s="1"/>
  <c r="Z137" i="98" a="1"/>
  <c r="Z137" i="98" s="1"/>
  <c r="Y137" i="98" a="1"/>
  <c r="Y137" i="98" s="1"/>
  <c r="X137" i="98" a="1"/>
  <c r="X137" i="98" s="1"/>
  <c r="W137" i="98" a="1"/>
  <c r="W137" i="98" s="1"/>
  <c r="V137" i="98" a="1"/>
  <c r="V137" i="98" s="1"/>
  <c r="U137" i="98" a="1"/>
  <c r="U137" i="98" s="1"/>
  <c r="T137" i="98" a="1"/>
  <c r="T137" i="98" s="1"/>
  <c r="S137" i="98" a="1"/>
  <c r="S137" i="98" s="1"/>
  <c r="R137" i="98" a="1"/>
  <c r="R137" i="98" s="1"/>
  <c r="Q137" i="98" a="1"/>
  <c r="Q137" i="98" s="1"/>
  <c r="P137" i="98" a="1"/>
  <c r="P137" i="98" s="1"/>
  <c r="O137" i="98" a="1"/>
  <c r="O137" i="98" s="1"/>
  <c r="N137" i="98" a="1"/>
  <c r="N137" i="98" s="1"/>
  <c r="M137" i="98" a="1"/>
  <c r="M137" i="98" s="1"/>
  <c r="L137" i="98" a="1"/>
  <c r="L137" i="98" s="1"/>
  <c r="K137" i="98" a="1"/>
  <c r="K137" i="98" s="1"/>
  <c r="J137" i="98" a="1"/>
  <c r="J137" i="98" s="1"/>
  <c r="I137" i="98" a="1"/>
  <c r="I137" i="98" s="1"/>
  <c r="H137" i="98" a="1"/>
  <c r="H137" i="98" s="1"/>
  <c r="G137" i="98" a="1"/>
  <c r="G137" i="98" s="1"/>
  <c r="F137" i="98" a="1"/>
  <c r="F137" i="98" s="1"/>
  <c r="E137" i="98" a="1"/>
  <c r="E137" i="98" s="1"/>
  <c r="D137" i="98" a="1"/>
  <c r="D137" i="98" s="1"/>
  <c r="AH136" i="98" a="1"/>
  <c r="AH136" i="98" s="1"/>
  <c r="AG136" i="98" a="1"/>
  <c r="AG136" i="98" s="1"/>
  <c r="AF136" i="98" a="1"/>
  <c r="AF136" i="98" s="1"/>
  <c r="AE136" i="98" a="1"/>
  <c r="AE136" i="98" s="1"/>
  <c r="AD136" i="98" a="1"/>
  <c r="AD136" i="98" s="1"/>
  <c r="AC136" i="98" a="1"/>
  <c r="AC136" i="98" s="1"/>
  <c r="AB136" i="98" a="1"/>
  <c r="AB136" i="98" s="1"/>
  <c r="AA136" i="98" a="1"/>
  <c r="AA136" i="98" s="1"/>
  <c r="Z136" i="98" a="1"/>
  <c r="Z136" i="98" s="1"/>
  <c r="Y136" i="98" a="1"/>
  <c r="Y136" i="98" s="1"/>
  <c r="X136" i="98" a="1"/>
  <c r="X136" i="98" s="1"/>
  <c r="W136" i="98" a="1"/>
  <c r="W136" i="98" s="1"/>
  <c r="V136" i="98" a="1"/>
  <c r="V136" i="98" s="1"/>
  <c r="U136" i="98" a="1"/>
  <c r="U136" i="98" s="1"/>
  <c r="T136" i="98" a="1"/>
  <c r="T136" i="98" s="1"/>
  <c r="S136" i="98" a="1"/>
  <c r="S136" i="98" s="1"/>
  <c r="R136" i="98" a="1"/>
  <c r="R136" i="98" s="1"/>
  <c r="Q136" i="98" a="1"/>
  <c r="Q136" i="98" s="1"/>
  <c r="P136" i="98" a="1"/>
  <c r="P136" i="98" s="1"/>
  <c r="O136" i="98" a="1"/>
  <c r="O136" i="98" s="1"/>
  <c r="N136" i="98" a="1"/>
  <c r="N136" i="98" s="1"/>
  <c r="M136" i="98" a="1"/>
  <c r="M136" i="98" s="1"/>
  <c r="L136" i="98" a="1"/>
  <c r="L136" i="98" s="1"/>
  <c r="K136" i="98" a="1"/>
  <c r="K136" i="98" s="1"/>
  <c r="J136" i="98" a="1"/>
  <c r="J136" i="98" s="1"/>
  <c r="I136" i="98" a="1"/>
  <c r="I136" i="98" s="1"/>
  <c r="H136" i="98" a="1"/>
  <c r="H136" i="98" s="1"/>
  <c r="G136" i="98" a="1"/>
  <c r="G136" i="98" s="1"/>
  <c r="F136" i="98" a="1"/>
  <c r="F136" i="98" s="1"/>
  <c r="E136" i="98" a="1"/>
  <c r="E136" i="98" s="1"/>
  <c r="D136" i="98" a="1"/>
  <c r="D136" i="98" s="1"/>
  <c r="AH135" i="98" a="1"/>
  <c r="AH135" i="98" s="1"/>
  <c r="AG135" i="98" a="1"/>
  <c r="AG135" i="98" s="1"/>
  <c r="AF135" i="98" a="1"/>
  <c r="AF135" i="98" s="1"/>
  <c r="AE135" i="98" a="1"/>
  <c r="AE135" i="98" s="1"/>
  <c r="AD135" i="98" a="1"/>
  <c r="AD135" i="98" s="1"/>
  <c r="AC135" i="98" a="1"/>
  <c r="AC135" i="98" s="1"/>
  <c r="AB135" i="98" a="1"/>
  <c r="AB135" i="98" s="1"/>
  <c r="AA135" i="98" a="1"/>
  <c r="AA135" i="98" s="1"/>
  <c r="Z135" i="98" a="1"/>
  <c r="Z135" i="98" s="1"/>
  <c r="Y135" i="98" a="1"/>
  <c r="Y135" i="98" s="1"/>
  <c r="X135" i="98" a="1"/>
  <c r="X135" i="98" s="1"/>
  <c r="W135" i="98" a="1"/>
  <c r="W135" i="98" s="1"/>
  <c r="V135" i="98" a="1"/>
  <c r="V135" i="98" s="1"/>
  <c r="U135" i="98" a="1"/>
  <c r="U135" i="98" s="1"/>
  <c r="T135" i="98" a="1"/>
  <c r="T135" i="98" s="1"/>
  <c r="S135" i="98" a="1"/>
  <c r="S135" i="98" s="1"/>
  <c r="R135" i="98" a="1"/>
  <c r="R135" i="98" s="1"/>
  <c r="Q135" i="98" a="1"/>
  <c r="Q135" i="98" s="1"/>
  <c r="P135" i="98" a="1"/>
  <c r="P135" i="98" s="1"/>
  <c r="O135" i="98" a="1"/>
  <c r="O135" i="98" s="1"/>
  <c r="N135" i="98" a="1"/>
  <c r="N135" i="98" s="1"/>
  <c r="M135" i="98" a="1"/>
  <c r="M135" i="98" s="1"/>
  <c r="L135" i="98" a="1"/>
  <c r="L135" i="98" s="1"/>
  <c r="K135" i="98" a="1"/>
  <c r="K135" i="98" s="1"/>
  <c r="J135" i="98" a="1"/>
  <c r="J135" i="98" s="1"/>
  <c r="I135" i="98" a="1"/>
  <c r="I135" i="98" s="1"/>
  <c r="H135" i="98" a="1"/>
  <c r="H135" i="98" s="1"/>
  <c r="G135" i="98" a="1"/>
  <c r="G135" i="98" s="1"/>
  <c r="F135" i="98" a="1"/>
  <c r="F135" i="98" s="1"/>
  <c r="E135" i="98" a="1"/>
  <c r="E135" i="98" s="1"/>
  <c r="D135" i="98" a="1"/>
  <c r="D135" i="98" s="1"/>
  <c r="AH134" i="98" a="1"/>
  <c r="AH134" i="98" s="1"/>
  <c r="AG134" i="98" a="1"/>
  <c r="AG134" i="98" s="1"/>
  <c r="AF134" i="98" a="1"/>
  <c r="AF134" i="98" s="1"/>
  <c r="AE134" i="98" a="1"/>
  <c r="AE134" i="98" s="1"/>
  <c r="AD134" i="98" a="1"/>
  <c r="AD134" i="98" s="1"/>
  <c r="AC134" i="98" a="1"/>
  <c r="AC134" i="98" s="1"/>
  <c r="AB134" i="98" a="1"/>
  <c r="AB134" i="98" s="1"/>
  <c r="AA134" i="98" a="1"/>
  <c r="AA134" i="98" s="1"/>
  <c r="Z134" i="98" a="1"/>
  <c r="Z134" i="98" s="1"/>
  <c r="Y134" i="98" a="1"/>
  <c r="Y134" i="98" s="1"/>
  <c r="X134" i="98" a="1"/>
  <c r="X134" i="98" s="1"/>
  <c r="W134" i="98" a="1"/>
  <c r="W134" i="98" s="1"/>
  <c r="V134" i="98" a="1"/>
  <c r="V134" i="98" s="1"/>
  <c r="U134" i="98" a="1"/>
  <c r="U134" i="98" s="1"/>
  <c r="T134" i="98" a="1"/>
  <c r="T134" i="98" s="1"/>
  <c r="S134" i="98" a="1"/>
  <c r="S134" i="98" s="1"/>
  <c r="R134" i="98" a="1"/>
  <c r="R134" i="98" s="1"/>
  <c r="Q134" i="98" a="1"/>
  <c r="Q134" i="98" s="1"/>
  <c r="P134" i="98" a="1"/>
  <c r="P134" i="98" s="1"/>
  <c r="O134" i="98" a="1"/>
  <c r="O134" i="98" s="1"/>
  <c r="N134" i="98" a="1"/>
  <c r="N134" i="98" s="1"/>
  <c r="M134" i="98" a="1"/>
  <c r="M134" i="98" s="1"/>
  <c r="L134" i="98" a="1"/>
  <c r="L134" i="98" s="1"/>
  <c r="K134" i="98" a="1"/>
  <c r="K134" i="98" s="1"/>
  <c r="J134" i="98" a="1"/>
  <c r="J134" i="98" s="1"/>
  <c r="I134" i="98" a="1"/>
  <c r="I134" i="98" s="1"/>
  <c r="H134" i="98" a="1"/>
  <c r="H134" i="98" s="1"/>
  <c r="G134" i="98" a="1"/>
  <c r="G134" i="98" s="1"/>
  <c r="F134" i="98" a="1"/>
  <c r="F134" i="98" s="1"/>
  <c r="E134" i="98" a="1"/>
  <c r="E134" i="98" s="1"/>
  <c r="D134" i="98" a="1"/>
  <c r="D134" i="98" s="1"/>
  <c r="AH133" i="98" a="1"/>
  <c r="AH133" i="98" s="1"/>
  <c r="AG133" i="98" a="1"/>
  <c r="AG133" i="98" s="1"/>
  <c r="AF133" i="98" a="1"/>
  <c r="AF133" i="98" s="1"/>
  <c r="AE133" i="98" a="1"/>
  <c r="AE133" i="98" s="1"/>
  <c r="AD133" i="98" a="1"/>
  <c r="AD133" i="98" s="1"/>
  <c r="AC133" i="98" a="1"/>
  <c r="AC133" i="98" s="1"/>
  <c r="AB133" i="98" a="1"/>
  <c r="AB133" i="98" s="1"/>
  <c r="AA133" i="98" a="1"/>
  <c r="AA133" i="98" s="1"/>
  <c r="Z133" i="98" a="1"/>
  <c r="Z133" i="98" s="1"/>
  <c r="Y133" i="98" a="1"/>
  <c r="Y133" i="98" s="1"/>
  <c r="X133" i="98" a="1"/>
  <c r="X133" i="98" s="1"/>
  <c r="W133" i="98" a="1"/>
  <c r="W133" i="98" s="1"/>
  <c r="V133" i="98" a="1"/>
  <c r="V133" i="98" s="1"/>
  <c r="U133" i="98" a="1"/>
  <c r="U133" i="98" s="1"/>
  <c r="T133" i="98" a="1"/>
  <c r="T133" i="98" s="1"/>
  <c r="S133" i="98" a="1"/>
  <c r="S133" i="98" s="1"/>
  <c r="R133" i="98" a="1"/>
  <c r="R133" i="98" s="1"/>
  <c r="Q133" i="98" a="1"/>
  <c r="Q133" i="98" s="1"/>
  <c r="P133" i="98" a="1"/>
  <c r="P133" i="98" s="1"/>
  <c r="O133" i="98" a="1"/>
  <c r="O133" i="98" s="1"/>
  <c r="N133" i="98" a="1"/>
  <c r="N133" i="98" s="1"/>
  <c r="M133" i="98" a="1"/>
  <c r="M133" i="98" s="1"/>
  <c r="L133" i="98" a="1"/>
  <c r="L133" i="98" s="1"/>
  <c r="K133" i="98" a="1"/>
  <c r="K133" i="98" s="1"/>
  <c r="J133" i="98" a="1"/>
  <c r="J133" i="98" s="1"/>
  <c r="I133" i="98" a="1"/>
  <c r="I133" i="98" s="1"/>
  <c r="H133" i="98" a="1"/>
  <c r="H133" i="98" s="1"/>
  <c r="G133" i="98" a="1"/>
  <c r="G133" i="98" s="1"/>
  <c r="F133" i="98" a="1"/>
  <c r="F133" i="98" s="1"/>
  <c r="E133" i="98" a="1"/>
  <c r="E133" i="98" s="1"/>
  <c r="D133" i="98" a="1"/>
  <c r="D133" i="98" s="1"/>
  <c r="AH132" i="98" a="1"/>
  <c r="AH132" i="98" s="1"/>
  <c r="AG132" i="98" a="1"/>
  <c r="AG132" i="98" s="1"/>
  <c r="AF132" i="98" a="1"/>
  <c r="AF132" i="98" s="1"/>
  <c r="AE132" i="98" a="1"/>
  <c r="AE132" i="98" s="1"/>
  <c r="AD132" i="98" a="1"/>
  <c r="AD132" i="98" s="1"/>
  <c r="AC132" i="98" a="1"/>
  <c r="AC132" i="98" s="1"/>
  <c r="AB132" i="98" a="1"/>
  <c r="AB132" i="98" s="1"/>
  <c r="AA132" i="98" a="1"/>
  <c r="AA132" i="98" s="1"/>
  <c r="Z132" i="98" a="1"/>
  <c r="Z132" i="98" s="1"/>
  <c r="Y132" i="98" a="1"/>
  <c r="Y132" i="98" s="1"/>
  <c r="X132" i="98" a="1"/>
  <c r="X132" i="98" s="1"/>
  <c r="W132" i="98" a="1"/>
  <c r="W132" i="98" s="1"/>
  <c r="V132" i="98" a="1"/>
  <c r="V132" i="98" s="1"/>
  <c r="U132" i="98" a="1"/>
  <c r="U132" i="98" s="1"/>
  <c r="T132" i="98" a="1"/>
  <c r="T132" i="98" s="1"/>
  <c r="S132" i="98" a="1"/>
  <c r="S132" i="98" s="1"/>
  <c r="R132" i="98" a="1"/>
  <c r="R132" i="98" s="1"/>
  <c r="Q132" i="98" a="1"/>
  <c r="Q132" i="98" s="1"/>
  <c r="P132" i="98" a="1"/>
  <c r="P132" i="98" s="1"/>
  <c r="O132" i="98" a="1"/>
  <c r="O132" i="98" s="1"/>
  <c r="N132" i="98" a="1"/>
  <c r="N132" i="98" s="1"/>
  <c r="M132" i="98" a="1"/>
  <c r="M132" i="98" s="1"/>
  <c r="L132" i="98" a="1"/>
  <c r="L132" i="98" s="1"/>
  <c r="K132" i="98" a="1"/>
  <c r="K132" i="98" s="1"/>
  <c r="J132" i="98" a="1"/>
  <c r="J132" i="98" s="1"/>
  <c r="I132" i="98" a="1"/>
  <c r="I132" i="98" s="1"/>
  <c r="H132" i="98" a="1"/>
  <c r="H132" i="98" s="1"/>
  <c r="G132" i="98" a="1"/>
  <c r="G132" i="98" s="1"/>
  <c r="F132" i="98" a="1"/>
  <c r="F132" i="98" s="1"/>
  <c r="E132" i="98" a="1"/>
  <c r="E132" i="98" s="1"/>
  <c r="D132" i="98" a="1"/>
  <c r="D132" i="98" s="1"/>
  <c r="AH131" i="98" a="1"/>
  <c r="AH131" i="98" s="1"/>
  <c r="AG131" i="98" a="1"/>
  <c r="AG131" i="98" s="1"/>
  <c r="AF131" i="98" a="1"/>
  <c r="AF131" i="98" s="1"/>
  <c r="AE131" i="98" a="1"/>
  <c r="AE131" i="98" s="1"/>
  <c r="AD131" i="98" a="1"/>
  <c r="AD131" i="98" s="1"/>
  <c r="AC131" i="98" a="1"/>
  <c r="AC131" i="98" s="1"/>
  <c r="AB131" i="98" a="1"/>
  <c r="AB131" i="98" s="1"/>
  <c r="AA131" i="98" a="1"/>
  <c r="AA131" i="98" s="1"/>
  <c r="Z131" i="98" a="1"/>
  <c r="Z131" i="98" s="1"/>
  <c r="Y131" i="98" a="1"/>
  <c r="Y131" i="98" s="1"/>
  <c r="X131" i="98" a="1"/>
  <c r="X131" i="98" s="1"/>
  <c r="W131" i="98" a="1"/>
  <c r="W131" i="98" s="1"/>
  <c r="V131" i="98" a="1"/>
  <c r="V131" i="98" s="1"/>
  <c r="U131" i="98" a="1"/>
  <c r="U131" i="98" s="1"/>
  <c r="T131" i="98" a="1"/>
  <c r="T131" i="98" s="1"/>
  <c r="S131" i="98" a="1"/>
  <c r="S131" i="98" s="1"/>
  <c r="R131" i="98" a="1"/>
  <c r="R131" i="98" s="1"/>
  <c r="Q131" i="98" a="1"/>
  <c r="Q131" i="98" s="1"/>
  <c r="P131" i="98" a="1"/>
  <c r="P131" i="98" s="1"/>
  <c r="O131" i="98" a="1"/>
  <c r="O131" i="98" s="1"/>
  <c r="N131" i="98" a="1"/>
  <c r="N131" i="98" s="1"/>
  <c r="M131" i="98" a="1"/>
  <c r="M131" i="98" s="1"/>
  <c r="L131" i="98" a="1"/>
  <c r="L131" i="98" s="1"/>
  <c r="K131" i="98" a="1"/>
  <c r="K131" i="98" s="1"/>
  <c r="J131" i="98" a="1"/>
  <c r="J131" i="98" s="1"/>
  <c r="I131" i="98" a="1"/>
  <c r="I131" i="98" s="1"/>
  <c r="H131" i="98" a="1"/>
  <c r="H131" i="98" s="1"/>
  <c r="G131" i="98" a="1"/>
  <c r="G131" i="98" s="1"/>
  <c r="F131" i="98" a="1"/>
  <c r="F131" i="98" s="1"/>
  <c r="E131" i="98" a="1"/>
  <c r="E131" i="98" s="1"/>
  <c r="D131" i="98" a="1"/>
  <c r="D131" i="98" s="1"/>
  <c r="AH130" i="98" a="1"/>
  <c r="AH130" i="98" s="1"/>
  <c r="AG130" i="98" a="1"/>
  <c r="AG130" i="98" s="1"/>
  <c r="AF130" i="98" a="1"/>
  <c r="AF130" i="98" s="1"/>
  <c r="AE130" i="98" a="1"/>
  <c r="AE130" i="98" s="1"/>
  <c r="AD130" i="98" a="1"/>
  <c r="AD130" i="98" s="1"/>
  <c r="AC130" i="98" a="1"/>
  <c r="AC130" i="98" s="1"/>
  <c r="AB130" i="98" a="1"/>
  <c r="AB130" i="98" s="1"/>
  <c r="AA130" i="98" a="1"/>
  <c r="AA130" i="98" s="1"/>
  <c r="Z130" i="98" a="1"/>
  <c r="Z130" i="98" s="1"/>
  <c r="Y130" i="98" a="1"/>
  <c r="Y130" i="98" s="1"/>
  <c r="X130" i="98" a="1"/>
  <c r="X130" i="98" s="1"/>
  <c r="W130" i="98" a="1"/>
  <c r="W130" i="98" s="1"/>
  <c r="V130" i="98" a="1"/>
  <c r="V130" i="98" s="1"/>
  <c r="U130" i="98" a="1"/>
  <c r="U130" i="98" s="1"/>
  <c r="T130" i="98" a="1"/>
  <c r="T130" i="98" s="1"/>
  <c r="S130" i="98" a="1"/>
  <c r="S130" i="98" s="1"/>
  <c r="R130" i="98" a="1"/>
  <c r="R130" i="98" s="1"/>
  <c r="Q130" i="98" a="1"/>
  <c r="Q130" i="98" s="1"/>
  <c r="P130" i="98" a="1"/>
  <c r="P130" i="98" s="1"/>
  <c r="O130" i="98" a="1"/>
  <c r="O130" i="98" s="1"/>
  <c r="N130" i="98" a="1"/>
  <c r="N130" i="98" s="1"/>
  <c r="M130" i="98" a="1"/>
  <c r="M130" i="98" s="1"/>
  <c r="L130" i="98" a="1"/>
  <c r="L130" i="98" s="1"/>
  <c r="K130" i="98" a="1"/>
  <c r="K130" i="98" s="1"/>
  <c r="J130" i="98" a="1"/>
  <c r="J130" i="98" s="1"/>
  <c r="I130" i="98" a="1"/>
  <c r="I130" i="98" s="1"/>
  <c r="H130" i="98" a="1"/>
  <c r="H130" i="98" s="1"/>
  <c r="G130" i="98" a="1"/>
  <c r="G130" i="98" s="1"/>
  <c r="F130" i="98" a="1"/>
  <c r="F130" i="98" s="1"/>
  <c r="E130" i="98" a="1"/>
  <c r="E130" i="98" s="1"/>
  <c r="D130" i="98" a="1"/>
  <c r="D130" i="98" s="1"/>
  <c r="AH129" i="98" a="1"/>
  <c r="AH129" i="98" s="1"/>
  <c r="AG129" i="98" a="1"/>
  <c r="AG129" i="98" s="1"/>
  <c r="AF129" i="98" a="1"/>
  <c r="AF129" i="98" s="1"/>
  <c r="AE129" i="98" a="1"/>
  <c r="AE129" i="98" s="1"/>
  <c r="AD129" i="98" a="1"/>
  <c r="AD129" i="98" s="1"/>
  <c r="AC129" i="98" a="1"/>
  <c r="AC129" i="98" s="1"/>
  <c r="AB129" i="98" a="1"/>
  <c r="AB129" i="98" s="1"/>
  <c r="AA129" i="98" a="1"/>
  <c r="AA129" i="98" s="1"/>
  <c r="Z129" i="98" a="1"/>
  <c r="Z129" i="98" s="1"/>
  <c r="Y129" i="98" a="1"/>
  <c r="Y129" i="98" s="1"/>
  <c r="X129" i="98" a="1"/>
  <c r="X129" i="98" s="1"/>
  <c r="W129" i="98" a="1"/>
  <c r="W129" i="98" s="1"/>
  <c r="V129" i="98" a="1"/>
  <c r="V129" i="98" s="1"/>
  <c r="U129" i="98" a="1"/>
  <c r="U129" i="98" s="1"/>
  <c r="T129" i="98" a="1"/>
  <c r="T129" i="98" s="1"/>
  <c r="S129" i="98" a="1"/>
  <c r="S129" i="98" s="1"/>
  <c r="R129" i="98" a="1"/>
  <c r="R129" i="98" s="1"/>
  <c r="Q129" i="98" a="1"/>
  <c r="Q129" i="98" s="1"/>
  <c r="P129" i="98" a="1"/>
  <c r="P129" i="98" s="1"/>
  <c r="O129" i="98" a="1"/>
  <c r="O129" i="98" s="1"/>
  <c r="N129" i="98" a="1"/>
  <c r="N129" i="98" s="1"/>
  <c r="M129" i="98" a="1"/>
  <c r="M129" i="98" s="1"/>
  <c r="L129" i="98" a="1"/>
  <c r="L129" i="98" s="1"/>
  <c r="K129" i="98" a="1"/>
  <c r="K129" i="98" s="1"/>
  <c r="J129" i="98" a="1"/>
  <c r="J129" i="98" s="1"/>
  <c r="I129" i="98" a="1"/>
  <c r="I129" i="98" s="1"/>
  <c r="H129" i="98" a="1"/>
  <c r="H129" i="98" s="1"/>
  <c r="G129" i="98" a="1"/>
  <c r="G129" i="98" s="1"/>
  <c r="F129" i="98" a="1"/>
  <c r="F129" i="98" s="1"/>
  <c r="E129" i="98" a="1"/>
  <c r="E129" i="98" s="1"/>
  <c r="D129" i="98" a="1"/>
  <c r="D129" i="98" s="1"/>
  <c r="AH128" i="98" a="1"/>
  <c r="AH128" i="98" s="1"/>
  <c r="AG128" i="98" a="1"/>
  <c r="AG128" i="98" s="1"/>
  <c r="AF128" i="98" a="1"/>
  <c r="AF128" i="98" s="1"/>
  <c r="AE128" i="98" a="1"/>
  <c r="AE128" i="98" s="1"/>
  <c r="AD128" i="98" a="1"/>
  <c r="AD128" i="98" s="1"/>
  <c r="AC128" i="98" a="1"/>
  <c r="AC128" i="98" s="1"/>
  <c r="AB128" i="98" a="1"/>
  <c r="AB128" i="98" s="1"/>
  <c r="AA128" i="98" a="1"/>
  <c r="AA128" i="98" s="1"/>
  <c r="Z128" i="98" a="1"/>
  <c r="Z128" i="98" s="1"/>
  <c r="Y128" i="98" a="1"/>
  <c r="Y128" i="98" s="1"/>
  <c r="X128" i="98" a="1"/>
  <c r="X128" i="98" s="1"/>
  <c r="W128" i="98" a="1"/>
  <c r="W128" i="98" s="1"/>
  <c r="V128" i="98" a="1"/>
  <c r="V128" i="98" s="1"/>
  <c r="U128" i="98" a="1"/>
  <c r="U128" i="98" s="1"/>
  <c r="T128" i="98" a="1"/>
  <c r="T128" i="98" s="1"/>
  <c r="S128" i="98" a="1"/>
  <c r="S128" i="98" s="1"/>
  <c r="R128" i="98" a="1"/>
  <c r="R128" i="98" s="1"/>
  <c r="Q128" i="98" a="1"/>
  <c r="Q128" i="98" s="1"/>
  <c r="P128" i="98" a="1"/>
  <c r="P128" i="98" s="1"/>
  <c r="O128" i="98" a="1"/>
  <c r="O128" i="98" s="1"/>
  <c r="N128" i="98" a="1"/>
  <c r="N128" i="98" s="1"/>
  <c r="M128" i="98" a="1"/>
  <c r="M128" i="98" s="1"/>
  <c r="L128" i="98" a="1"/>
  <c r="L128" i="98" s="1"/>
  <c r="K128" i="98" a="1"/>
  <c r="K128" i="98" s="1"/>
  <c r="J128" i="98" a="1"/>
  <c r="J128" i="98" s="1"/>
  <c r="I128" i="98" a="1"/>
  <c r="I128" i="98" s="1"/>
  <c r="H128" i="98" a="1"/>
  <c r="H128" i="98" s="1"/>
  <c r="G128" i="98" a="1"/>
  <c r="G128" i="98" s="1"/>
  <c r="F128" i="98" a="1"/>
  <c r="F128" i="98" s="1"/>
  <c r="E128" i="98" a="1"/>
  <c r="E128" i="98" s="1"/>
  <c r="D128" i="98" a="1"/>
  <c r="D128" i="98" s="1"/>
  <c r="AH127" i="98" a="1"/>
  <c r="AH127" i="98" s="1"/>
  <c r="AG127" i="98" a="1"/>
  <c r="AG127" i="98" s="1"/>
  <c r="AF127" i="98" a="1"/>
  <c r="AF127" i="98" s="1"/>
  <c r="AE127" i="98" a="1"/>
  <c r="AE127" i="98" s="1"/>
  <c r="AD127" i="98" a="1"/>
  <c r="AD127" i="98" s="1"/>
  <c r="AC127" i="98" a="1"/>
  <c r="AC127" i="98" s="1"/>
  <c r="AB127" i="98" a="1"/>
  <c r="AB127" i="98" s="1"/>
  <c r="AA127" i="98" a="1"/>
  <c r="AA127" i="98" s="1"/>
  <c r="Z127" i="98" a="1"/>
  <c r="Z127" i="98" s="1"/>
  <c r="Y127" i="98" a="1"/>
  <c r="Y127" i="98" s="1"/>
  <c r="X127" i="98" a="1"/>
  <c r="X127" i="98" s="1"/>
  <c r="W127" i="98" a="1"/>
  <c r="W127" i="98" s="1"/>
  <c r="V127" i="98" a="1"/>
  <c r="V127" i="98" s="1"/>
  <c r="U127" i="98" a="1"/>
  <c r="U127" i="98" s="1"/>
  <c r="T127" i="98" a="1"/>
  <c r="T127" i="98" s="1"/>
  <c r="S127" i="98" a="1"/>
  <c r="S127" i="98" s="1"/>
  <c r="R127" i="98" a="1"/>
  <c r="R127" i="98" s="1"/>
  <c r="Q127" i="98" a="1"/>
  <c r="Q127" i="98" s="1"/>
  <c r="P127" i="98" a="1"/>
  <c r="P127" i="98" s="1"/>
  <c r="O127" i="98" a="1"/>
  <c r="O127" i="98" s="1"/>
  <c r="N127" i="98" a="1"/>
  <c r="N127" i="98" s="1"/>
  <c r="M127" i="98" a="1"/>
  <c r="M127" i="98" s="1"/>
  <c r="L127" i="98" a="1"/>
  <c r="L127" i="98" s="1"/>
  <c r="K127" i="98" a="1"/>
  <c r="K127" i="98" s="1"/>
  <c r="J127" i="98" a="1"/>
  <c r="J127" i="98" s="1"/>
  <c r="I127" i="98" a="1"/>
  <c r="I127" i="98" s="1"/>
  <c r="H127" i="98" a="1"/>
  <c r="H127" i="98" s="1"/>
  <c r="G127" i="98" a="1"/>
  <c r="G127" i="98" s="1"/>
  <c r="F127" i="98" a="1"/>
  <c r="F127" i="98" s="1"/>
  <c r="E127" i="98" a="1"/>
  <c r="E127" i="98" s="1"/>
  <c r="D127" i="98" a="1"/>
  <c r="D127" i="98" s="1"/>
  <c r="AH126" i="98" a="1"/>
  <c r="AH126" i="98" s="1"/>
  <c r="AG126" i="98" a="1"/>
  <c r="AG126" i="98" s="1"/>
  <c r="AF126" i="98" a="1"/>
  <c r="AF126" i="98" s="1"/>
  <c r="AE126" i="98" a="1"/>
  <c r="AE126" i="98" s="1"/>
  <c r="AD126" i="98" a="1"/>
  <c r="AD126" i="98" s="1"/>
  <c r="AC126" i="98" a="1"/>
  <c r="AC126" i="98" s="1"/>
  <c r="AB126" i="98" a="1"/>
  <c r="AB126" i="98" s="1"/>
  <c r="AA126" i="98" a="1"/>
  <c r="AA126" i="98" s="1"/>
  <c r="Z126" i="98" a="1"/>
  <c r="Z126" i="98" s="1"/>
  <c r="Y126" i="98" a="1"/>
  <c r="Y126" i="98" s="1"/>
  <c r="X126" i="98" a="1"/>
  <c r="X126" i="98" s="1"/>
  <c r="W126" i="98" a="1"/>
  <c r="W126" i="98" s="1"/>
  <c r="V126" i="98" a="1"/>
  <c r="V126" i="98" s="1"/>
  <c r="U126" i="98" a="1"/>
  <c r="U126" i="98" s="1"/>
  <c r="T126" i="98" a="1"/>
  <c r="T126" i="98" s="1"/>
  <c r="S126" i="98" a="1"/>
  <c r="S126" i="98" s="1"/>
  <c r="R126" i="98" a="1"/>
  <c r="R126" i="98" s="1"/>
  <c r="Q126" i="98" a="1"/>
  <c r="Q126" i="98" s="1"/>
  <c r="P126" i="98" a="1"/>
  <c r="P126" i="98" s="1"/>
  <c r="O126" i="98" a="1"/>
  <c r="O126" i="98" s="1"/>
  <c r="N126" i="98" a="1"/>
  <c r="N126" i="98" s="1"/>
  <c r="M126" i="98" a="1"/>
  <c r="M126" i="98" s="1"/>
  <c r="L126" i="98" a="1"/>
  <c r="L126" i="98" s="1"/>
  <c r="K126" i="98" a="1"/>
  <c r="K126" i="98" s="1"/>
  <c r="J126" i="98" a="1"/>
  <c r="J126" i="98" s="1"/>
  <c r="I126" i="98" a="1"/>
  <c r="I126" i="98" s="1"/>
  <c r="H126" i="98" a="1"/>
  <c r="H126" i="98" s="1"/>
  <c r="G126" i="98" a="1"/>
  <c r="G126" i="98" s="1"/>
  <c r="F126" i="98" a="1"/>
  <c r="F126" i="98" s="1"/>
  <c r="E126" i="98" a="1"/>
  <c r="E126" i="98" s="1"/>
  <c r="D126" i="98" a="1"/>
  <c r="D126" i="98" s="1"/>
  <c r="AH125" i="98" a="1"/>
  <c r="AH125" i="98" s="1"/>
  <c r="AG125" i="98" a="1"/>
  <c r="AG125" i="98" s="1"/>
  <c r="AF125" i="98" a="1"/>
  <c r="AF125" i="98" s="1"/>
  <c r="AE125" i="98" a="1"/>
  <c r="AE125" i="98" s="1"/>
  <c r="AD125" i="98" a="1"/>
  <c r="AD125" i="98" s="1"/>
  <c r="AC125" i="98" a="1"/>
  <c r="AC125" i="98" s="1"/>
  <c r="AB125" i="98" a="1"/>
  <c r="AB125" i="98" s="1"/>
  <c r="AA125" i="98" a="1"/>
  <c r="AA125" i="98" s="1"/>
  <c r="Z125" i="98" a="1"/>
  <c r="Z125" i="98" s="1"/>
  <c r="Y125" i="98" a="1"/>
  <c r="Y125" i="98" s="1"/>
  <c r="X125" i="98" a="1"/>
  <c r="X125" i="98" s="1"/>
  <c r="W125" i="98" a="1"/>
  <c r="W125" i="98" s="1"/>
  <c r="V125" i="98" a="1"/>
  <c r="V125" i="98" s="1"/>
  <c r="U125" i="98" a="1"/>
  <c r="U125" i="98" s="1"/>
  <c r="T125" i="98" a="1"/>
  <c r="T125" i="98" s="1"/>
  <c r="S125" i="98" a="1"/>
  <c r="S125" i="98" s="1"/>
  <c r="R125" i="98" a="1"/>
  <c r="R125" i="98" s="1"/>
  <c r="Q125" i="98" a="1"/>
  <c r="Q125" i="98" s="1"/>
  <c r="P125" i="98" a="1"/>
  <c r="P125" i="98" s="1"/>
  <c r="O125" i="98" a="1"/>
  <c r="O125" i="98" s="1"/>
  <c r="N125" i="98" a="1"/>
  <c r="N125" i="98" s="1"/>
  <c r="M125" i="98" a="1"/>
  <c r="M125" i="98" s="1"/>
  <c r="L125" i="98" a="1"/>
  <c r="L125" i="98" s="1"/>
  <c r="K125" i="98" a="1"/>
  <c r="K125" i="98" s="1"/>
  <c r="J125" i="98" a="1"/>
  <c r="J125" i="98" s="1"/>
  <c r="I125" i="98" a="1"/>
  <c r="I125" i="98" s="1"/>
  <c r="H125" i="98" a="1"/>
  <c r="H125" i="98" s="1"/>
  <c r="G125" i="98" a="1"/>
  <c r="G125" i="98" s="1"/>
  <c r="F125" i="98" a="1"/>
  <c r="F125" i="98" s="1"/>
  <c r="E125" i="98" a="1"/>
  <c r="E125" i="98" s="1"/>
  <c r="D125" i="98" a="1"/>
  <c r="D125" i="98" s="1"/>
  <c r="AH124" i="98" a="1"/>
  <c r="AH124" i="98" s="1"/>
  <c r="AG124" i="98" a="1"/>
  <c r="AG124" i="98" s="1"/>
  <c r="AF124" i="98" a="1"/>
  <c r="AF124" i="98" s="1"/>
  <c r="AE124" i="98" a="1"/>
  <c r="AE124" i="98" s="1"/>
  <c r="AD124" i="98" a="1"/>
  <c r="AD124" i="98" s="1"/>
  <c r="AC124" i="98" a="1"/>
  <c r="AC124" i="98" s="1"/>
  <c r="AB124" i="98" a="1"/>
  <c r="AB124" i="98" s="1"/>
  <c r="AA124" i="98" a="1"/>
  <c r="AA124" i="98" s="1"/>
  <c r="Z124" i="98" a="1"/>
  <c r="Z124" i="98" s="1"/>
  <c r="Y124" i="98" a="1"/>
  <c r="Y124" i="98" s="1"/>
  <c r="X124" i="98" a="1"/>
  <c r="X124" i="98" s="1"/>
  <c r="W124" i="98" a="1"/>
  <c r="W124" i="98" s="1"/>
  <c r="V124" i="98" a="1"/>
  <c r="V124" i="98" s="1"/>
  <c r="U124" i="98" a="1"/>
  <c r="U124" i="98" s="1"/>
  <c r="T124" i="98" a="1"/>
  <c r="T124" i="98" s="1"/>
  <c r="S124" i="98" a="1"/>
  <c r="S124" i="98" s="1"/>
  <c r="R124" i="98" a="1"/>
  <c r="R124" i="98" s="1"/>
  <c r="Q124" i="98" a="1"/>
  <c r="Q124" i="98" s="1"/>
  <c r="P124" i="98" a="1"/>
  <c r="P124" i="98" s="1"/>
  <c r="O124" i="98" a="1"/>
  <c r="O124" i="98" s="1"/>
  <c r="N124" i="98" a="1"/>
  <c r="N124" i="98" s="1"/>
  <c r="M124" i="98" a="1"/>
  <c r="M124" i="98" s="1"/>
  <c r="L124" i="98" a="1"/>
  <c r="L124" i="98" s="1"/>
  <c r="K124" i="98" a="1"/>
  <c r="K124" i="98" s="1"/>
  <c r="J124" i="98" a="1"/>
  <c r="J124" i="98" s="1"/>
  <c r="I124" i="98" a="1"/>
  <c r="I124" i="98" s="1"/>
  <c r="H124" i="98" a="1"/>
  <c r="H124" i="98" s="1"/>
  <c r="G124" i="98" a="1"/>
  <c r="G124" i="98" s="1"/>
  <c r="F124" i="98" a="1"/>
  <c r="F124" i="98" s="1"/>
  <c r="E124" i="98" a="1"/>
  <c r="E124" i="98" s="1"/>
  <c r="D124" i="98" a="1"/>
  <c r="D124" i="98" s="1"/>
  <c r="AH123" i="98" a="1"/>
  <c r="AH123" i="98" s="1"/>
  <c r="AG123" i="98" a="1"/>
  <c r="AG123" i="98" s="1"/>
  <c r="AF123" i="98" a="1"/>
  <c r="AF123" i="98" s="1"/>
  <c r="AE123" i="98" a="1"/>
  <c r="AE123" i="98" s="1"/>
  <c r="AD123" i="98" a="1"/>
  <c r="AD123" i="98" s="1"/>
  <c r="AC123" i="98" a="1"/>
  <c r="AC123" i="98" s="1"/>
  <c r="AB123" i="98" a="1"/>
  <c r="AB123" i="98" s="1"/>
  <c r="AA123" i="98" a="1"/>
  <c r="AA123" i="98" s="1"/>
  <c r="Z123" i="98" a="1"/>
  <c r="Z123" i="98" s="1"/>
  <c r="Y123" i="98" a="1"/>
  <c r="Y123" i="98" s="1"/>
  <c r="X123" i="98" a="1"/>
  <c r="X123" i="98" s="1"/>
  <c r="W123" i="98" a="1"/>
  <c r="W123" i="98" s="1"/>
  <c r="V123" i="98" a="1"/>
  <c r="V123" i="98" s="1"/>
  <c r="U123" i="98" a="1"/>
  <c r="U123" i="98" s="1"/>
  <c r="T123" i="98" a="1"/>
  <c r="T123" i="98" s="1"/>
  <c r="S123" i="98" a="1"/>
  <c r="S123" i="98" s="1"/>
  <c r="R123" i="98" a="1"/>
  <c r="R123" i="98" s="1"/>
  <c r="Q123" i="98" a="1"/>
  <c r="Q123" i="98" s="1"/>
  <c r="P123" i="98" a="1"/>
  <c r="P123" i="98" s="1"/>
  <c r="O123" i="98" a="1"/>
  <c r="O123" i="98" s="1"/>
  <c r="N123" i="98" a="1"/>
  <c r="N123" i="98" s="1"/>
  <c r="M123" i="98" a="1"/>
  <c r="M123" i="98" s="1"/>
  <c r="L123" i="98" a="1"/>
  <c r="L123" i="98" s="1"/>
  <c r="K123" i="98" a="1"/>
  <c r="K123" i="98" s="1"/>
  <c r="J123" i="98" a="1"/>
  <c r="J123" i="98" s="1"/>
  <c r="I123" i="98" a="1"/>
  <c r="I123" i="98" s="1"/>
  <c r="H123" i="98" a="1"/>
  <c r="H123" i="98" s="1"/>
  <c r="G123" i="98" a="1"/>
  <c r="G123" i="98" s="1"/>
  <c r="F123" i="98" a="1"/>
  <c r="F123" i="98" s="1"/>
  <c r="E123" i="98" a="1"/>
  <c r="E123" i="98" s="1"/>
  <c r="D123" i="98" a="1"/>
  <c r="D123" i="98" s="1"/>
  <c r="AH122" i="98" a="1"/>
  <c r="AH122" i="98" s="1"/>
  <c r="AG122" i="98" a="1"/>
  <c r="AG122" i="98" s="1"/>
  <c r="AF122" i="98" a="1"/>
  <c r="AF122" i="98" s="1"/>
  <c r="AE122" i="98" a="1"/>
  <c r="AE122" i="98" s="1"/>
  <c r="AD122" i="98" a="1"/>
  <c r="AD122" i="98" s="1"/>
  <c r="AC122" i="98" a="1"/>
  <c r="AC122" i="98" s="1"/>
  <c r="AB122" i="98" a="1"/>
  <c r="AB122" i="98" s="1"/>
  <c r="AA122" i="98" a="1"/>
  <c r="AA122" i="98" s="1"/>
  <c r="Z122" i="98" a="1"/>
  <c r="Z122" i="98" s="1"/>
  <c r="Y122" i="98" a="1"/>
  <c r="Y122" i="98" s="1"/>
  <c r="X122" i="98" a="1"/>
  <c r="X122" i="98" s="1"/>
  <c r="W122" i="98" a="1"/>
  <c r="W122" i="98" s="1"/>
  <c r="V122" i="98" a="1"/>
  <c r="V122" i="98" s="1"/>
  <c r="U122" i="98" a="1"/>
  <c r="U122" i="98" s="1"/>
  <c r="T122" i="98" a="1"/>
  <c r="T122" i="98" s="1"/>
  <c r="S122" i="98" a="1"/>
  <c r="S122" i="98" s="1"/>
  <c r="R122" i="98" a="1"/>
  <c r="R122" i="98" s="1"/>
  <c r="Q122" i="98" a="1"/>
  <c r="Q122" i="98" s="1"/>
  <c r="P122" i="98" a="1"/>
  <c r="P122" i="98" s="1"/>
  <c r="O122" i="98" a="1"/>
  <c r="O122" i="98" s="1"/>
  <c r="N122" i="98" a="1"/>
  <c r="N122" i="98" s="1"/>
  <c r="M122" i="98" a="1"/>
  <c r="M122" i="98" s="1"/>
  <c r="L122" i="98" a="1"/>
  <c r="L122" i="98" s="1"/>
  <c r="K122" i="98" a="1"/>
  <c r="K122" i="98" s="1"/>
  <c r="J122" i="98" a="1"/>
  <c r="J122" i="98" s="1"/>
  <c r="I122" i="98" a="1"/>
  <c r="I122" i="98" s="1"/>
  <c r="H122" i="98" a="1"/>
  <c r="H122" i="98" s="1"/>
  <c r="G122" i="98" a="1"/>
  <c r="G122" i="98" s="1"/>
  <c r="F122" i="98" a="1"/>
  <c r="F122" i="98" s="1"/>
  <c r="E122" i="98" a="1"/>
  <c r="E122" i="98" s="1"/>
  <c r="D122" i="98" a="1"/>
  <c r="D122" i="98" s="1"/>
  <c r="AH121" i="98" a="1"/>
  <c r="AH121" i="98" s="1"/>
  <c r="AG121" i="98" a="1"/>
  <c r="AG121" i="98" s="1"/>
  <c r="AF121" i="98" a="1"/>
  <c r="AF121" i="98" s="1"/>
  <c r="AE121" i="98" a="1"/>
  <c r="AE121" i="98" s="1"/>
  <c r="AD121" i="98" a="1"/>
  <c r="AD121" i="98" s="1"/>
  <c r="AC121" i="98" a="1"/>
  <c r="AC121" i="98" s="1"/>
  <c r="AB121" i="98" a="1"/>
  <c r="AB121" i="98" s="1"/>
  <c r="AA121" i="98" a="1"/>
  <c r="AA121" i="98" s="1"/>
  <c r="Z121" i="98" a="1"/>
  <c r="Z121" i="98" s="1"/>
  <c r="Y121" i="98" a="1"/>
  <c r="Y121" i="98" s="1"/>
  <c r="X121" i="98" a="1"/>
  <c r="X121" i="98" s="1"/>
  <c r="W121" i="98" a="1"/>
  <c r="W121" i="98" s="1"/>
  <c r="V121" i="98" a="1"/>
  <c r="V121" i="98" s="1"/>
  <c r="U121" i="98" a="1"/>
  <c r="U121" i="98" s="1"/>
  <c r="T121" i="98" a="1"/>
  <c r="T121" i="98" s="1"/>
  <c r="S121" i="98" a="1"/>
  <c r="S121" i="98" s="1"/>
  <c r="R121" i="98" a="1"/>
  <c r="R121" i="98" s="1"/>
  <c r="Q121" i="98" a="1"/>
  <c r="Q121" i="98" s="1"/>
  <c r="P121" i="98" a="1"/>
  <c r="P121" i="98" s="1"/>
  <c r="O121" i="98" a="1"/>
  <c r="O121" i="98" s="1"/>
  <c r="N121" i="98" a="1"/>
  <c r="N121" i="98" s="1"/>
  <c r="M121" i="98" a="1"/>
  <c r="M121" i="98" s="1"/>
  <c r="L121" i="98" a="1"/>
  <c r="L121" i="98" s="1"/>
  <c r="K121" i="98" a="1"/>
  <c r="K121" i="98" s="1"/>
  <c r="J121" i="98" a="1"/>
  <c r="J121" i="98" s="1"/>
  <c r="I121" i="98" a="1"/>
  <c r="I121" i="98" s="1"/>
  <c r="H121" i="98" a="1"/>
  <c r="H121" i="98" s="1"/>
  <c r="G121" i="98" a="1"/>
  <c r="G121" i="98" s="1"/>
  <c r="F121" i="98" a="1"/>
  <c r="F121" i="98" s="1"/>
  <c r="E121" i="98" a="1"/>
  <c r="E121" i="98" s="1"/>
  <c r="D121" i="98" a="1"/>
  <c r="D121" i="98" s="1"/>
  <c r="AH120" i="98" a="1"/>
  <c r="AH120" i="98" s="1"/>
  <c r="AG120" i="98" a="1"/>
  <c r="AG120" i="98" s="1"/>
  <c r="AF120" i="98" a="1"/>
  <c r="AF120" i="98" s="1"/>
  <c r="AE120" i="98" a="1"/>
  <c r="AE120" i="98" s="1"/>
  <c r="AD120" i="98" a="1"/>
  <c r="AD120" i="98" s="1"/>
  <c r="AC120" i="98" a="1"/>
  <c r="AC120" i="98" s="1"/>
  <c r="AB120" i="98" a="1"/>
  <c r="AB120" i="98" s="1"/>
  <c r="AA120" i="98" a="1"/>
  <c r="AA120" i="98" s="1"/>
  <c r="Z120" i="98" a="1"/>
  <c r="Z120" i="98" s="1"/>
  <c r="Y120" i="98" a="1"/>
  <c r="Y120" i="98" s="1"/>
  <c r="X120" i="98" a="1"/>
  <c r="X120" i="98" s="1"/>
  <c r="W120" i="98" a="1"/>
  <c r="W120" i="98" s="1"/>
  <c r="V120" i="98" a="1"/>
  <c r="V120" i="98" s="1"/>
  <c r="U120" i="98" a="1"/>
  <c r="U120" i="98" s="1"/>
  <c r="T120" i="98" a="1"/>
  <c r="T120" i="98" s="1"/>
  <c r="S120" i="98" a="1"/>
  <c r="S120" i="98" s="1"/>
  <c r="R120" i="98" a="1"/>
  <c r="R120" i="98" s="1"/>
  <c r="Q120" i="98" a="1"/>
  <c r="Q120" i="98" s="1"/>
  <c r="P120" i="98" a="1"/>
  <c r="P120" i="98" s="1"/>
  <c r="O120" i="98" a="1"/>
  <c r="O120" i="98" s="1"/>
  <c r="N120" i="98" a="1"/>
  <c r="N120" i="98" s="1"/>
  <c r="M120" i="98" a="1"/>
  <c r="M120" i="98" s="1"/>
  <c r="L120" i="98" a="1"/>
  <c r="L120" i="98" s="1"/>
  <c r="K120" i="98" a="1"/>
  <c r="K120" i="98" s="1"/>
  <c r="J120" i="98" a="1"/>
  <c r="J120" i="98" s="1"/>
  <c r="I120" i="98" a="1"/>
  <c r="I120" i="98" s="1"/>
  <c r="H120" i="98" a="1"/>
  <c r="H120" i="98" s="1"/>
  <c r="G120" i="98" a="1"/>
  <c r="G120" i="98" s="1"/>
  <c r="F120" i="98" a="1"/>
  <c r="F120" i="98" s="1"/>
  <c r="E120" i="98" a="1"/>
  <c r="E120" i="98" s="1"/>
  <c r="D120" i="98" a="1"/>
  <c r="D120" i="98" s="1"/>
  <c r="AH119" i="98" a="1"/>
  <c r="AH119" i="98" s="1"/>
  <c r="AG119" i="98" a="1"/>
  <c r="AG119" i="98" s="1"/>
  <c r="AF119" i="98" a="1"/>
  <c r="AF119" i="98" s="1"/>
  <c r="AE119" i="98" a="1"/>
  <c r="AE119" i="98" s="1"/>
  <c r="AD119" i="98" a="1"/>
  <c r="AD119" i="98" s="1"/>
  <c r="AC119" i="98" a="1"/>
  <c r="AC119" i="98" s="1"/>
  <c r="AB119" i="98" a="1"/>
  <c r="AB119" i="98" s="1"/>
  <c r="AA119" i="98" a="1"/>
  <c r="AA119" i="98" s="1"/>
  <c r="Z119" i="98" a="1"/>
  <c r="Z119" i="98" s="1"/>
  <c r="Y119" i="98" a="1"/>
  <c r="Y119" i="98" s="1"/>
  <c r="X119" i="98" a="1"/>
  <c r="X119" i="98" s="1"/>
  <c r="W119" i="98" a="1"/>
  <c r="W119" i="98" s="1"/>
  <c r="V119" i="98" a="1"/>
  <c r="V119" i="98" s="1"/>
  <c r="U119" i="98" a="1"/>
  <c r="U119" i="98" s="1"/>
  <c r="T119" i="98" a="1"/>
  <c r="T119" i="98" s="1"/>
  <c r="S119" i="98" a="1"/>
  <c r="S119" i="98" s="1"/>
  <c r="R119" i="98" a="1"/>
  <c r="R119" i="98" s="1"/>
  <c r="Q119" i="98" a="1"/>
  <c r="Q119" i="98" s="1"/>
  <c r="P119" i="98" a="1"/>
  <c r="P119" i="98" s="1"/>
  <c r="O119" i="98" a="1"/>
  <c r="O119" i="98" s="1"/>
  <c r="N119" i="98" a="1"/>
  <c r="N119" i="98" s="1"/>
  <c r="M119" i="98" a="1"/>
  <c r="M119" i="98" s="1"/>
  <c r="L119" i="98" a="1"/>
  <c r="L119" i="98" s="1"/>
  <c r="K119" i="98" a="1"/>
  <c r="K119" i="98" s="1"/>
  <c r="J119" i="98" a="1"/>
  <c r="J119" i="98" s="1"/>
  <c r="I119" i="98" a="1"/>
  <c r="I119" i="98" s="1"/>
  <c r="H119" i="98" a="1"/>
  <c r="H119" i="98" s="1"/>
  <c r="G119" i="98" a="1"/>
  <c r="G119" i="98" s="1"/>
  <c r="F119" i="98" a="1"/>
  <c r="F119" i="98" s="1"/>
  <c r="E119" i="98" a="1"/>
  <c r="E119" i="98" s="1"/>
  <c r="D119" i="98" a="1"/>
  <c r="D119" i="98" s="1"/>
  <c r="AH118" i="98" a="1"/>
  <c r="AH118" i="98" s="1"/>
  <c r="AG118" i="98" a="1"/>
  <c r="AG118" i="98" s="1"/>
  <c r="AF118" i="98" a="1"/>
  <c r="AF118" i="98" s="1"/>
  <c r="AE118" i="98" a="1"/>
  <c r="AE118" i="98" s="1"/>
  <c r="AD118" i="98" a="1"/>
  <c r="AD118" i="98" s="1"/>
  <c r="AC118" i="98" a="1"/>
  <c r="AC118" i="98" s="1"/>
  <c r="AB118" i="98" a="1"/>
  <c r="AB118" i="98" s="1"/>
  <c r="AA118" i="98" a="1"/>
  <c r="AA118" i="98" s="1"/>
  <c r="Z118" i="98" a="1"/>
  <c r="Z118" i="98" s="1"/>
  <c r="Y118" i="98" a="1"/>
  <c r="Y118" i="98" s="1"/>
  <c r="X118" i="98" a="1"/>
  <c r="X118" i="98" s="1"/>
  <c r="W118" i="98" a="1"/>
  <c r="W118" i="98" s="1"/>
  <c r="V118" i="98" a="1"/>
  <c r="V118" i="98" s="1"/>
  <c r="U118" i="98" a="1"/>
  <c r="U118" i="98" s="1"/>
  <c r="T118" i="98" a="1"/>
  <c r="T118" i="98" s="1"/>
  <c r="S118" i="98" a="1"/>
  <c r="S118" i="98" s="1"/>
  <c r="R118" i="98" a="1"/>
  <c r="R118" i="98" s="1"/>
  <c r="Q118" i="98" a="1"/>
  <c r="Q118" i="98" s="1"/>
  <c r="P118" i="98" a="1"/>
  <c r="P118" i="98" s="1"/>
  <c r="O118" i="98" a="1"/>
  <c r="O118" i="98" s="1"/>
  <c r="N118" i="98" a="1"/>
  <c r="N118" i="98" s="1"/>
  <c r="M118" i="98" a="1"/>
  <c r="M118" i="98" s="1"/>
  <c r="L118" i="98" a="1"/>
  <c r="L118" i="98" s="1"/>
  <c r="K118" i="98" a="1"/>
  <c r="K118" i="98" s="1"/>
  <c r="J118" i="98" a="1"/>
  <c r="J118" i="98" s="1"/>
  <c r="I118" i="98" a="1"/>
  <c r="I118" i="98" s="1"/>
  <c r="H118" i="98" a="1"/>
  <c r="H118" i="98" s="1"/>
  <c r="G118" i="98" a="1"/>
  <c r="G118" i="98" s="1"/>
  <c r="F118" i="98" a="1"/>
  <c r="F118" i="98" s="1"/>
  <c r="E118" i="98" a="1"/>
  <c r="E118" i="98" s="1"/>
  <c r="D118" i="98" a="1"/>
  <c r="D118" i="98" s="1"/>
  <c r="AH117" i="98" a="1"/>
  <c r="AH117" i="98" s="1"/>
  <c r="AG117" i="98" a="1"/>
  <c r="AG117" i="98" s="1"/>
  <c r="AF117" i="98" a="1"/>
  <c r="AF117" i="98" s="1"/>
  <c r="AE117" i="98" a="1"/>
  <c r="AE117" i="98" s="1"/>
  <c r="AD117" i="98" a="1"/>
  <c r="AD117" i="98" s="1"/>
  <c r="AC117" i="98" a="1"/>
  <c r="AC117" i="98" s="1"/>
  <c r="AB117" i="98" a="1"/>
  <c r="AB117" i="98" s="1"/>
  <c r="AA117" i="98" a="1"/>
  <c r="AA117" i="98" s="1"/>
  <c r="Z117" i="98" a="1"/>
  <c r="Z117" i="98" s="1"/>
  <c r="Y117" i="98" a="1"/>
  <c r="Y117" i="98" s="1"/>
  <c r="X117" i="98" a="1"/>
  <c r="X117" i="98" s="1"/>
  <c r="W117" i="98" a="1"/>
  <c r="W117" i="98" s="1"/>
  <c r="V117" i="98" a="1"/>
  <c r="V117" i="98" s="1"/>
  <c r="U117" i="98" a="1"/>
  <c r="U117" i="98" s="1"/>
  <c r="T117" i="98" a="1"/>
  <c r="T117" i="98" s="1"/>
  <c r="S117" i="98" a="1"/>
  <c r="S117" i="98" s="1"/>
  <c r="R117" i="98" a="1"/>
  <c r="R117" i="98" s="1"/>
  <c r="Q117" i="98" a="1"/>
  <c r="Q117" i="98" s="1"/>
  <c r="P117" i="98" a="1"/>
  <c r="P117" i="98" s="1"/>
  <c r="O117" i="98" a="1"/>
  <c r="O117" i="98" s="1"/>
  <c r="N117" i="98" a="1"/>
  <c r="N117" i="98" s="1"/>
  <c r="M117" i="98" a="1"/>
  <c r="M117" i="98" s="1"/>
  <c r="L117" i="98" a="1"/>
  <c r="L117" i="98" s="1"/>
  <c r="K117" i="98" a="1"/>
  <c r="K117" i="98" s="1"/>
  <c r="J117" i="98" a="1"/>
  <c r="J117" i="98" s="1"/>
  <c r="I117" i="98" a="1"/>
  <c r="I117" i="98" s="1"/>
  <c r="H117" i="98" a="1"/>
  <c r="H117" i="98" s="1"/>
  <c r="G117" i="98" a="1"/>
  <c r="G117" i="98" s="1"/>
  <c r="F117" i="98" a="1"/>
  <c r="F117" i="98" s="1"/>
  <c r="E117" i="98" a="1"/>
  <c r="E117" i="98" s="1"/>
  <c r="D117" i="98" a="1"/>
  <c r="D117" i="98" s="1"/>
  <c r="AH116" i="98" a="1"/>
  <c r="AH116" i="98" s="1"/>
  <c r="AG116" i="98" a="1"/>
  <c r="AG116" i="98" s="1"/>
  <c r="AF116" i="98" a="1"/>
  <c r="AF116" i="98" s="1"/>
  <c r="AE116" i="98" a="1"/>
  <c r="AE116" i="98" s="1"/>
  <c r="AD116" i="98" a="1"/>
  <c r="AD116" i="98" s="1"/>
  <c r="AC116" i="98" a="1"/>
  <c r="AC116" i="98" s="1"/>
  <c r="AB116" i="98" a="1"/>
  <c r="AB116" i="98" s="1"/>
  <c r="AA116" i="98" a="1"/>
  <c r="AA116" i="98" s="1"/>
  <c r="Z116" i="98" a="1"/>
  <c r="Z116" i="98" s="1"/>
  <c r="Y116" i="98" a="1"/>
  <c r="Y116" i="98" s="1"/>
  <c r="X116" i="98" a="1"/>
  <c r="X116" i="98" s="1"/>
  <c r="W116" i="98" a="1"/>
  <c r="W116" i="98" s="1"/>
  <c r="V116" i="98" a="1"/>
  <c r="V116" i="98" s="1"/>
  <c r="U116" i="98" a="1"/>
  <c r="U116" i="98" s="1"/>
  <c r="T116" i="98" a="1"/>
  <c r="T116" i="98" s="1"/>
  <c r="S116" i="98" a="1"/>
  <c r="S116" i="98" s="1"/>
  <c r="R116" i="98" a="1"/>
  <c r="R116" i="98" s="1"/>
  <c r="Q116" i="98" a="1"/>
  <c r="Q116" i="98" s="1"/>
  <c r="P116" i="98" a="1"/>
  <c r="P116" i="98" s="1"/>
  <c r="O116" i="98" a="1"/>
  <c r="O116" i="98" s="1"/>
  <c r="N116" i="98" a="1"/>
  <c r="N116" i="98" s="1"/>
  <c r="M116" i="98" a="1"/>
  <c r="M116" i="98" s="1"/>
  <c r="L116" i="98" a="1"/>
  <c r="L116" i="98" s="1"/>
  <c r="K116" i="98" a="1"/>
  <c r="K116" i="98" s="1"/>
  <c r="J116" i="98" a="1"/>
  <c r="J116" i="98" s="1"/>
  <c r="I116" i="98" a="1"/>
  <c r="I116" i="98" s="1"/>
  <c r="H116" i="98" a="1"/>
  <c r="H116" i="98" s="1"/>
  <c r="G116" i="98" a="1"/>
  <c r="G116" i="98" s="1"/>
  <c r="F116" i="98" a="1"/>
  <c r="F116" i="98" s="1"/>
  <c r="E116" i="98" a="1"/>
  <c r="E116" i="98" s="1"/>
  <c r="D116" i="98" a="1"/>
  <c r="D116" i="98" s="1"/>
  <c r="AH115" i="98" a="1"/>
  <c r="AH115" i="98" s="1"/>
  <c r="AG115" i="98" a="1"/>
  <c r="AG115" i="98" s="1"/>
  <c r="AF115" i="98" a="1"/>
  <c r="AF115" i="98" s="1"/>
  <c r="AE115" i="98" a="1"/>
  <c r="AE115" i="98" s="1"/>
  <c r="AD115" i="98" a="1"/>
  <c r="AD115" i="98" s="1"/>
  <c r="AC115" i="98" a="1"/>
  <c r="AC115" i="98" s="1"/>
  <c r="AB115" i="98" a="1"/>
  <c r="AB115" i="98" s="1"/>
  <c r="AA115" i="98" a="1"/>
  <c r="AA115" i="98" s="1"/>
  <c r="Z115" i="98" a="1"/>
  <c r="Z115" i="98" s="1"/>
  <c r="Y115" i="98" a="1"/>
  <c r="Y115" i="98" s="1"/>
  <c r="X115" i="98" a="1"/>
  <c r="X115" i="98" s="1"/>
  <c r="W115" i="98" a="1"/>
  <c r="W115" i="98" s="1"/>
  <c r="V115" i="98" a="1"/>
  <c r="V115" i="98" s="1"/>
  <c r="U115" i="98" a="1"/>
  <c r="U115" i="98" s="1"/>
  <c r="T115" i="98" a="1"/>
  <c r="T115" i="98" s="1"/>
  <c r="S115" i="98" a="1"/>
  <c r="S115" i="98" s="1"/>
  <c r="R115" i="98" a="1"/>
  <c r="R115" i="98" s="1"/>
  <c r="Q115" i="98" a="1"/>
  <c r="Q115" i="98" s="1"/>
  <c r="P115" i="98" a="1"/>
  <c r="P115" i="98" s="1"/>
  <c r="O115" i="98" a="1"/>
  <c r="O115" i="98" s="1"/>
  <c r="N115" i="98" a="1"/>
  <c r="N115" i="98" s="1"/>
  <c r="M115" i="98" a="1"/>
  <c r="M115" i="98" s="1"/>
  <c r="L115" i="98" a="1"/>
  <c r="L115" i="98" s="1"/>
  <c r="K115" i="98" a="1"/>
  <c r="K115" i="98" s="1"/>
  <c r="J115" i="98" a="1"/>
  <c r="J115" i="98" s="1"/>
  <c r="I115" i="98" a="1"/>
  <c r="I115" i="98" s="1"/>
  <c r="H115" i="98" a="1"/>
  <c r="H115" i="98" s="1"/>
  <c r="G115" i="98" a="1"/>
  <c r="G115" i="98" s="1"/>
  <c r="F115" i="98" a="1"/>
  <c r="F115" i="98" s="1"/>
  <c r="E115" i="98" a="1"/>
  <c r="E115" i="98" s="1"/>
  <c r="D115" i="98" a="1"/>
  <c r="D115" i="98" s="1"/>
  <c r="AH114" i="98" a="1"/>
  <c r="AH114" i="98" s="1"/>
  <c r="AG114" i="98" a="1"/>
  <c r="AG114" i="98" s="1"/>
  <c r="AF114" i="98" a="1"/>
  <c r="AF114" i="98" s="1"/>
  <c r="AE114" i="98" a="1"/>
  <c r="AE114" i="98" s="1"/>
  <c r="AD114" i="98" a="1"/>
  <c r="AD114" i="98" s="1"/>
  <c r="AC114" i="98" a="1"/>
  <c r="AC114" i="98" s="1"/>
  <c r="AB114" i="98" a="1"/>
  <c r="AB114" i="98" s="1"/>
  <c r="AA114" i="98" a="1"/>
  <c r="AA114" i="98" s="1"/>
  <c r="Z114" i="98" a="1"/>
  <c r="Z114" i="98" s="1"/>
  <c r="Y114" i="98" a="1"/>
  <c r="Y114" i="98" s="1"/>
  <c r="X114" i="98" a="1"/>
  <c r="X114" i="98" s="1"/>
  <c r="W114" i="98" a="1"/>
  <c r="W114" i="98" s="1"/>
  <c r="V114" i="98" a="1"/>
  <c r="V114" i="98" s="1"/>
  <c r="U114" i="98" a="1"/>
  <c r="U114" i="98" s="1"/>
  <c r="T114" i="98" a="1"/>
  <c r="T114" i="98" s="1"/>
  <c r="S114" i="98" a="1"/>
  <c r="S114" i="98" s="1"/>
  <c r="R114" i="98" a="1"/>
  <c r="R114" i="98" s="1"/>
  <c r="Q114" i="98" a="1"/>
  <c r="Q114" i="98" s="1"/>
  <c r="P114" i="98" a="1"/>
  <c r="P114" i="98" s="1"/>
  <c r="O114" i="98" a="1"/>
  <c r="O114" i="98" s="1"/>
  <c r="N114" i="98" a="1"/>
  <c r="N114" i="98" s="1"/>
  <c r="M114" i="98" a="1"/>
  <c r="M114" i="98" s="1"/>
  <c r="L114" i="98" a="1"/>
  <c r="L114" i="98" s="1"/>
  <c r="K114" i="98" a="1"/>
  <c r="K114" i="98" s="1"/>
  <c r="J114" i="98" a="1"/>
  <c r="J114" i="98" s="1"/>
  <c r="I114" i="98" a="1"/>
  <c r="I114" i="98" s="1"/>
  <c r="H114" i="98" a="1"/>
  <c r="H114" i="98" s="1"/>
  <c r="G114" i="98" a="1"/>
  <c r="G114" i="98" s="1"/>
  <c r="F114" i="98" a="1"/>
  <c r="F114" i="98" s="1"/>
  <c r="E114" i="98" a="1"/>
  <c r="E114" i="98" s="1"/>
  <c r="D114" i="98" a="1"/>
  <c r="D114" i="98" s="1"/>
  <c r="AH113" i="98" a="1"/>
  <c r="AH113" i="98" s="1"/>
  <c r="AG113" i="98" a="1"/>
  <c r="AG113" i="98" s="1"/>
  <c r="AF113" i="98" a="1"/>
  <c r="AF113" i="98" s="1"/>
  <c r="AE113" i="98" a="1"/>
  <c r="AE113" i="98" s="1"/>
  <c r="AD113" i="98" a="1"/>
  <c r="AD113" i="98" s="1"/>
  <c r="AC113" i="98" a="1"/>
  <c r="AC113" i="98" s="1"/>
  <c r="AB113" i="98" a="1"/>
  <c r="AB113" i="98" s="1"/>
  <c r="AA113" i="98" a="1"/>
  <c r="AA113" i="98" s="1"/>
  <c r="Z113" i="98" a="1"/>
  <c r="Z113" i="98" s="1"/>
  <c r="Y113" i="98" a="1"/>
  <c r="Y113" i="98" s="1"/>
  <c r="X113" i="98" a="1"/>
  <c r="X113" i="98" s="1"/>
  <c r="W113" i="98" a="1"/>
  <c r="W113" i="98" s="1"/>
  <c r="V113" i="98" a="1"/>
  <c r="V113" i="98" s="1"/>
  <c r="U113" i="98" a="1"/>
  <c r="U113" i="98" s="1"/>
  <c r="T113" i="98" a="1"/>
  <c r="T113" i="98" s="1"/>
  <c r="S113" i="98" a="1"/>
  <c r="S113" i="98" s="1"/>
  <c r="R113" i="98" a="1"/>
  <c r="R113" i="98" s="1"/>
  <c r="Q113" i="98" a="1"/>
  <c r="Q113" i="98" s="1"/>
  <c r="P113" i="98" a="1"/>
  <c r="P113" i="98" s="1"/>
  <c r="O113" i="98" a="1"/>
  <c r="O113" i="98" s="1"/>
  <c r="N113" i="98" a="1"/>
  <c r="N113" i="98" s="1"/>
  <c r="M113" i="98" a="1"/>
  <c r="M113" i="98" s="1"/>
  <c r="L113" i="98" a="1"/>
  <c r="L113" i="98" s="1"/>
  <c r="K113" i="98" a="1"/>
  <c r="K113" i="98" s="1"/>
  <c r="J113" i="98" a="1"/>
  <c r="J113" i="98" s="1"/>
  <c r="I113" i="98" a="1"/>
  <c r="I113" i="98" s="1"/>
  <c r="H113" i="98" a="1"/>
  <c r="H113" i="98" s="1"/>
  <c r="G113" i="98" a="1"/>
  <c r="G113" i="98" s="1"/>
  <c r="F113" i="98" a="1"/>
  <c r="F113" i="98" s="1"/>
  <c r="E113" i="98" a="1"/>
  <c r="E113" i="98" s="1"/>
  <c r="D113" i="98" a="1"/>
  <c r="D113" i="98" s="1"/>
  <c r="AH112" i="98" a="1"/>
  <c r="AH112" i="98" s="1"/>
  <c r="AG112" i="98" a="1"/>
  <c r="AG112" i="98" s="1"/>
  <c r="AF112" i="98" a="1"/>
  <c r="AF112" i="98" s="1"/>
  <c r="AE112" i="98" a="1"/>
  <c r="AE112" i="98" s="1"/>
  <c r="AD112" i="98" a="1"/>
  <c r="AD112" i="98" s="1"/>
  <c r="AC112" i="98" a="1"/>
  <c r="AC112" i="98" s="1"/>
  <c r="AB112" i="98" a="1"/>
  <c r="AB112" i="98" s="1"/>
  <c r="AA112" i="98" a="1"/>
  <c r="AA112" i="98" s="1"/>
  <c r="Z112" i="98" a="1"/>
  <c r="Z112" i="98" s="1"/>
  <c r="Y112" i="98" a="1"/>
  <c r="Y112" i="98" s="1"/>
  <c r="X112" i="98" a="1"/>
  <c r="X112" i="98" s="1"/>
  <c r="W112" i="98" a="1"/>
  <c r="W112" i="98" s="1"/>
  <c r="V112" i="98" a="1"/>
  <c r="V112" i="98" s="1"/>
  <c r="U112" i="98" a="1"/>
  <c r="U112" i="98" s="1"/>
  <c r="T112" i="98" a="1"/>
  <c r="T112" i="98" s="1"/>
  <c r="S112" i="98" a="1"/>
  <c r="S112" i="98" s="1"/>
  <c r="R112" i="98" a="1"/>
  <c r="R112" i="98" s="1"/>
  <c r="Q112" i="98" a="1"/>
  <c r="Q112" i="98" s="1"/>
  <c r="P112" i="98" a="1"/>
  <c r="P112" i="98" s="1"/>
  <c r="O112" i="98" a="1"/>
  <c r="O112" i="98" s="1"/>
  <c r="N112" i="98" a="1"/>
  <c r="N112" i="98" s="1"/>
  <c r="M112" i="98" a="1"/>
  <c r="M112" i="98" s="1"/>
  <c r="L112" i="98" a="1"/>
  <c r="L112" i="98" s="1"/>
  <c r="K112" i="98" a="1"/>
  <c r="K112" i="98" s="1"/>
  <c r="J112" i="98" a="1"/>
  <c r="J112" i="98" s="1"/>
  <c r="I112" i="98" a="1"/>
  <c r="I112" i="98" s="1"/>
  <c r="H112" i="98" a="1"/>
  <c r="H112" i="98" s="1"/>
  <c r="G112" i="98" a="1"/>
  <c r="G112" i="98" s="1"/>
  <c r="F112" i="98" a="1"/>
  <c r="F112" i="98" s="1"/>
  <c r="E112" i="98" a="1"/>
  <c r="E112" i="98" s="1"/>
  <c r="D112" i="98" a="1"/>
  <c r="D112" i="98" s="1"/>
  <c r="AH111" i="98" a="1"/>
  <c r="AH111" i="98" s="1"/>
  <c r="AG111" i="98" a="1"/>
  <c r="AG111" i="98" s="1"/>
  <c r="AF111" i="98" a="1"/>
  <c r="AF111" i="98" s="1"/>
  <c r="AE111" i="98" a="1"/>
  <c r="AE111" i="98" s="1"/>
  <c r="AD111" i="98" a="1"/>
  <c r="AD111" i="98" s="1"/>
  <c r="AC111" i="98" a="1"/>
  <c r="AC111" i="98" s="1"/>
  <c r="AB111" i="98" a="1"/>
  <c r="AB111" i="98" s="1"/>
  <c r="AA111" i="98" a="1"/>
  <c r="AA111" i="98" s="1"/>
  <c r="Z111" i="98" a="1"/>
  <c r="Z111" i="98" s="1"/>
  <c r="Y111" i="98" a="1"/>
  <c r="Y111" i="98" s="1"/>
  <c r="X111" i="98" a="1"/>
  <c r="X111" i="98" s="1"/>
  <c r="W111" i="98" a="1"/>
  <c r="W111" i="98" s="1"/>
  <c r="V111" i="98" a="1"/>
  <c r="V111" i="98" s="1"/>
  <c r="U111" i="98" a="1"/>
  <c r="U111" i="98" s="1"/>
  <c r="T111" i="98" a="1"/>
  <c r="T111" i="98" s="1"/>
  <c r="S111" i="98" a="1"/>
  <c r="S111" i="98" s="1"/>
  <c r="R111" i="98" a="1"/>
  <c r="R111" i="98" s="1"/>
  <c r="Q111" i="98" a="1"/>
  <c r="Q111" i="98" s="1"/>
  <c r="P111" i="98" a="1"/>
  <c r="P111" i="98" s="1"/>
  <c r="O111" i="98" a="1"/>
  <c r="O111" i="98" s="1"/>
  <c r="N111" i="98" a="1"/>
  <c r="N111" i="98" s="1"/>
  <c r="M111" i="98" a="1"/>
  <c r="M111" i="98" s="1"/>
  <c r="L111" i="98" a="1"/>
  <c r="L111" i="98" s="1"/>
  <c r="K111" i="98" a="1"/>
  <c r="K111" i="98" s="1"/>
  <c r="J111" i="98" a="1"/>
  <c r="J111" i="98" s="1"/>
  <c r="I111" i="98" a="1"/>
  <c r="I111" i="98" s="1"/>
  <c r="H111" i="98" a="1"/>
  <c r="H111" i="98" s="1"/>
  <c r="G111" i="98" a="1"/>
  <c r="G111" i="98" s="1"/>
  <c r="F111" i="98" a="1"/>
  <c r="F111" i="98" s="1"/>
  <c r="E111" i="98" a="1"/>
  <c r="E111" i="98" s="1"/>
  <c r="D111" i="98" a="1"/>
  <c r="D111" i="98" s="1"/>
  <c r="AH110" i="98" a="1"/>
  <c r="AH110" i="98" s="1"/>
  <c r="AG110" i="98" a="1"/>
  <c r="AG110" i="98" s="1"/>
  <c r="AF110" i="98" a="1"/>
  <c r="AF110" i="98" s="1"/>
  <c r="AE110" i="98" a="1"/>
  <c r="AE110" i="98" s="1"/>
  <c r="AD110" i="98" a="1"/>
  <c r="AD110" i="98" s="1"/>
  <c r="AC110" i="98" a="1"/>
  <c r="AC110" i="98" s="1"/>
  <c r="AB110" i="98" a="1"/>
  <c r="AB110" i="98" s="1"/>
  <c r="AA110" i="98" a="1"/>
  <c r="AA110" i="98" s="1"/>
  <c r="Z110" i="98" a="1"/>
  <c r="Z110" i="98" s="1"/>
  <c r="Y110" i="98" a="1"/>
  <c r="Y110" i="98" s="1"/>
  <c r="X110" i="98" a="1"/>
  <c r="X110" i="98" s="1"/>
  <c r="W110" i="98" a="1"/>
  <c r="W110" i="98" s="1"/>
  <c r="V110" i="98" a="1"/>
  <c r="V110" i="98" s="1"/>
  <c r="U110" i="98" a="1"/>
  <c r="U110" i="98" s="1"/>
  <c r="T110" i="98" a="1"/>
  <c r="T110" i="98" s="1"/>
  <c r="S110" i="98" a="1"/>
  <c r="S110" i="98" s="1"/>
  <c r="R110" i="98" a="1"/>
  <c r="R110" i="98" s="1"/>
  <c r="Q110" i="98" a="1"/>
  <c r="Q110" i="98" s="1"/>
  <c r="P110" i="98" a="1"/>
  <c r="P110" i="98" s="1"/>
  <c r="O110" i="98" a="1"/>
  <c r="O110" i="98" s="1"/>
  <c r="N110" i="98" a="1"/>
  <c r="N110" i="98" s="1"/>
  <c r="M110" i="98" a="1"/>
  <c r="M110" i="98" s="1"/>
  <c r="L110" i="98" a="1"/>
  <c r="L110" i="98" s="1"/>
  <c r="K110" i="98" a="1"/>
  <c r="K110" i="98" s="1"/>
  <c r="J110" i="98" a="1"/>
  <c r="J110" i="98" s="1"/>
  <c r="I110" i="98" a="1"/>
  <c r="I110" i="98" s="1"/>
  <c r="H110" i="98" a="1"/>
  <c r="H110" i="98" s="1"/>
  <c r="G110" i="98" a="1"/>
  <c r="G110" i="98" s="1"/>
  <c r="F110" i="98" a="1"/>
  <c r="F110" i="98" s="1"/>
  <c r="E110" i="98" a="1"/>
  <c r="E110" i="98" s="1"/>
  <c r="D110" i="98" a="1"/>
  <c r="D110" i="98" s="1"/>
  <c r="AH109" i="98" a="1"/>
  <c r="AH109" i="98" s="1"/>
  <c r="AG109" i="98" a="1"/>
  <c r="AG109" i="98" s="1"/>
  <c r="AF109" i="98" a="1"/>
  <c r="AF109" i="98" s="1"/>
  <c r="AE109" i="98" a="1"/>
  <c r="AE109" i="98" s="1"/>
  <c r="AD109" i="98" a="1"/>
  <c r="AD109" i="98" s="1"/>
  <c r="AC109" i="98" a="1"/>
  <c r="AC109" i="98" s="1"/>
  <c r="AB109" i="98" a="1"/>
  <c r="AB109" i="98" s="1"/>
  <c r="AA109" i="98" a="1"/>
  <c r="AA109" i="98" s="1"/>
  <c r="Z109" i="98" a="1"/>
  <c r="Z109" i="98" s="1"/>
  <c r="Y109" i="98" a="1"/>
  <c r="Y109" i="98" s="1"/>
  <c r="X109" i="98" a="1"/>
  <c r="X109" i="98" s="1"/>
  <c r="W109" i="98" a="1"/>
  <c r="W109" i="98" s="1"/>
  <c r="V109" i="98" a="1"/>
  <c r="V109" i="98" s="1"/>
  <c r="U109" i="98" a="1"/>
  <c r="U109" i="98" s="1"/>
  <c r="T109" i="98" a="1"/>
  <c r="T109" i="98" s="1"/>
  <c r="S109" i="98" a="1"/>
  <c r="S109" i="98" s="1"/>
  <c r="R109" i="98" a="1"/>
  <c r="R109" i="98" s="1"/>
  <c r="Q109" i="98" a="1"/>
  <c r="Q109" i="98" s="1"/>
  <c r="P109" i="98" a="1"/>
  <c r="P109" i="98" s="1"/>
  <c r="O109" i="98" a="1"/>
  <c r="O109" i="98" s="1"/>
  <c r="N109" i="98" a="1"/>
  <c r="N109" i="98" s="1"/>
  <c r="M109" i="98" a="1"/>
  <c r="M109" i="98" s="1"/>
  <c r="L109" i="98" a="1"/>
  <c r="L109" i="98" s="1"/>
  <c r="K109" i="98" a="1"/>
  <c r="K109" i="98" s="1"/>
  <c r="J109" i="98" a="1"/>
  <c r="J109" i="98" s="1"/>
  <c r="I109" i="98" a="1"/>
  <c r="I109" i="98" s="1"/>
  <c r="H109" i="98" a="1"/>
  <c r="H109" i="98" s="1"/>
  <c r="G109" i="98" a="1"/>
  <c r="G109" i="98" s="1"/>
  <c r="F109" i="98" a="1"/>
  <c r="F109" i="98" s="1"/>
  <c r="E109" i="98" a="1"/>
  <c r="E109" i="98" s="1"/>
  <c r="D109" i="98" a="1"/>
  <c r="D109" i="98" s="1"/>
  <c r="AH108" i="98" a="1"/>
  <c r="AH108" i="98" s="1"/>
  <c r="AG108" i="98" a="1"/>
  <c r="AG108" i="98" s="1"/>
  <c r="AF108" i="98" a="1"/>
  <c r="AF108" i="98" s="1"/>
  <c r="AE108" i="98" a="1"/>
  <c r="AE108" i="98" s="1"/>
  <c r="AD108" i="98" a="1"/>
  <c r="AD108" i="98" s="1"/>
  <c r="AC108" i="98" a="1"/>
  <c r="AC108" i="98" s="1"/>
  <c r="AB108" i="98" a="1"/>
  <c r="AB108" i="98" s="1"/>
  <c r="AA108" i="98" a="1"/>
  <c r="AA108" i="98" s="1"/>
  <c r="Z108" i="98" a="1"/>
  <c r="Z108" i="98" s="1"/>
  <c r="Y108" i="98" a="1"/>
  <c r="Y108" i="98" s="1"/>
  <c r="X108" i="98" a="1"/>
  <c r="X108" i="98" s="1"/>
  <c r="W108" i="98" a="1"/>
  <c r="W108" i="98" s="1"/>
  <c r="V108" i="98" a="1"/>
  <c r="V108" i="98" s="1"/>
  <c r="U108" i="98" a="1"/>
  <c r="U108" i="98" s="1"/>
  <c r="T108" i="98" a="1"/>
  <c r="T108" i="98" s="1"/>
  <c r="S108" i="98" a="1"/>
  <c r="S108" i="98" s="1"/>
  <c r="R108" i="98" a="1"/>
  <c r="R108" i="98" s="1"/>
  <c r="Q108" i="98" a="1"/>
  <c r="Q108" i="98" s="1"/>
  <c r="P108" i="98" a="1"/>
  <c r="P108" i="98" s="1"/>
  <c r="O108" i="98" a="1"/>
  <c r="O108" i="98" s="1"/>
  <c r="N108" i="98" a="1"/>
  <c r="N108" i="98" s="1"/>
  <c r="M108" i="98" a="1"/>
  <c r="M108" i="98" s="1"/>
  <c r="L108" i="98" a="1"/>
  <c r="L108" i="98" s="1"/>
  <c r="K108" i="98" a="1"/>
  <c r="K108" i="98" s="1"/>
  <c r="J108" i="98" a="1"/>
  <c r="J108" i="98" s="1"/>
  <c r="I108" i="98" a="1"/>
  <c r="I108" i="98" s="1"/>
  <c r="H108" i="98" a="1"/>
  <c r="H108" i="98" s="1"/>
  <c r="G108" i="98" a="1"/>
  <c r="G108" i="98" s="1"/>
  <c r="F108" i="98" a="1"/>
  <c r="F108" i="98" s="1"/>
  <c r="E108" i="98" a="1"/>
  <c r="E108" i="98" s="1"/>
  <c r="D108" i="98" a="1"/>
  <c r="D108" i="98" s="1"/>
  <c r="AH107" i="98" a="1"/>
  <c r="AH107" i="98" s="1"/>
  <c r="AG107" i="98" a="1"/>
  <c r="AG107" i="98" s="1"/>
  <c r="AF107" i="98" a="1"/>
  <c r="AF107" i="98" s="1"/>
  <c r="AE107" i="98" a="1"/>
  <c r="AE107" i="98" s="1"/>
  <c r="AD107" i="98" a="1"/>
  <c r="AD107" i="98" s="1"/>
  <c r="AC107" i="98" a="1"/>
  <c r="AC107" i="98" s="1"/>
  <c r="AB107" i="98" a="1"/>
  <c r="AB107" i="98" s="1"/>
  <c r="AA107" i="98" a="1"/>
  <c r="AA107" i="98" s="1"/>
  <c r="Z107" i="98" a="1"/>
  <c r="Z107" i="98" s="1"/>
  <c r="Y107" i="98" a="1"/>
  <c r="Y107" i="98" s="1"/>
  <c r="X107" i="98" a="1"/>
  <c r="X107" i="98" s="1"/>
  <c r="W107" i="98" a="1"/>
  <c r="W107" i="98" s="1"/>
  <c r="V107" i="98" a="1"/>
  <c r="V107" i="98" s="1"/>
  <c r="U107" i="98" a="1"/>
  <c r="U107" i="98" s="1"/>
  <c r="T107" i="98" a="1"/>
  <c r="T107" i="98" s="1"/>
  <c r="S107" i="98" a="1"/>
  <c r="S107" i="98" s="1"/>
  <c r="R107" i="98" a="1"/>
  <c r="R107" i="98" s="1"/>
  <c r="Q107" i="98" a="1"/>
  <c r="Q107" i="98" s="1"/>
  <c r="P107" i="98" a="1"/>
  <c r="P107" i="98" s="1"/>
  <c r="O107" i="98" a="1"/>
  <c r="O107" i="98" s="1"/>
  <c r="N107" i="98" a="1"/>
  <c r="N107" i="98" s="1"/>
  <c r="M107" i="98" a="1"/>
  <c r="M107" i="98" s="1"/>
  <c r="L107" i="98" a="1"/>
  <c r="L107" i="98" s="1"/>
  <c r="K107" i="98" a="1"/>
  <c r="K107" i="98" s="1"/>
  <c r="J107" i="98" a="1"/>
  <c r="J107" i="98" s="1"/>
  <c r="I107" i="98" a="1"/>
  <c r="I107" i="98" s="1"/>
  <c r="H107" i="98" a="1"/>
  <c r="H107" i="98" s="1"/>
  <c r="G107" i="98" a="1"/>
  <c r="G107" i="98" s="1"/>
  <c r="F107" i="98" a="1"/>
  <c r="F107" i="98" s="1"/>
  <c r="E107" i="98" a="1"/>
  <c r="E107" i="98" s="1"/>
  <c r="D107" i="98" a="1"/>
  <c r="D107" i="98" s="1"/>
  <c r="AH106" i="98" a="1"/>
  <c r="AH106" i="98" s="1"/>
  <c r="AG106" i="98" a="1"/>
  <c r="AG106" i="98" s="1"/>
  <c r="AF106" i="98" a="1"/>
  <c r="AF106" i="98" s="1"/>
  <c r="AE106" i="98" a="1"/>
  <c r="AE106" i="98" s="1"/>
  <c r="AD106" i="98" a="1"/>
  <c r="AD106" i="98" s="1"/>
  <c r="AC106" i="98" a="1"/>
  <c r="AC106" i="98" s="1"/>
  <c r="AB106" i="98" a="1"/>
  <c r="AB106" i="98" s="1"/>
  <c r="AA106" i="98" a="1"/>
  <c r="AA106" i="98" s="1"/>
  <c r="Z106" i="98" a="1"/>
  <c r="Z106" i="98" s="1"/>
  <c r="Y106" i="98" a="1"/>
  <c r="Y106" i="98" s="1"/>
  <c r="X106" i="98" a="1"/>
  <c r="X106" i="98" s="1"/>
  <c r="W106" i="98" a="1"/>
  <c r="W106" i="98" s="1"/>
  <c r="V106" i="98" a="1"/>
  <c r="V106" i="98" s="1"/>
  <c r="U106" i="98" a="1"/>
  <c r="U106" i="98" s="1"/>
  <c r="T106" i="98" a="1"/>
  <c r="T106" i="98" s="1"/>
  <c r="S106" i="98" a="1"/>
  <c r="S106" i="98" s="1"/>
  <c r="R106" i="98" a="1"/>
  <c r="R106" i="98" s="1"/>
  <c r="Q106" i="98" a="1"/>
  <c r="Q106" i="98" s="1"/>
  <c r="P106" i="98" a="1"/>
  <c r="P106" i="98" s="1"/>
  <c r="O106" i="98" a="1"/>
  <c r="O106" i="98" s="1"/>
  <c r="N106" i="98" a="1"/>
  <c r="N106" i="98" s="1"/>
  <c r="M106" i="98" a="1"/>
  <c r="M106" i="98" s="1"/>
  <c r="L106" i="98" a="1"/>
  <c r="L106" i="98" s="1"/>
  <c r="K106" i="98" a="1"/>
  <c r="K106" i="98" s="1"/>
  <c r="J106" i="98" a="1"/>
  <c r="J106" i="98" s="1"/>
  <c r="I106" i="98" a="1"/>
  <c r="I106" i="98" s="1"/>
  <c r="H106" i="98" a="1"/>
  <c r="H106" i="98" s="1"/>
  <c r="G106" i="98" a="1"/>
  <c r="G106" i="98" s="1"/>
  <c r="F106" i="98" a="1"/>
  <c r="F106" i="98" s="1"/>
  <c r="E106" i="98" a="1"/>
  <c r="E106" i="98" s="1"/>
  <c r="D106" i="98" a="1"/>
  <c r="D106" i="98" s="1"/>
  <c r="AH105" i="98" a="1"/>
  <c r="AH105" i="98" s="1"/>
  <c r="AG105" i="98" a="1"/>
  <c r="AG105" i="98" s="1"/>
  <c r="AF105" i="98" a="1"/>
  <c r="AF105" i="98" s="1"/>
  <c r="AE105" i="98" a="1"/>
  <c r="AE105" i="98" s="1"/>
  <c r="AD105" i="98" a="1"/>
  <c r="AD105" i="98" s="1"/>
  <c r="AC105" i="98" a="1"/>
  <c r="AC105" i="98" s="1"/>
  <c r="AB105" i="98" a="1"/>
  <c r="AB105" i="98" s="1"/>
  <c r="AA105" i="98" a="1"/>
  <c r="AA105" i="98" s="1"/>
  <c r="Z105" i="98" a="1"/>
  <c r="Z105" i="98" s="1"/>
  <c r="Y105" i="98" a="1"/>
  <c r="Y105" i="98" s="1"/>
  <c r="X105" i="98" a="1"/>
  <c r="X105" i="98" s="1"/>
  <c r="W105" i="98" a="1"/>
  <c r="W105" i="98" s="1"/>
  <c r="V105" i="98" a="1"/>
  <c r="V105" i="98" s="1"/>
  <c r="U105" i="98" a="1"/>
  <c r="U105" i="98" s="1"/>
  <c r="T105" i="98" a="1"/>
  <c r="T105" i="98" s="1"/>
  <c r="S105" i="98" a="1"/>
  <c r="S105" i="98" s="1"/>
  <c r="R105" i="98" a="1"/>
  <c r="R105" i="98" s="1"/>
  <c r="Q105" i="98" a="1"/>
  <c r="Q105" i="98" s="1"/>
  <c r="P105" i="98" a="1"/>
  <c r="P105" i="98" s="1"/>
  <c r="O105" i="98" a="1"/>
  <c r="O105" i="98" s="1"/>
  <c r="N105" i="98" a="1"/>
  <c r="N105" i="98" s="1"/>
  <c r="M105" i="98" a="1"/>
  <c r="M105" i="98" s="1"/>
  <c r="L105" i="98" a="1"/>
  <c r="L105" i="98" s="1"/>
  <c r="K105" i="98" a="1"/>
  <c r="K105" i="98" s="1"/>
  <c r="J105" i="98" a="1"/>
  <c r="J105" i="98" s="1"/>
  <c r="I105" i="98" a="1"/>
  <c r="I105" i="98" s="1"/>
  <c r="H105" i="98" a="1"/>
  <c r="H105" i="98" s="1"/>
  <c r="G105" i="98" a="1"/>
  <c r="G105" i="98" s="1"/>
  <c r="F105" i="98" a="1"/>
  <c r="F105" i="98" s="1"/>
  <c r="E105" i="98" a="1"/>
  <c r="E105" i="98" s="1"/>
  <c r="D105" i="98" a="1"/>
  <c r="D105" i="98" s="1"/>
  <c r="AH104" i="98" a="1"/>
  <c r="AH104" i="98" s="1"/>
  <c r="AG104" i="98" a="1"/>
  <c r="AG104" i="98" s="1"/>
  <c r="AF104" i="98" a="1"/>
  <c r="AF104" i="98" s="1"/>
  <c r="AE104" i="98" a="1"/>
  <c r="AE104" i="98" s="1"/>
  <c r="AD104" i="98" a="1"/>
  <c r="AD104" i="98" s="1"/>
  <c r="AC104" i="98" a="1"/>
  <c r="AC104" i="98" s="1"/>
  <c r="AB104" i="98" a="1"/>
  <c r="AB104" i="98" s="1"/>
  <c r="AA104" i="98" a="1"/>
  <c r="AA104" i="98" s="1"/>
  <c r="Z104" i="98" a="1"/>
  <c r="Z104" i="98" s="1"/>
  <c r="Y104" i="98" a="1"/>
  <c r="Y104" i="98" s="1"/>
  <c r="X104" i="98" a="1"/>
  <c r="X104" i="98" s="1"/>
  <c r="W104" i="98" a="1"/>
  <c r="W104" i="98" s="1"/>
  <c r="V104" i="98" a="1"/>
  <c r="V104" i="98" s="1"/>
  <c r="U104" i="98" a="1"/>
  <c r="U104" i="98" s="1"/>
  <c r="T104" i="98" a="1"/>
  <c r="T104" i="98" s="1"/>
  <c r="S104" i="98" a="1"/>
  <c r="S104" i="98" s="1"/>
  <c r="R104" i="98" a="1"/>
  <c r="R104" i="98" s="1"/>
  <c r="Q104" i="98" a="1"/>
  <c r="Q104" i="98" s="1"/>
  <c r="P104" i="98" a="1"/>
  <c r="P104" i="98" s="1"/>
  <c r="O104" i="98" a="1"/>
  <c r="O104" i="98" s="1"/>
  <c r="N104" i="98" a="1"/>
  <c r="N104" i="98" s="1"/>
  <c r="M104" i="98" a="1"/>
  <c r="M104" i="98" s="1"/>
  <c r="L104" i="98" a="1"/>
  <c r="L104" i="98" s="1"/>
  <c r="K104" i="98" a="1"/>
  <c r="K104" i="98" s="1"/>
  <c r="J104" i="98" a="1"/>
  <c r="J104" i="98" s="1"/>
  <c r="I104" i="98" a="1"/>
  <c r="I104" i="98" s="1"/>
  <c r="H104" i="98" a="1"/>
  <c r="H104" i="98" s="1"/>
  <c r="G104" i="98" a="1"/>
  <c r="G104" i="98" s="1"/>
  <c r="F104" i="98" a="1"/>
  <c r="F104" i="98" s="1"/>
  <c r="E104" i="98" a="1"/>
  <c r="E104" i="98" s="1"/>
  <c r="D104" i="98" a="1"/>
  <c r="D104" i="98" s="1"/>
  <c r="AH103" i="98" a="1"/>
  <c r="AH103" i="98" s="1"/>
  <c r="AG103" i="98" a="1"/>
  <c r="AG103" i="98" s="1"/>
  <c r="AF103" i="98" a="1"/>
  <c r="AF103" i="98" s="1"/>
  <c r="AE103" i="98" a="1"/>
  <c r="AE103" i="98" s="1"/>
  <c r="AD103" i="98" a="1"/>
  <c r="AD103" i="98" s="1"/>
  <c r="AC103" i="98" a="1"/>
  <c r="AC103" i="98" s="1"/>
  <c r="AB103" i="98" a="1"/>
  <c r="AB103" i="98" s="1"/>
  <c r="AA103" i="98" a="1"/>
  <c r="AA103" i="98" s="1"/>
  <c r="Z103" i="98" a="1"/>
  <c r="Z103" i="98" s="1"/>
  <c r="Y103" i="98" a="1"/>
  <c r="Y103" i="98" s="1"/>
  <c r="X103" i="98" a="1"/>
  <c r="X103" i="98" s="1"/>
  <c r="W103" i="98" a="1"/>
  <c r="W103" i="98" s="1"/>
  <c r="V103" i="98" a="1"/>
  <c r="V103" i="98" s="1"/>
  <c r="U103" i="98" a="1"/>
  <c r="U103" i="98" s="1"/>
  <c r="T103" i="98" a="1"/>
  <c r="T103" i="98" s="1"/>
  <c r="S103" i="98" a="1"/>
  <c r="S103" i="98" s="1"/>
  <c r="R103" i="98" a="1"/>
  <c r="R103" i="98" s="1"/>
  <c r="Q103" i="98" a="1"/>
  <c r="Q103" i="98" s="1"/>
  <c r="P103" i="98" a="1"/>
  <c r="P103" i="98" s="1"/>
  <c r="O103" i="98" a="1"/>
  <c r="O103" i="98" s="1"/>
  <c r="N103" i="98" a="1"/>
  <c r="N103" i="98" s="1"/>
  <c r="M103" i="98" a="1"/>
  <c r="M103" i="98" s="1"/>
  <c r="L103" i="98" a="1"/>
  <c r="L103" i="98" s="1"/>
  <c r="K103" i="98" a="1"/>
  <c r="K103" i="98" s="1"/>
  <c r="J103" i="98" a="1"/>
  <c r="J103" i="98" s="1"/>
  <c r="I103" i="98" a="1"/>
  <c r="I103" i="98" s="1"/>
  <c r="H103" i="98" a="1"/>
  <c r="H103" i="98" s="1"/>
  <c r="G103" i="98" a="1"/>
  <c r="G103" i="98" s="1"/>
  <c r="F103" i="98" a="1"/>
  <c r="F103" i="98" s="1"/>
  <c r="E103" i="98" a="1"/>
  <c r="E103" i="98" s="1"/>
  <c r="D103" i="98" a="1"/>
  <c r="D103" i="98" s="1"/>
  <c r="AH102" i="98" a="1"/>
  <c r="AH102" i="98" s="1"/>
  <c r="AG102" i="98" a="1"/>
  <c r="AG102" i="98" s="1"/>
  <c r="AF102" i="98" a="1"/>
  <c r="AF102" i="98" s="1"/>
  <c r="AE102" i="98" a="1"/>
  <c r="AE102" i="98" s="1"/>
  <c r="AD102" i="98" a="1"/>
  <c r="AD102" i="98" s="1"/>
  <c r="AC102" i="98" a="1"/>
  <c r="AC102" i="98" s="1"/>
  <c r="AB102" i="98" a="1"/>
  <c r="AB102" i="98" s="1"/>
  <c r="AA102" i="98" a="1"/>
  <c r="AA102" i="98" s="1"/>
  <c r="Z102" i="98" a="1"/>
  <c r="Z102" i="98" s="1"/>
  <c r="Y102" i="98" a="1"/>
  <c r="Y102" i="98" s="1"/>
  <c r="X102" i="98" a="1"/>
  <c r="X102" i="98" s="1"/>
  <c r="W102" i="98" a="1"/>
  <c r="W102" i="98" s="1"/>
  <c r="V102" i="98" a="1"/>
  <c r="V102" i="98" s="1"/>
  <c r="U102" i="98" a="1"/>
  <c r="U102" i="98" s="1"/>
  <c r="T102" i="98" a="1"/>
  <c r="T102" i="98" s="1"/>
  <c r="S102" i="98" a="1"/>
  <c r="S102" i="98" s="1"/>
  <c r="R102" i="98" a="1"/>
  <c r="R102" i="98" s="1"/>
  <c r="Q102" i="98" a="1"/>
  <c r="Q102" i="98" s="1"/>
  <c r="P102" i="98" a="1"/>
  <c r="P102" i="98" s="1"/>
  <c r="O102" i="98" a="1"/>
  <c r="O102" i="98" s="1"/>
  <c r="N102" i="98" a="1"/>
  <c r="N102" i="98" s="1"/>
  <c r="M102" i="98" a="1"/>
  <c r="M102" i="98" s="1"/>
  <c r="L102" i="98" a="1"/>
  <c r="L102" i="98" s="1"/>
  <c r="K102" i="98" a="1"/>
  <c r="K102" i="98" s="1"/>
  <c r="J102" i="98" a="1"/>
  <c r="J102" i="98" s="1"/>
  <c r="I102" i="98" a="1"/>
  <c r="I102" i="98" s="1"/>
  <c r="H102" i="98" a="1"/>
  <c r="H102" i="98" s="1"/>
  <c r="G102" i="98" a="1"/>
  <c r="G102" i="98" s="1"/>
  <c r="F102" i="98" a="1"/>
  <c r="F102" i="98" s="1"/>
  <c r="E102" i="98" a="1"/>
  <c r="E102" i="98" s="1"/>
  <c r="D102" i="98" a="1"/>
  <c r="D102" i="98" s="1"/>
  <c r="AH101" i="98" a="1"/>
  <c r="AH101" i="98" s="1"/>
  <c r="AG101" i="98" a="1"/>
  <c r="AG101" i="98" s="1"/>
  <c r="AF101" i="98" a="1"/>
  <c r="AF101" i="98" s="1"/>
  <c r="AE101" i="98" a="1"/>
  <c r="AE101" i="98" s="1"/>
  <c r="AD101" i="98" a="1"/>
  <c r="AD101" i="98" s="1"/>
  <c r="AC101" i="98" a="1"/>
  <c r="AC101" i="98" s="1"/>
  <c r="AB101" i="98" a="1"/>
  <c r="AB101" i="98" s="1"/>
  <c r="AA101" i="98" a="1"/>
  <c r="AA101" i="98" s="1"/>
  <c r="Z101" i="98" a="1"/>
  <c r="Z101" i="98" s="1"/>
  <c r="Y101" i="98" a="1"/>
  <c r="Y101" i="98" s="1"/>
  <c r="X101" i="98" a="1"/>
  <c r="X101" i="98" s="1"/>
  <c r="W101" i="98" a="1"/>
  <c r="W101" i="98" s="1"/>
  <c r="V101" i="98" a="1"/>
  <c r="V101" i="98" s="1"/>
  <c r="U101" i="98" a="1"/>
  <c r="U101" i="98" s="1"/>
  <c r="T101" i="98" a="1"/>
  <c r="T101" i="98" s="1"/>
  <c r="S101" i="98" a="1"/>
  <c r="S101" i="98" s="1"/>
  <c r="R101" i="98" a="1"/>
  <c r="R101" i="98" s="1"/>
  <c r="Q101" i="98" a="1"/>
  <c r="Q101" i="98" s="1"/>
  <c r="P101" i="98" a="1"/>
  <c r="P101" i="98" s="1"/>
  <c r="O101" i="98" a="1"/>
  <c r="O101" i="98" s="1"/>
  <c r="N101" i="98" a="1"/>
  <c r="N101" i="98" s="1"/>
  <c r="M101" i="98" a="1"/>
  <c r="M101" i="98" s="1"/>
  <c r="L101" i="98" a="1"/>
  <c r="L101" i="98" s="1"/>
  <c r="K101" i="98" a="1"/>
  <c r="K101" i="98" s="1"/>
  <c r="J101" i="98" a="1"/>
  <c r="J101" i="98" s="1"/>
  <c r="I101" i="98" a="1"/>
  <c r="I101" i="98" s="1"/>
  <c r="H101" i="98" a="1"/>
  <c r="H101" i="98" s="1"/>
  <c r="G101" i="98" a="1"/>
  <c r="G101" i="98" s="1"/>
  <c r="F101" i="98" a="1"/>
  <c r="F101" i="98" s="1"/>
  <c r="E101" i="98" a="1"/>
  <c r="E101" i="98" s="1"/>
  <c r="D101" i="98" a="1"/>
  <c r="D101" i="98" s="1"/>
  <c r="AH100" i="98" a="1"/>
  <c r="AH100" i="98" s="1"/>
  <c r="AG100" i="98" a="1"/>
  <c r="AG100" i="98" s="1"/>
  <c r="AF100" i="98" a="1"/>
  <c r="AF100" i="98" s="1"/>
  <c r="AE100" i="98" a="1"/>
  <c r="AE100" i="98" s="1"/>
  <c r="AD100" i="98" a="1"/>
  <c r="AD100" i="98" s="1"/>
  <c r="AC100" i="98" a="1"/>
  <c r="AC100" i="98" s="1"/>
  <c r="AB100" i="98" a="1"/>
  <c r="AB100" i="98" s="1"/>
  <c r="AA100" i="98" a="1"/>
  <c r="AA100" i="98" s="1"/>
  <c r="Z100" i="98" a="1"/>
  <c r="Z100" i="98" s="1"/>
  <c r="Y100" i="98" a="1"/>
  <c r="Y100" i="98" s="1"/>
  <c r="X100" i="98" a="1"/>
  <c r="X100" i="98" s="1"/>
  <c r="W100" i="98" a="1"/>
  <c r="W100" i="98" s="1"/>
  <c r="V100" i="98" a="1"/>
  <c r="V100" i="98" s="1"/>
  <c r="U100" i="98" a="1"/>
  <c r="U100" i="98" s="1"/>
  <c r="T100" i="98" a="1"/>
  <c r="T100" i="98" s="1"/>
  <c r="S100" i="98" a="1"/>
  <c r="S100" i="98" s="1"/>
  <c r="R100" i="98" a="1"/>
  <c r="R100" i="98" s="1"/>
  <c r="Q100" i="98" a="1"/>
  <c r="Q100" i="98" s="1"/>
  <c r="P100" i="98" a="1"/>
  <c r="P100" i="98" s="1"/>
  <c r="O100" i="98" a="1"/>
  <c r="O100" i="98" s="1"/>
  <c r="N100" i="98" a="1"/>
  <c r="N100" i="98" s="1"/>
  <c r="M100" i="98" a="1"/>
  <c r="M100" i="98" s="1"/>
  <c r="L100" i="98" a="1"/>
  <c r="L100" i="98" s="1"/>
  <c r="K100" i="98" a="1"/>
  <c r="K100" i="98" s="1"/>
  <c r="J100" i="98" a="1"/>
  <c r="J100" i="98" s="1"/>
  <c r="I100" i="98" a="1"/>
  <c r="I100" i="98" s="1"/>
  <c r="H100" i="98" a="1"/>
  <c r="H100" i="98" s="1"/>
  <c r="G100" i="98" a="1"/>
  <c r="G100" i="98" s="1"/>
  <c r="F100" i="98" a="1"/>
  <c r="F100" i="98" s="1"/>
  <c r="E100" i="98" a="1"/>
  <c r="E100" i="98" s="1"/>
  <c r="D100" i="98" a="1"/>
  <c r="D100" i="98" s="1"/>
  <c r="AH99" i="98" a="1"/>
  <c r="AH99" i="98" s="1"/>
  <c r="AG99" i="98" a="1"/>
  <c r="AG99" i="98" s="1"/>
  <c r="AF99" i="98" a="1"/>
  <c r="AF99" i="98" s="1"/>
  <c r="AE99" i="98" a="1"/>
  <c r="AE99" i="98" s="1"/>
  <c r="AD99" i="98" a="1"/>
  <c r="AD99" i="98" s="1"/>
  <c r="AC99" i="98" a="1"/>
  <c r="AC99" i="98" s="1"/>
  <c r="AB99" i="98" a="1"/>
  <c r="AB99" i="98" s="1"/>
  <c r="AA99" i="98" a="1"/>
  <c r="AA99" i="98" s="1"/>
  <c r="Z99" i="98" a="1"/>
  <c r="Z99" i="98" s="1"/>
  <c r="Y99" i="98" a="1"/>
  <c r="Y99" i="98" s="1"/>
  <c r="X99" i="98" a="1"/>
  <c r="X99" i="98" s="1"/>
  <c r="W99" i="98" a="1"/>
  <c r="W99" i="98" s="1"/>
  <c r="V99" i="98" a="1"/>
  <c r="V99" i="98" s="1"/>
  <c r="U99" i="98" a="1"/>
  <c r="U99" i="98" s="1"/>
  <c r="T99" i="98" a="1"/>
  <c r="T99" i="98" s="1"/>
  <c r="S99" i="98" a="1"/>
  <c r="S99" i="98" s="1"/>
  <c r="R99" i="98" a="1"/>
  <c r="R99" i="98" s="1"/>
  <c r="Q99" i="98" a="1"/>
  <c r="Q99" i="98" s="1"/>
  <c r="P99" i="98" a="1"/>
  <c r="P99" i="98" s="1"/>
  <c r="O99" i="98" a="1"/>
  <c r="O99" i="98" s="1"/>
  <c r="N99" i="98" a="1"/>
  <c r="N99" i="98" s="1"/>
  <c r="M99" i="98" a="1"/>
  <c r="M99" i="98" s="1"/>
  <c r="L99" i="98" a="1"/>
  <c r="L99" i="98" s="1"/>
  <c r="K99" i="98" a="1"/>
  <c r="K99" i="98" s="1"/>
  <c r="J99" i="98" a="1"/>
  <c r="J99" i="98" s="1"/>
  <c r="I99" i="98" a="1"/>
  <c r="I99" i="98" s="1"/>
  <c r="H99" i="98" a="1"/>
  <c r="H99" i="98" s="1"/>
  <c r="G99" i="98" a="1"/>
  <c r="G99" i="98" s="1"/>
  <c r="F99" i="98" a="1"/>
  <c r="F99" i="98" s="1"/>
  <c r="E99" i="98" a="1"/>
  <c r="E99" i="98" s="1"/>
  <c r="D99" i="98" a="1"/>
  <c r="D99" i="98" s="1"/>
  <c r="AH98" i="98" a="1"/>
  <c r="AH98" i="98" s="1"/>
  <c r="AG98" i="98" a="1"/>
  <c r="AG98" i="98" s="1"/>
  <c r="AF98" i="98" a="1"/>
  <c r="AF98" i="98" s="1"/>
  <c r="AE98" i="98" a="1"/>
  <c r="AE98" i="98" s="1"/>
  <c r="AD98" i="98" a="1"/>
  <c r="AD98" i="98" s="1"/>
  <c r="AC98" i="98" a="1"/>
  <c r="AC98" i="98" s="1"/>
  <c r="AB98" i="98" a="1"/>
  <c r="AB98" i="98" s="1"/>
  <c r="AA98" i="98" a="1"/>
  <c r="AA98" i="98" s="1"/>
  <c r="Z98" i="98" a="1"/>
  <c r="Z98" i="98" s="1"/>
  <c r="Y98" i="98" a="1"/>
  <c r="Y98" i="98" s="1"/>
  <c r="X98" i="98" a="1"/>
  <c r="X98" i="98" s="1"/>
  <c r="W98" i="98" a="1"/>
  <c r="W98" i="98" s="1"/>
  <c r="V98" i="98" a="1"/>
  <c r="V98" i="98" s="1"/>
  <c r="U98" i="98" a="1"/>
  <c r="U98" i="98" s="1"/>
  <c r="T98" i="98" a="1"/>
  <c r="T98" i="98" s="1"/>
  <c r="S98" i="98" a="1"/>
  <c r="S98" i="98" s="1"/>
  <c r="R98" i="98" a="1"/>
  <c r="R98" i="98" s="1"/>
  <c r="Q98" i="98" a="1"/>
  <c r="Q98" i="98" s="1"/>
  <c r="P98" i="98" a="1"/>
  <c r="P98" i="98" s="1"/>
  <c r="O98" i="98" a="1"/>
  <c r="O98" i="98" s="1"/>
  <c r="N98" i="98" a="1"/>
  <c r="N98" i="98" s="1"/>
  <c r="M98" i="98" a="1"/>
  <c r="M98" i="98" s="1"/>
  <c r="L98" i="98" a="1"/>
  <c r="L98" i="98" s="1"/>
  <c r="K98" i="98" a="1"/>
  <c r="K98" i="98" s="1"/>
  <c r="J98" i="98" a="1"/>
  <c r="J98" i="98" s="1"/>
  <c r="I98" i="98" a="1"/>
  <c r="I98" i="98" s="1"/>
  <c r="H98" i="98" a="1"/>
  <c r="H98" i="98" s="1"/>
  <c r="G98" i="98" a="1"/>
  <c r="G98" i="98" s="1"/>
  <c r="F98" i="98" a="1"/>
  <c r="F98" i="98" s="1"/>
  <c r="E98" i="98" a="1"/>
  <c r="E98" i="98" s="1"/>
  <c r="D98" i="98" a="1"/>
  <c r="D98" i="98" s="1"/>
  <c r="AH97" i="98" a="1"/>
  <c r="AH97" i="98" s="1"/>
  <c r="AG97" i="98" a="1"/>
  <c r="AG97" i="98" s="1"/>
  <c r="AF97" i="98" a="1"/>
  <c r="AF97" i="98" s="1"/>
  <c r="AE97" i="98" a="1"/>
  <c r="AE97" i="98" s="1"/>
  <c r="AD97" i="98" a="1"/>
  <c r="AD97" i="98" s="1"/>
  <c r="AC97" i="98" a="1"/>
  <c r="AC97" i="98" s="1"/>
  <c r="AB97" i="98" a="1"/>
  <c r="AB97" i="98" s="1"/>
  <c r="AA97" i="98" a="1"/>
  <c r="AA97" i="98" s="1"/>
  <c r="Z97" i="98" a="1"/>
  <c r="Z97" i="98" s="1"/>
  <c r="Y97" i="98" a="1"/>
  <c r="Y97" i="98" s="1"/>
  <c r="X97" i="98" a="1"/>
  <c r="X97" i="98" s="1"/>
  <c r="W97" i="98" a="1"/>
  <c r="W97" i="98" s="1"/>
  <c r="V97" i="98" a="1"/>
  <c r="V97" i="98" s="1"/>
  <c r="U97" i="98" a="1"/>
  <c r="U97" i="98" s="1"/>
  <c r="T97" i="98" a="1"/>
  <c r="T97" i="98" s="1"/>
  <c r="S97" i="98" a="1"/>
  <c r="S97" i="98" s="1"/>
  <c r="R97" i="98" a="1"/>
  <c r="R97" i="98" s="1"/>
  <c r="Q97" i="98" a="1"/>
  <c r="Q97" i="98" s="1"/>
  <c r="P97" i="98" a="1"/>
  <c r="P97" i="98" s="1"/>
  <c r="O97" i="98" a="1"/>
  <c r="O97" i="98" s="1"/>
  <c r="N97" i="98" a="1"/>
  <c r="N97" i="98" s="1"/>
  <c r="M97" i="98" a="1"/>
  <c r="M97" i="98" s="1"/>
  <c r="L97" i="98" a="1"/>
  <c r="L97" i="98" s="1"/>
  <c r="K97" i="98" a="1"/>
  <c r="K97" i="98" s="1"/>
  <c r="J97" i="98" a="1"/>
  <c r="J97" i="98" s="1"/>
  <c r="I97" i="98" a="1"/>
  <c r="I97" i="98" s="1"/>
  <c r="H97" i="98" a="1"/>
  <c r="H97" i="98" s="1"/>
  <c r="G97" i="98" a="1"/>
  <c r="G97" i="98" s="1"/>
  <c r="F97" i="98" a="1"/>
  <c r="F97" i="98" s="1"/>
  <c r="E97" i="98" a="1"/>
  <c r="E97" i="98" s="1"/>
  <c r="D97" i="98" a="1"/>
  <c r="D97" i="98" s="1"/>
  <c r="AH96" i="98" a="1"/>
  <c r="AH96" i="98" s="1"/>
  <c r="AG96" i="98" a="1"/>
  <c r="AG96" i="98" s="1"/>
  <c r="AF96" i="98" a="1"/>
  <c r="AF96" i="98" s="1"/>
  <c r="AE96" i="98" a="1"/>
  <c r="AE96" i="98" s="1"/>
  <c r="AD96" i="98" a="1"/>
  <c r="AD96" i="98" s="1"/>
  <c r="AC96" i="98" a="1"/>
  <c r="AC96" i="98" s="1"/>
  <c r="AB96" i="98" a="1"/>
  <c r="AB96" i="98" s="1"/>
  <c r="AA96" i="98" a="1"/>
  <c r="AA96" i="98" s="1"/>
  <c r="Z96" i="98" a="1"/>
  <c r="Z96" i="98" s="1"/>
  <c r="Y96" i="98" a="1"/>
  <c r="Y96" i="98" s="1"/>
  <c r="X96" i="98" a="1"/>
  <c r="X96" i="98" s="1"/>
  <c r="W96" i="98" a="1"/>
  <c r="W96" i="98" s="1"/>
  <c r="V96" i="98" a="1"/>
  <c r="V96" i="98" s="1"/>
  <c r="U96" i="98" a="1"/>
  <c r="U96" i="98" s="1"/>
  <c r="T96" i="98" a="1"/>
  <c r="T96" i="98" s="1"/>
  <c r="S96" i="98" a="1"/>
  <c r="S96" i="98" s="1"/>
  <c r="R96" i="98" a="1"/>
  <c r="R96" i="98" s="1"/>
  <c r="Q96" i="98" a="1"/>
  <c r="Q96" i="98" s="1"/>
  <c r="P96" i="98" a="1"/>
  <c r="P96" i="98" s="1"/>
  <c r="O96" i="98" a="1"/>
  <c r="O96" i="98" s="1"/>
  <c r="N96" i="98" a="1"/>
  <c r="N96" i="98" s="1"/>
  <c r="M96" i="98" a="1"/>
  <c r="M96" i="98" s="1"/>
  <c r="L96" i="98" a="1"/>
  <c r="L96" i="98" s="1"/>
  <c r="K96" i="98" a="1"/>
  <c r="K96" i="98" s="1"/>
  <c r="J96" i="98" a="1"/>
  <c r="J96" i="98" s="1"/>
  <c r="I96" i="98" a="1"/>
  <c r="I96" i="98" s="1"/>
  <c r="H96" i="98" a="1"/>
  <c r="H96" i="98" s="1"/>
  <c r="G96" i="98" a="1"/>
  <c r="G96" i="98" s="1"/>
  <c r="F96" i="98" a="1"/>
  <c r="F96" i="98" s="1"/>
  <c r="E96" i="98" a="1"/>
  <c r="E96" i="98" s="1"/>
  <c r="D96" i="98" a="1"/>
  <c r="D96" i="98" s="1"/>
  <c r="AH95" i="98" a="1"/>
  <c r="AH95" i="98" s="1"/>
  <c r="AG95" i="98" a="1"/>
  <c r="AG95" i="98" s="1"/>
  <c r="AF95" i="98" a="1"/>
  <c r="AF95" i="98" s="1"/>
  <c r="AE95" i="98" a="1"/>
  <c r="AE95" i="98" s="1"/>
  <c r="AD95" i="98" a="1"/>
  <c r="AD95" i="98" s="1"/>
  <c r="AC95" i="98" a="1"/>
  <c r="AC95" i="98" s="1"/>
  <c r="AB95" i="98" a="1"/>
  <c r="AB95" i="98" s="1"/>
  <c r="AA95" i="98" a="1"/>
  <c r="AA95" i="98" s="1"/>
  <c r="Z95" i="98" a="1"/>
  <c r="Z95" i="98" s="1"/>
  <c r="Y95" i="98" a="1"/>
  <c r="Y95" i="98" s="1"/>
  <c r="X95" i="98" a="1"/>
  <c r="X95" i="98" s="1"/>
  <c r="W95" i="98" a="1"/>
  <c r="W95" i="98" s="1"/>
  <c r="V95" i="98" a="1"/>
  <c r="V95" i="98" s="1"/>
  <c r="U95" i="98" a="1"/>
  <c r="U95" i="98" s="1"/>
  <c r="T95" i="98" a="1"/>
  <c r="T95" i="98" s="1"/>
  <c r="S95" i="98" a="1"/>
  <c r="S95" i="98" s="1"/>
  <c r="R95" i="98" a="1"/>
  <c r="R95" i="98" s="1"/>
  <c r="Q95" i="98" a="1"/>
  <c r="Q95" i="98" s="1"/>
  <c r="P95" i="98" a="1"/>
  <c r="P95" i="98" s="1"/>
  <c r="O95" i="98" a="1"/>
  <c r="O95" i="98" s="1"/>
  <c r="N95" i="98" a="1"/>
  <c r="N95" i="98" s="1"/>
  <c r="M95" i="98" a="1"/>
  <c r="M95" i="98" s="1"/>
  <c r="L95" i="98" a="1"/>
  <c r="L95" i="98" s="1"/>
  <c r="K95" i="98" a="1"/>
  <c r="K95" i="98" s="1"/>
  <c r="J95" i="98" a="1"/>
  <c r="J95" i="98" s="1"/>
  <c r="I95" i="98" a="1"/>
  <c r="I95" i="98" s="1"/>
  <c r="H95" i="98" a="1"/>
  <c r="H95" i="98" s="1"/>
  <c r="G95" i="98" a="1"/>
  <c r="G95" i="98" s="1"/>
  <c r="F95" i="98" a="1"/>
  <c r="F95" i="98" s="1"/>
  <c r="E95" i="98" a="1"/>
  <c r="E95" i="98" s="1"/>
  <c r="D95" i="98" a="1"/>
  <c r="D95" i="98" s="1"/>
  <c r="AH94" i="98" a="1"/>
  <c r="AH94" i="98" s="1"/>
  <c r="AG94" i="98" a="1"/>
  <c r="AG94" i="98" s="1"/>
  <c r="AF94" i="98" a="1"/>
  <c r="AF94" i="98" s="1"/>
  <c r="AE94" i="98" a="1"/>
  <c r="AE94" i="98" s="1"/>
  <c r="AD94" i="98" a="1"/>
  <c r="AD94" i="98" s="1"/>
  <c r="AC94" i="98" a="1"/>
  <c r="AC94" i="98" s="1"/>
  <c r="AB94" i="98" a="1"/>
  <c r="AB94" i="98" s="1"/>
  <c r="AA94" i="98" a="1"/>
  <c r="AA94" i="98" s="1"/>
  <c r="Z94" i="98" a="1"/>
  <c r="Z94" i="98" s="1"/>
  <c r="Y94" i="98" a="1"/>
  <c r="Y94" i="98" s="1"/>
  <c r="X94" i="98" a="1"/>
  <c r="X94" i="98" s="1"/>
  <c r="W94" i="98" a="1"/>
  <c r="W94" i="98" s="1"/>
  <c r="V94" i="98" a="1"/>
  <c r="V94" i="98" s="1"/>
  <c r="U94" i="98" a="1"/>
  <c r="U94" i="98" s="1"/>
  <c r="T94" i="98" a="1"/>
  <c r="T94" i="98" s="1"/>
  <c r="S94" i="98" a="1"/>
  <c r="S94" i="98" s="1"/>
  <c r="R94" i="98" a="1"/>
  <c r="R94" i="98" s="1"/>
  <c r="Q94" i="98" a="1"/>
  <c r="Q94" i="98" s="1"/>
  <c r="P94" i="98" a="1"/>
  <c r="P94" i="98" s="1"/>
  <c r="O94" i="98" a="1"/>
  <c r="O94" i="98" s="1"/>
  <c r="N94" i="98" a="1"/>
  <c r="N94" i="98" s="1"/>
  <c r="M94" i="98" a="1"/>
  <c r="M94" i="98" s="1"/>
  <c r="L94" i="98" a="1"/>
  <c r="L94" i="98" s="1"/>
  <c r="K94" i="98" a="1"/>
  <c r="K94" i="98" s="1"/>
  <c r="J94" i="98" a="1"/>
  <c r="J94" i="98" s="1"/>
  <c r="I94" i="98" a="1"/>
  <c r="I94" i="98" s="1"/>
  <c r="H94" i="98" a="1"/>
  <c r="H94" i="98" s="1"/>
  <c r="G94" i="98" a="1"/>
  <c r="G94" i="98" s="1"/>
  <c r="F94" i="98" a="1"/>
  <c r="F94" i="98" s="1"/>
  <c r="E94" i="98" a="1"/>
  <c r="E94" i="98" s="1"/>
  <c r="D94" i="98" a="1"/>
  <c r="D94" i="98" s="1"/>
  <c r="AH93" i="98" a="1"/>
  <c r="AH93" i="98" s="1"/>
  <c r="AG93" i="98" a="1"/>
  <c r="AG93" i="98" s="1"/>
  <c r="AF93" i="98" a="1"/>
  <c r="AF93" i="98" s="1"/>
  <c r="AE93" i="98" a="1"/>
  <c r="AE93" i="98" s="1"/>
  <c r="AD93" i="98" a="1"/>
  <c r="AD93" i="98" s="1"/>
  <c r="AC93" i="98" a="1"/>
  <c r="AC93" i="98" s="1"/>
  <c r="AB93" i="98" a="1"/>
  <c r="AB93" i="98" s="1"/>
  <c r="AA93" i="98" a="1"/>
  <c r="AA93" i="98" s="1"/>
  <c r="Z93" i="98" a="1"/>
  <c r="Z93" i="98" s="1"/>
  <c r="Y93" i="98" a="1"/>
  <c r="Y93" i="98" s="1"/>
  <c r="X93" i="98" a="1"/>
  <c r="X93" i="98" s="1"/>
  <c r="W93" i="98" a="1"/>
  <c r="W93" i="98" s="1"/>
  <c r="V93" i="98" a="1"/>
  <c r="V93" i="98" s="1"/>
  <c r="U93" i="98" a="1"/>
  <c r="U93" i="98" s="1"/>
  <c r="T93" i="98" a="1"/>
  <c r="T93" i="98" s="1"/>
  <c r="S93" i="98" a="1"/>
  <c r="S93" i="98" s="1"/>
  <c r="R93" i="98" a="1"/>
  <c r="R93" i="98" s="1"/>
  <c r="Q93" i="98" a="1"/>
  <c r="Q93" i="98" s="1"/>
  <c r="P93" i="98" a="1"/>
  <c r="P93" i="98" s="1"/>
  <c r="O93" i="98" a="1"/>
  <c r="O93" i="98" s="1"/>
  <c r="N93" i="98" a="1"/>
  <c r="N93" i="98" s="1"/>
  <c r="M93" i="98" a="1"/>
  <c r="M93" i="98" s="1"/>
  <c r="L93" i="98" a="1"/>
  <c r="L93" i="98" s="1"/>
  <c r="K93" i="98" a="1"/>
  <c r="K93" i="98" s="1"/>
  <c r="J93" i="98" a="1"/>
  <c r="J93" i="98" s="1"/>
  <c r="I93" i="98" a="1"/>
  <c r="I93" i="98" s="1"/>
  <c r="H93" i="98" a="1"/>
  <c r="H93" i="98" s="1"/>
  <c r="G93" i="98" a="1"/>
  <c r="G93" i="98" s="1"/>
  <c r="F93" i="98" a="1"/>
  <c r="F93" i="98" s="1"/>
  <c r="E93" i="98" a="1"/>
  <c r="E93" i="98" s="1"/>
  <c r="D93" i="98" a="1"/>
  <c r="D93" i="98" s="1"/>
  <c r="AH92" i="98" a="1"/>
  <c r="AH92" i="98" s="1"/>
  <c r="AG92" i="98" a="1"/>
  <c r="AG92" i="98" s="1"/>
  <c r="AF92" i="98" a="1"/>
  <c r="AF92" i="98" s="1"/>
  <c r="AE92" i="98" a="1"/>
  <c r="AE92" i="98" s="1"/>
  <c r="AD92" i="98" a="1"/>
  <c r="AD92" i="98" s="1"/>
  <c r="AC92" i="98" a="1"/>
  <c r="AC92" i="98" s="1"/>
  <c r="AB92" i="98" a="1"/>
  <c r="AB92" i="98" s="1"/>
  <c r="AA92" i="98" a="1"/>
  <c r="AA92" i="98" s="1"/>
  <c r="Z92" i="98" a="1"/>
  <c r="Z92" i="98" s="1"/>
  <c r="Y92" i="98" a="1"/>
  <c r="Y92" i="98" s="1"/>
  <c r="X92" i="98" a="1"/>
  <c r="X92" i="98" s="1"/>
  <c r="W92" i="98" a="1"/>
  <c r="W92" i="98" s="1"/>
  <c r="V92" i="98" a="1"/>
  <c r="V92" i="98" s="1"/>
  <c r="U92" i="98" a="1"/>
  <c r="U92" i="98" s="1"/>
  <c r="T92" i="98" a="1"/>
  <c r="T92" i="98" s="1"/>
  <c r="S92" i="98" a="1"/>
  <c r="S92" i="98" s="1"/>
  <c r="R92" i="98" a="1"/>
  <c r="R92" i="98" s="1"/>
  <c r="Q92" i="98" a="1"/>
  <c r="Q92" i="98" s="1"/>
  <c r="P92" i="98" a="1"/>
  <c r="P92" i="98" s="1"/>
  <c r="O92" i="98" a="1"/>
  <c r="O92" i="98" s="1"/>
  <c r="N92" i="98" a="1"/>
  <c r="N92" i="98" s="1"/>
  <c r="M92" i="98" a="1"/>
  <c r="M92" i="98" s="1"/>
  <c r="L92" i="98" a="1"/>
  <c r="L92" i="98" s="1"/>
  <c r="K92" i="98" a="1"/>
  <c r="K92" i="98" s="1"/>
  <c r="J92" i="98" a="1"/>
  <c r="J92" i="98" s="1"/>
  <c r="I92" i="98" a="1"/>
  <c r="I92" i="98" s="1"/>
  <c r="H92" i="98" a="1"/>
  <c r="H92" i="98" s="1"/>
  <c r="G92" i="98" a="1"/>
  <c r="G92" i="98" s="1"/>
  <c r="F92" i="98" a="1"/>
  <c r="F92" i="98" s="1"/>
  <c r="E92" i="98" a="1"/>
  <c r="E92" i="98" s="1"/>
  <c r="D92" i="98" a="1"/>
  <c r="D92" i="98" s="1"/>
  <c r="AH91" i="98" a="1"/>
  <c r="AH91" i="98" s="1"/>
  <c r="AG91" i="98" a="1"/>
  <c r="AG91" i="98" s="1"/>
  <c r="AF91" i="98" a="1"/>
  <c r="AF91" i="98" s="1"/>
  <c r="AE91" i="98" a="1"/>
  <c r="AE91" i="98" s="1"/>
  <c r="AD91" i="98" a="1"/>
  <c r="AD91" i="98" s="1"/>
  <c r="AC91" i="98" a="1"/>
  <c r="AC91" i="98" s="1"/>
  <c r="AB91" i="98" a="1"/>
  <c r="AB91" i="98" s="1"/>
  <c r="AA91" i="98" a="1"/>
  <c r="AA91" i="98" s="1"/>
  <c r="Z91" i="98" a="1"/>
  <c r="Z91" i="98" s="1"/>
  <c r="Y91" i="98" a="1"/>
  <c r="Y91" i="98" s="1"/>
  <c r="X91" i="98" a="1"/>
  <c r="X91" i="98" s="1"/>
  <c r="W91" i="98" a="1"/>
  <c r="W91" i="98" s="1"/>
  <c r="V91" i="98" a="1"/>
  <c r="V91" i="98" s="1"/>
  <c r="U91" i="98" a="1"/>
  <c r="U91" i="98" s="1"/>
  <c r="T91" i="98" a="1"/>
  <c r="T91" i="98" s="1"/>
  <c r="S91" i="98" a="1"/>
  <c r="S91" i="98" s="1"/>
  <c r="R91" i="98" a="1"/>
  <c r="R91" i="98" s="1"/>
  <c r="Q91" i="98" a="1"/>
  <c r="Q91" i="98" s="1"/>
  <c r="P91" i="98" a="1"/>
  <c r="P91" i="98" s="1"/>
  <c r="O91" i="98" a="1"/>
  <c r="O91" i="98" s="1"/>
  <c r="N91" i="98" a="1"/>
  <c r="N91" i="98" s="1"/>
  <c r="M91" i="98" a="1"/>
  <c r="M91" i="98" s="1"/>
  <c r="L91" i="98" a="1"/>
  <c r="L91" i="98" s="1"/>
  <c r="K91" i="98" a="1"/>
  <c r="K91" i="98" s="1"/>
  <c r="J91" i="98" a="1"/>
  <c r="J91" i="98" s="1"/>
  <c r="I91" i="98" a="1"/>
  <c r="I91" i="98" s="1"/>
  <c r="H91" i="98" a="1"/>
  <c r="H91" i="98" s="1"/>
  <c r="G91" i="98" a="1"/>
  <c r="G91" i="98" s="1"/>
  <c r="F91" i="98" a="1"/>
  <c r="F91" i="98" s="1"/>
  <c r="E91" i="98" a="1"/>
  <c r="E91" i="98" s="1"/>
  <c r="D91" i="98" a="1"/>
  <c r="D91" i="98" s="1"/>
  <c r="AH90" i="98" a="1"/>
  <c r="AH90" i="98" s="1"/>
  <c r="AG90" i="98" a="1"/>
  <c r="AG90" i="98" s="1"/>
  <c r="AF90" i="98" a="1"/>
  <c r="AF90" i="98" s="1"/>
  <c r="AE90" i="98" a="1"/>
  <c r="AE90" i="98" s="1"/>
  <c r="AD90" i="98" a="1"/>
  <c r="AD90" i="98" s="1"/>
  <c r="AC90" i="98" a="1"/>
  <c r="AC90" i="98" s="1"/>
  <c r="AB90" i="98" a="1"/>
  <c r="AB90" i="98" s="1"/>
  <c r="AA90" i="98" a="1"/>
  <c r="AA90" i="98" s="1"/>
  <c r="Z90" i="98" a="1"/>
  <c r="Z90" i="98" s="1"/>
  <c r="Y90" i="98" a="1"/>
  <c r="Y90" i="98" s="1"/>
  <c r="X90" i="98" a="1"/>
  <c r="X90" i="98" s="1"/>
  <c r="W90" i="98" a="1"/>
  <c r="W90" i="98" s="1"/>
  <c r="V90" i="98" a="1"/>
  <c r="V90" i="98" s="1"/>
  <c r="U90" i="98" a="1"/>
  <c r="U90" i="98" s="1"/>
  <c r="T90" i="98" a="1"/>
  <c r="T90" i="98" s="1"/>
  <c r="S90" i="98" a="1"/>
  <c r="S90" i="98" s="1"/>
  <c r="R90" i="98" a="1"/>
  <c r="R90" i="98" s="1"/>
  <c r="Q90" i="98" a="1"/>
  <c r="Q90" i="98" s="1"/>
  <c r="P90" i="98" a="1"/>
  <c r="P90" i="98" s="1"/>
  <c r="O90" i="98" a="1"/>
  <c r="O90" i="98" s="1"/>
  <c r="N90" i="98" a="1"/>
  <c r="N90" i="98" s="1"/>
  <c r="M90" i="98" a="1"/>
  <c r="M90" i="98" s="1"/>
  <c r="L90" i="98" a="1"/>
  <c r="L90" i="98" s="1"/>
  <c r="K90" i="98" a="1"/>
  <c r="K90" i="98" s="1"/>
  <c r="J90" i="98" a="1"/>
  <c r="J90" i="98" s="1"/>
  <c r="I90" i="98" a="1"/>
  <c r="I90" i="98" s="1"/>
  <c r="H90" i="98" a="1"/>
  <c r="H90" i="98" s="1"/>
  <c r="G90" i="98" a="1"/>
  <c r="G90" i="98" s="1"/>
  <c r="F90" i="98" a="1"/>
  <c r="F90" i="98" s="1"/>
  <c r="E90" i="98" a="1"/>
  <c r="E90" i="98" s="1"/>
  <c r="D90" i="98" a="1"/>
  <c r="D90" i="98" s="1"/>
  <c r="F83" i="98" a="1"/>
  <c r="F83" i="98" s="1"/>
  <c r="E83" i="98" a="1"/>
  <c r="E83" i="98" s="1"/>
  <c r="J91" i="97" s="1"/>
  <c r="D83" i="98" a="1"/>
  <c r="D83" i="98" s="1"/>
  <c r="D82" i="98" a="1"/>
  <c r="D82" i="98" s="1"/>
  <c r="D81" i="98" a="1"/>
  <c r="D81" i="98" s="1"/>
  <c r="F78" i="98" a="1"/>
  <c r="F78" i="98" s="1"/>
  <c r="E78" i="98" a="1"/>
  <c r="E78" i="98" s="1"/>
  <c r="D78" i="98" a="1"/>
  <c r="D78" i="98" s="1"/>
  <c r="D77" i="98" a="1"/>
  <c r="D77" i="98" s="1"/>
  <c r="D76" i="98" a="1"/>
  <c r="D76" i="98" s="1"/>
  <c r="F73" i="98" a="1"/>
  <c r="F73" i="98" s="1"/>
  <c r="E73" i="98" a="1"/>
  <c r="E73" i="98" s="1"/>
  <c r="D73" i="98" a="1"/>
  <c r="D73" i="98" s="1"/>
  <c r="D72" i="98" a="1"/>
  <c r="D72" i="98" s="1"/>
  <c r="D71" i="98" a="1"/>
  <c r="D71" i="98" s="1"/>
  <c r="F68" i="98" a="1"/>
  <c r="F68" i="98" s="1"/>
  <c r="E68" i="98" a="1"/>
  <c r="E68" i="98" s="1"/>
  <c r="D68" i="98" a="1"/>
  <c r="D68" i="98" s="1"/>
  <c r="F67" i="98" a="1"/>
  <c r="F67" i="98" s="1"/>
  <c r="I19" i="95" s="1"/>
  <c r="E67" i="98" a="1"/>
  <c r="E67" i="98" s="1"/>
  <c r="I18" i="95" s="1"/>
  <c r="D67" i="98" a="1"/>
  <c r="D67" i="98" s="1"/>
  <c r="F66" i="98" a="1"/>
  <c r="F66" i="98" s="1"/>
  <c r="I16" i="95" s="1"/>
  <c r="E66" i="98" a="1"/>
  <c r="E66" i="98" s="1"/>
  <c r="I15" i="95" s="1"/>
  <c r="D66" i="98" a="1"/>
  <c r="D66" i="98" s="1"/>
  <c r="D64" i="98" a="1"/>
  <c r="D64" i="98" s="1"/>
  <c r="D63" i="98" a="1"/>
  <c r="D63" i="98" s="1"/>
  <c r="F60" i="98" a="1"/>
  <c r="F60" i="98" s="1"/>
  <c r="E60" i="98" a="1"/>
  <c r="E60" i="98" s="1"/>
  <c r="I50" i="93" s="1"/>
  <c r="D60" i="98" a="1"/>
  <c r="D60" i="98" s="1"/>
  <c r="D59" i="98" a="1"/>
  <c r="D59" i="98" s="1"/>
  <c r="D58" i="98" a="1"/>
  <c r="D58" i="98" s="1"/>
  <c r="E55" i="98" a="1"/>
  <c r="E55" i="98" s="1"/>
  <c r="D55" i="98" a="1"/>
  <c r="D55" i="98" s="1"/>
  <c r="E54" i="98" a="1"/>
  <c r="E54" i="98" s="1"/>
  <c r="D54" i="98" a="1"/>
  <c r="D54" i="98" s="1"/>
  <c r="E53" i="98" a="1"/>
  <c r="E53" i="98" s="1"/>
  <c r="D53" i="98" a="1"/>
  <c r="D53" i="98" s="1"/>
  <c r="E52" i="98" a="1"/>
  <c r="E52" i="98" s="1"/>
  <c r="D52" i="98" a="1"/>
  <c r="D52" i="98" s="1"/>
  <c r="E51" i="98" a="1"/>
  <c r="E51" i="98" s="1"/>
  <c r="D51" i="98" a="1"/>
  <c r="D51" i="98" s="1"/>
  <c r="D49" i="98" a="1"/>
  <c r="D49" i="98" s="1"/>
  <c r="D48" i="98" a="1"/>
  <c r="D48" i="98" s="1"/>
  <c r="I38" i="98" a="1"/>
  <c r="I38" i="98" s="1"/>
  <c r="H38" i="98" a="1"/>
  <c r="H38" i="98" s="1"/>
  <c r="G38" i="98" a="1"/>
  <c r="G38" i="98" s="1"/>
  <c r="F38" i="98" a="1"/>
  <c r="F38" i="98" s="1"/>
  <c r="E38" i="98" a="1"/>
  <c r="E38" i="98" s="1"/>
  <c r="D38" i="98" a="1"/>
  <c r="D38" i="98" s="1"/>
  <c r="G180" i="121" s="1"/>
  <c r="I37" i="98" a="1"/>
  <c r="I37" i="98" s="1"/>
  <c r="H37" i="98" a="1"/>
  <c r="H37" i="98" s="1"/>
  <c r="G37" i="98" a="1"/>
  <c r="G37" i="98" s="1"/>
  <c r="F37" i="98" a="1"/>
  <c r="F37" i="98" s="1"/>
  <c r="E37" i="98" a="1"/>
  <c r="E37" i="98" s="1"/>
  <c r="D37" i="98" a="1"/>
  <c r="D37" i="98" s="1"/>
  <c r="I36" i="98" a="1"/>
  <c r="I36" i="98" s="1"/>
  <c r="H36" i="98" a="1"/>
  <c r="H36" i="98" s="1"/>
  <c r="G36" i="98" a="1"/>
  <c r="G36" i="98" s="1"/>
  <c r="F36" i="98" a="1"/>
  <c r="F36" i="98" s="1"/>
  <c r="E36" i="98" a="1"/>
  <c r="E36" i="98" s="1"/>
  <c r="D36" i="98" a="1"/>
  <c r="D36" i="98" s="1"/>
  <c r="G190" i="121" s="1"/>
  <c r="I35" i="98" a="1"/>
  <c r="I35" i="98" s="1"/>
  <c r="H35" i="98" a="1"/>
  <c r="H35" i="98" s="1"/>
  <c r="G35" i="98" a="1"/>
  <c r="G35" i="98" s="1"/>
  <c r="F35" i="98" a="1"/>
  <c r="F35" i="98" s="1"/>
  <c r="E35" i="98" a="1"/>
  <c r="E35" i="98" s="1"/>
  <c r="D35" i="98" a="1"/>
  <c r="D35" i="98" s="1"/>
  <c r="G182" i="121" s="1"/>
  <c r="I34" i="98" a="1"/>
  <c r="I34" i="98" s="1"/>
  <c r="H34" i="98" a="1"/>
  <c r="H34" i="98" s="1"/>
  <c r="G34" i="98" a="1"/>
  <c r="G34" i="98" s="1"/>
  <c r="F34" i="98" a="1"/>
  <c r="F34" i="98" s="1"/>
  <c r="E34" i="98" a="1"/>
  <c r="E34" i="98" s="1"/>
  <c r="D34" i="98" a="1"/>
  <c r="D34" i="98" s="1"/>
  <c r="G184" i="121" s="1"/>
  <c r="I33" i="98" a="1"/>
  <c r="I33" i="98" s="1"/>
  <c r="H33" i="98" a="1"/>
  <c r="H33" i="98" s="1"/>
  <c r="G33" i="98" a="1"/>
  <c r="G33" i="98" s="1"/>
  <c r="F33" i="98" a="1"/>
  <c r="F33" i="98" s="1"/>
  <c r="E33" i="98" a="1"/>
  <c r="E33" i="98" s="1"/>
  <c r="D33" i="98" a="1"/>
  <c r="D33" i="98" s="1"/>
  <c r="G198" i="121" s="1"/>
  <c r="I32" i="98" a="1"/>
  <c r="I32" i="98" s="1"/>
  <c r="H32" i="98" a="1"/>
  <c r="H32" i="98" s="1"/>
  <c r="G32" i="98" a="1"/>
  <c r="G32" i="98" s="1"/>
  <c r="F32" i="98" a="1"/>
  <c r="F32" i="98" s="1"/>
  <c r="E32" i="98" a="1"/>
  <c r="E32" i="98" s="1"/>
  <c r="D32" i="98" a="1"/>
  <c r="D32" i="98" s="1"/>
  <c r="G191" i="121" s="1"/>
  <c r="I31" i="98" a="1"/>
  <c r="I31" i="98" s="1"/>
  <c r="H31" i="98" a="1"/>
  <c r="H31" i="98" s="1"/>
  <c r="G31" i="98" a="1"/>
  <c r="G31" i="98" s="1"/>
  <c r="F31" i="98" a="1"/>
  <c r="F31" i="98" s="1"/>
  <c r="E31" i="98" a="1"/>
  <c r="E31" i="98" s="1"/>
  <c r="D31" i="98" a="1"/>
  <c r="D31" i="98" s="1"/>
  <c r="G189" i="121" s="1"/>
  <c r="I30" i="98" a="1"/>
  <c r="I30" i="98" s="1"/>
  <c r="H30" i="98" a="1"/>
  <c r="H30" i="98" s="1"/>
  <c r="G30" i="98" a="1"/>
  <c r="G30" i="98" s="1"/>
  <c r="F30" i="98" a="1"/>
  <c r="F30" i="98" s="1"/>
  <c r="E30" i="98" a="1"/>
  <c r="E30" i="98" s="1"/>
  <c r="D30" i="98" a="1"/>
  <c r="D30" i="98" s="1"/>
  <c r="G188" i="121" s="1"/>
  <c r="I29" i="98" a="1"/>
  <c r="I29" i="98" s="1"/>
  <c r="H29" i="98" a="1"/>
  <c r="H29" i="98" s="1"/>
  <c r="G29" i="98" a="1"/>
  <c r="G29" i="98" s="1"/>
  <c r="F29" i="98" a="1"/>
  <c r="F29" i="98" s="1"/>
  <c r="E29" i="98" a="1"/>
  <c r="E29" i="98" s="1"/>
  <c r="D29" i="98" a="1"/>
  <c r="D29" i="98" s="1"/>
  <c r="G186" i="121" s="1"/>
  <c r="R28" i="98" a="1"/>
  <c r="R28" i="98" s="1"/>
  <c r="Q28" i="98" a="1"/>
  <c r="Q28" i="98" s="1"/>
  <c r="L28" i="98" a="1"/>
  <c r="L28" i="98" s="1"/>
  <c r="K28" i="98" a="1"/>
  <c r="K28" i="98" s="1"/>
  <c r="I28" i="98" a="1"/>
  <c r="I28" i="98" s="1"/>
  <c r="H28" i="98" a="1"/>
  <c r="H28" i="98" s="1"/>
  <c r="G28" i="98" a="1"/>
  <c r="G28" i="98" s="1"/>
  <c r="F28" i="98" a="1"/>
  <c r="F28" i="98" s="1"/>
  <c r="E28" i="98" a="1"/>
  <c r="E28" i="98" s="1"/>
  <c r="D28" i="98" a="1"/>
  <c r="D28" i="98" s="1"/>
  <c r="G187" i="121" s="1"/>
  <c r="R27" i="98" a="1"/>
  <c r="R27" i="98" s="1"/>
  <c r="Q27" i="98" a="1"/>
  <c r="Q27" i="98" s="1"/>
  <c r="L27" i="98" a="1"/>
  <c r="L27" i="98" s="1"/>
  <c r="K27" i="98" a="1"/>
  <c r="K27" i="98" s="1"/>
  <c r="I27" i="98" a="1"/>
  <c r="I27" i="98" s="1"/>
  <c r="H27" i="98" a="1"/>
  <c r="H27" i="98" s="1"/>
  <c r="G27" i="98" a="1"/>
  <c r="G27" i="98" s="1"/>
  <c r="F27" i="98" a="1"/>
  <c r="F27" i="98" s="1"/>
  <c r="E27" i="98" a="1"/>
  <c r="E27" i="98" s="1"/>
  <c r="D27" i="98" a="1"/>
  <c r="D27" i="98" s="1"/>
  <c r="G185" i="121" s="1"/>
  <c r="R26" i="98" a="1"/>
  <c r="R26" i="98" s="1"/>
  <c r="Q26" i="98" a="1"/>
  <c r="Q26" i="98" s="1"/>
  <c r="L26" i="98" a="1"/>
  <c r="L26" i="98" s="1"/>
  <c r="K26" i="98" a="1"/>
  <c r="K26" i="98" s="1"/>
  <c r="I26" i="98" a="1"/>
  <c r="I26" i="98" s="1"/>
  <c r="H26" i="98" a="1"/>
  <c r="H26" i="98" s="1"/>
  <c r="G26" i="98" a="1"/>
  <c r="G26" i="98" s="1"/>
  <c r="F26" i="98" a="1"/>
  <c r="F26" i="98" s="1"/>
  <c r="E26" i="98" a="1"/>
  <c r="E26" i="98" s="1"/>
  <c r="D26" i="98" a="1"/>
  <c r="D26" i="98" s="1"/>
  <c r="G179" i="121" s="1"/>
  <c r="R25" i="98" a="1"/>
  <c r="R25" i="98" s="1"/>
  <c r="Q25" i="98" a="1"/>
  <c r="Q25" i="98" s="1"/>
  <c r="L25" i="98" a="1"/>
  <c r="L25" i="98" s="1"/>
  <c r="K25" i="98" a="1"/>
  <c r="K25" i="98" s="1"/>
  <c r="I25" i="98" a="1"/>
  <c r="I25" i="98" s="1"/>
  <c r="H25" i="98" a="1"/>
  <c r="H25" i="98" s="1"/>
  <c r="G25" i="98" a="1"/>
  <c r="G25" i="98" s="1"/>
  <c r="F25" i="98" a="1"/>
  <c r="F25" i="98" s="1"/>
  <c r="E25" i="98" a="1"/>
  <c r="E25" i="98" s="1"/>
  <c r="D25" i="98" a="1"/>
  <c r="D25" i="98" s="1"/>
  <c r="G178" i="121" s="1"/>
  <c r="R24" i="98" a="1"/>
  <c r="R24" i="98" s="1"/>
  <c r="Q24" i="98" a="1"/>
  <c r="Q24" i="98" s="1"/>
  <c r="L24" i="98" a="1"/>
  <c r="L24" i="98" s="1"/>
  <c r="K24" i="98" a="1"/>
  <c r="K24" i="98" s="1"/>
  <c r="I24" i="98" a="1"/>
  <c r="I24" i="98" s="1"/>
  <c r="H24" i="98" a="1"/>
  <c r="H24" i="98" s="1"/>
  <c r="G24" i="98" a="1"/>
  <c r="G24" i="98" s="1"/>
  <c r="F24" i="98" a="1"/>
  <c r="F24" i="98" s="1"/>
  <c r="E24" i="98" a="1"/>
  <c r="E24" i="98" s="1"/>
  <c r="D24" i="98" a="1"/>
  <c r="D24" i="98" s="1"/>
  <c r="G193" i="121" s="1"/>
  <c r="V23" i="98" a="1"/>
  <c r="V23" i="98" s="1"/>
  <c r="R23" i="98" a="1"/>
  <c r="R23" i="98" s="1"/>
  <c r="Q23" i="98" a="1"/>
  <c r="Q23" i="98" s="1"/>
  <c r="L23" i="98" a="1"/>
  <c r="L23" i="98" s="1"/>
  <c r="K23" i="98" a="1"/>
  <c r="K23" i="98" s="1"/>
  <c r="I23" i="98" a="1"/>
  <c r="I23" i="98" s="1"/>
  <c r="H23" i="98" a="1"/>
  <c r="H23" i="98" s="1"/>
  <c r="G23" i="98" a="1"/>
  <c r="G23" i="98" s="1"/>
  <c r="F23" i="98" a="1"/>
  <c r="F23" i="98" s="1"/>
  <c r="E23" i="98" a="1"/>
  <c r="E23" i="98" s="1"/>
  <c r="D23" i="98" a="1"/>
  <c r="D23" i="98" s="1"/>
  <c r="G192" i="121" s="1"/>
  <c r="V22" i="98" a="1"/>
  <c r="V22" i="98" s="1"/>
  <c r="R22" i="98" a="1"/>
  <c r="R22" i="98" s="1"/>
  <c r="Q22" i="98" a="1"/>
  <c r="Q22" i="98" s="1"/>
  <c r="L22" i="98" a="1"/>
  <c r="L22" i="98" s="1"/>
  <c r="K22" i="98" a="1"/>
  <c r="K22" i="98" s="1"/>
  <c r="I22" i="98" a="1"/>
  <c r="I22" i="98" s="1"/>
  <c r="H22" i="98" a="1"/>
  <c r="H22" i="98" s="1"/>
  <c r="G22" i="98" a="1"/>
  <c r="G22" i="98" s="1"/>
  <c r="F22" i="98" a="1"/>
  <c r="F22" i="98" s="1"/>
  <c r="E22" i="98" a="1"/>
  <c r="E22" i="98" s="1"/>
  <c r="D22" i="98" a="1"/>
  <c r="D22" i="98" s="1"/>
  <c r="V21" i="98" a="1"/>
  <c r="V21" i="98" s="1"/>
  <c r="R21" i="98" a="1"/>
  <c r="R21" i="98" s="1"/>
  <c r="Q21" i="98" a="1"/>
  <c r="Q21" i="98" s="1"/>
  <c r="L21" i="98" a="1"/>
  <c r="L21" i="98" s="1"/>
  <c r="K21" i="98" a="1"/>
  <c r="K21" i="98" s="1"/>
  <c r="I21" i="98" a="1"/>
  <c r="I21" i="98" s="1"/>
  <c r="H21" i="98" a="1"/>
  <c r="H21" i="98" s="1"/>
  <c r="G21" i="98" a="1"/>
  <c r="G21" i="98" s="1"/>
  <c r="F21" i="98" a="1"/>
  <c r="F21" i="98" s="1"/>
  <c r="E21" i="98" a="1"/>
  <c r="E21" i="98" s="1"/>
  <c r="D21" i="98" a="1"/>
  <c r="D21" i="98" s="1"/>
  <c r="G181" i="121" s="1"/>
  <c r="V20" i="98" a="1"/>
  <c r="V20" i="98" s="1"/>
  <c r="R20" i="98" a="1"/>
  <c r="R20" i="98" s="1"/>
  <c r="Q20" i="98" a="1"/>
  <c r="Q20" i="98" s="1"/>
  <c r="L20" i="98" a="1"/>
  <c r="L20" i="98" s="1"/>
  <c r="K20" i="98" a="1"/>
  <c r="K20" i="98" s="1"/>
  <c r="I20" i="98" a="1"/>
  <c r="I20" i="98" s="1"/>
  <c r="H20" i="98" a="1"/>
  <c r="H20" i="98" s="1"/>
  <c r="G20" i="98" a="1"/>
  <c r="G20" i="98" s="1"/>
  <c r="F20" i="98" a="1"/>
  <c r="F20" i="98" s="1"/>
  <c r="E20" i="98" a="1"/>
  <c r="E20" i="98" s="1"/>
  <c r="D20" i="98" a="1"/>
  <c r="D20" i="98" s="1"/>
  <c r="V18" i="98" a="1"/>
  <c r="V18" i="98" s="1"/>
  <c r="Q18" i="98" a="1"/>
  <c r="Q18" i="98" s="1"/>
  <c r="K18" i="98" a="1"/>
  <c r="K18" i="98" s="1"/>
  <c r="V17" i="98" a="1"/>
  <c r="V17" i="98" s="1"/>
  <c r="Q17" i="98" a="1"/>
  <c r="Q17" i="98" s="1"/>
  <c r="K17" i="98" a="1"/>
  <c r="K17" i="98" s="1"/>
  <c r="D7" i="98" a="1"/>
  <c r="D7" i="98" s="1"/>
  <c r="D6" i="98" a="1"/>
  <c r="D6" i="98" s="1"/>
  <c r="D5" i="98" a="1"/>
  <c r="D5" i="98" s="1"/>
  <c r="F99" i="97" a="1"/>
  <c r="F99" i="97" s="1"/>
  <c r="D96" i="97" a="1"/>
  <c r="D96" i="97" s="1"/>
  <c r="H89" i="97" a="1"/>
  <c r="H89" i="97" s="1"/>
  <c r="D89" i="97" a="1"/>
  <c r="D89" i="97" s="1"/>
  <c r="E87" i="97" a="1"/>
  <c r="E87" i="97" s="1"/>
  <c r="F94" i="97" s="1"/>
  <c r="E86" i="97" a="1"/>
  <c r="E86" i="97" s="1"/>
  <c r="D82" i="97" a="1"/>
  <c r="D82" i="97" s="1"/>
  <c r="D81" i="97" a="1"/>
  <c r="D81" i="97" s="1"/>
  <c r="D67" i="97"/>
  <c r="D66" i="97"/>
  <c r="D65" i="97"/>
  <c r="I59" i="97"/>
  <c r="I58" i="97"/>
  <c r="I55" i="97" a="1"/>
  <c r="I55" i="97" s="1"/>
  <c r="G55" i="97" a="1"/>
  <c r="G55" i="97" s="1"/>
  <c r="D55" i="97" a="1"/>
  <c r="D55" i="97" s="1"/>
  <c r="E53" i="97" a="1"/>
  <c r="E53" i="97" s="1"/>
  <c r="F77" i="97" s="1"/>
  <c r="E52" i="97" a="1"/>
  <c r="E52" i="97" s="1"/>
  <c r="D48" i="97" a="1"/>
  <c r="D48" i="97" s="1"/>
  <c r="D47" i="97" a="1"/>
  <c r="D47" i="97" s="1"/>
  <c r="I17" i="97"/>
  <c r="I16" i="97"/>
  <c r="I13" i="97" a="1"/>
  <c r="I13" i="97" s="1"/>
  <c r="G13" i="97" a="1"/>
  <c r="G13" i="97" s="1"/>
  <c r="D13" i="97" a="1"/>
  <c r="D13" i="97" s="1"/>
  <c r="E11" i="97" a="1"/>
  <c r="E11" i="97" s="1"/>
  <c r="F43" i="97" s="1"/>
  <c r="E10" i="97" a="1"/>
  <c r="E10" i="97" s="1"/>
  <c r="D6" i="97" a="1"/>
  <c r="D6" i="97" s="1"/>
  <c r="D5" i="97" a="1"/>
  <c r="D5" i="97" s="1"/>
  <c r="F151" i="96" a="1"/>
  <c r="F151" i="96" s="1"/>
  <c r="D148" i="96" a="1"/>
  <c r="D148" i="96" s="1"/>
  <c r="I127" i="96"/>
  <c r="I124" i="96" a="1"/>
  <c r="I124" i="96" s="1"/>
  <c r="G124" i="96" a="1"/>
  <c r="G124" i="96" s="1"/>
  <c r="D124" i="96" a="1"/>
  <c r="D124" i="96" s="1"/>
  <c r="E122" i="96" a="1"/>
  <c r="E122" i="96" s="1"/>
  <c r="F146" i="96" s="1"/>
  <c r="E121" i="96" a="1"/>
  <c r="E121" i="96" s="1"/>
  <c r="D117" i="96" a="1"/>
  <c r="D117" i="96" s="1"/>
  <c r="D116" i="96" a="1"/>
  <c r="D116" i="96" s="1"/>
  <c r="I96" i="96" a="1"/>
  <c r="I96" i="96" s="1"/>
  <c r="G96" i="96" a="1"/>
  <c r="G96" i="96" s="1"/>
  <c r="D96" i="96" a="1"/>
  <c r="D96" i="96" s="1"/>
  <c r="E94" i="96" a="1"/>
  <c r="E94" i="96" s="1"/>
  <c r="G102" i="96" s="1"/>
  <c r="E93" i="96" a="1"/>
  <c r="E93" i="96" s="1"/>
  <c r="D89" i="96" a="1"/>
  <c r="D89" i="96" s="1"/>
  <c r="D88" i="96" a="1"/>
  <c r="D88" i="96" s="1"/>
  <c r="F84" i="96" a="1"/>
  <c r="F84" i="96" s="1"/>
  <c r="D81" i="96" a="1"/>
  <c r="D81" i="96" s="1"/>
  <c r="J52" i="96"/>
  <c r="J49" i="96" a="1"/>
  <c r="J49" i="96" s="1"/>
  <c r="H49" i="96" a="1"/>
  <c r="H49" i="96" s="1"/>
  <c r="D49" i="96" a="1"/>
  <c r="D49" i="96" s="1"/>
  <c r="E47" i="96" a="1"/>
  <c r="E47" i="96" s="1"/>
  <c r="E46" i="96" a="1"/>
  <c r="E46" i="96" s="1"/>
  <c r="D42" i="96" a="1"/>
  <c r="D42" i="96" s="1"/>
  <c r="D41" i="96" a="1"/>
  <c r="D41" i="96" s="1"/>
  <c r="I14" i="96" a="1"/>
  <c r="I14" i="96" s="1"/>
  <c r="I13" i="96" a="1"/>
  <c r="I13" i="96" s="1"/>
  <c r="G13" i="96" a="1"/>
  <c r="G13" i="96" s="1"/>
  <c r="D13" i="96" a="1"/>
  <c r="D13" i="96" s="1"/>
  <c r="E11" i="96" a="1"/>
  <c r="E11" i="96" s="1"/>
  <c r="E10" i="96" a="1"/>
  <c r="E10" i="96" s="1"/>
  <c r="D6" i="96" a="1"/>
  <c r="D6" i="96" s="1"/>
  <c r="D5" i="96" a="1"/>
  <c r="D5" i="96" s="1"/>
  <c r="I17" i="95" a="1"/>
  <c r="I17" i="95" s="1"/>
  <c r="I14" i="95" a="1"/>
  <c r="I14" i="95" s="1"/>
  <c r="I13" i="95" a="1"/>
  <c r="I13" i="95" s="1"/>
  <c r="G13" i="95" a="1"/>
  <c r="G13" i="95" s="1"/>
  <c r="D13" i="95" a="1"/>
  <c r="D13" i="95" s="1"/>
  <c r="E11" i="95" a="1"/>
  <c r="E11" i="95" s="1"/>
  <c r="E10" i="95" a="1"/>
  <c r="E10" i="95" s="1"/>
  <c r="D6" i="95" a="1"/>
  <c r="D6" i="95" s="1"/>
  <c r="D5" i="95" a="1"/>
  <c r="D5" i="95" s="1"/>
  <c r="F55" i="94" a="1"/>
  <c r="F55" i="94" s="1"/>
  <c r="D52" i="94" a="1"/>
  <c r="D52" i="94" s="1"/>
  <c r="K47" i="94"/>
  <c r="I44" i="94" a="1"/>
  <c r="I44" i="94" s="1"/>
  <c r="D44" i="94" a="1"/>
  <c r="D44" i="94" s="1"/>
  <c r="E42" i="94" a="1"/>
  <c r="E42" i="94" s="1"/>
  <c r="F50" i="94" s="1"/>
  <c r="E41" i="94" a="1"/>
  <c r="E41" i="94" s="1"/>
  <c r="D37" i="94" a="1"/>
  <c r="D37" i="94" s="1"/>
  <c r="D36" i="94" a="1"/>
  <c r="D36" i="94" s="1"/>
  <c r="I30" i="94" a="1"/>
  <c r="I30" i="94" s="1"/>
  <c r="I29" i="94" a="1"/>
  <c r="I29" i="94" s="1"/>
  <c r="I28" i="94" a="1"/>
  <c r="I28" i="94" s="1"/>
  <c r="I27" i="94" a="1"/>
  <c r="I27" i="94" s="1"/>
  <c r="I26" i="94" a="1"/>
  <c r="I26" i="94" s="1"/>
  <c r="I25" i="94" a="1"/>
  <c r="I25" i="94" s="1"/>
  <c r="I24" i="94" a="1"/>
  <c r="I24" i="94" s="1"/>
  <c r="I23" i="94" a="1"/>
  <c r="I23" i="94" s="1"/>
  <c r="I15" i="94" a="1"/>
  <c r="I15" i="94" s="1"/>
  <c r="I14" i="94" a="1"/>
  <c r="I14" i="94" s="1"/>
  <c r="I13" i="94" a="1"/>
  <c r="I13" i="94" s="1"/>
  <c r="G13" i="94" a="1"/>
  <c r="G13" i="94" s="1"/>
  <c r="D13" i="94" a="1"/>
  <c r="D13" i="94" s="1"/>
  <c r="E11" i="94" a="1"/>
  <c r="E11" i="94" s="1"/>
  <c r="F32" i="94" s="1"/>
  <c r="E10" i="94" a="1"/>
  <c r="E10" i="94" s="1"/>
  <c r="D6" i="94" a="1"/>
  <c r="D6" i="94" s="1"/>
  <c r="D5" i="94" a="1"/>
  <c r="D5" i="94" s="1"/>
  <c r="I53" i="93" a="1"/>
  <c r="I53" i="93" s="1"/>
  <c r="I52" i="93"/>
  <c r="I49" i="93" a="1"/>
  <c r="I49" i="93" s="1"/>
  <c r="G49" i="93" a="1"/>
  <c r="G49" i="93" s="1"/>
  <c r="D49" i="93" a="1"/>
  <c r="D49" i="93" s="1"/>
  <c r="E47" i="93" a="1"/>
  <c r="E47" i="93" s="1"/>
  <c r="E46" i="93" a="1"/>
  <c r="E46" i="93" s="1"/>
  <c r="D42" i="93" a="1"/>
  <c r="D42" i="93" s="1"/>
  <c r="D41" i="93" a="1"/>
  <c r="D41" i="93" s="1"/>
  <c r="I14" i="93" a="1"/>
  <c r="I14" i="93" s="1"/>
  <c r="I13" i="93" a="1"/>
  <c r="I13" i="93" s="1"/>
  <c r="G13" i="93" a="1"/>
  <c r="G13" i="93" s="1"/>
  <c r="D13" i="93" a="1"/>
  <c r="D13" i="93" s="1"/>
  <c r="E11" i="93" a="1"/>
  <c r="E11" i="93" s="1"/>
  <c r="E10" i="93" a="1"/>
  <c r="E10" i="93" s="1"/>
  <c r="D6" i="93" a="1"/>
  <c r="D6" i="93" s="1"/>
  <c r="D5" i="93" a="1"/>
  <c r="D5" i="93" s="1"/>
  <c r="O113" i="92" a="1"/>
  <c r="O113" i="92" s="1"/>
  <c r="M110" i="92" a="1"/>
  <c r="M110" i="92" s="1"/>
  <c r="F85" i="92" a="1"/>
  <c r="F85" i="92" s="1"/>
  <c r="D82" i="92" a="1"/>
  <c r="D82" i="92" s="1"/>
  <c r="S81" i="92"/>
  <c r="S80" i="92"/>
  <c r="S77" i="92" a="1"/>
  <c r="S77" i="92" s="1"/>
  <c r="Q77" i="92" a="1"/>
  <c r="Q77" i="92" s="1"/>
  <c r="M77" i="92" a="1"/>
  <c r="M77" i="92" s="1"/>
  <c r="N75" i="92" a="1"/>
  <c r="N75" i="92" s="1"/>
  <c r="N74" i="92" a="1"/>
  <c r="N74" i="92" s="1"/>
  <c r="M69" i="92" a="1"/>
  <c r="M69" i="92" s="1"/>
  <c r="M68" i="92" a="1"/>
  <c r="M68" i="92" s="1"/>
  <c r="I53" i="92"/>
  <c r="I52" i="92"/>
  <c r="I49" i="92" a="1"/>
  <c r="I49" i="92" s="1"/>
  <c r="G49" i="92" a="1"/>
  <c r="G49" i="92" s="1"/>
  <c r="D49" i="92" a="1"/>
  <c r="D49" i="92" s="1"/>
  <c r="E47" i="92" a="1"/>
  <c r="E47" i="92" s="1"/>
  <c r="E46" i="92" a="1"/>
  <c r="E46" i="92" s="1"/>
  <c r="D41" i="92" a="1"/>
  <c r="D41" i="92" s="1"/>
  <c r="D40" i="92" a="1"/>
  <c r="D40" i="92" s="1"/>
  <c r="R35" i="92" a="1"/>
  <c r="R35" i="92" s="1"/>
  <c r="P35" i="92" a="1"/>
  <c r="P35" i="92" s="1"/>
  <c r="M35" i="92" a="1"/>
  <c r="M35" i="92" s="1"/>
  <c r="N33" i="92" a="1"/>
  <c r="N33" i="92" s="1"/>
  <c r="V43" i="92" s="1"/>
  <c r="N32" i="92" a="1"/>
  <c r="N32" i="92" s="1"/>
  <c r="V44" i="92" s="1"/>
  <c r="M28" i="92" a="1"/>
  <c r="M28" i="92" s="1"/>
  <c r="M27" i="92" a="1"/>
  <c r="M27" i="92" s="1"/>
  <c r="R23" i="92" a="1"/>
  <c r="R23" i="92" s="1"/>
  <c r="P23" i="92" a="1"/>
  <c r="P23" i="92" s="1"/>
  <c r="M23" i="92" a="1"/>
  <c r="M23" i="92" s="1"/>
  <c r="N21" i="92" a="1"/>
  <c r="N21" i="92" s="1"/>
  <c r="S43" i="92" s="1"/>
  <c r="N20" i="92" a="1"/>
  <c r="N20" i="92" s="1"/>
  <c r="S44" i="92" s="1"/>
  <c r="M17" i="92" a="1"/>
  <c r="M17" i="92" s="1"/>
  <c r="M16" i="92" a="1"/>
  <c r="M16" i="92" s="1"/>
  <c r="I14" i="92" a="1"/>
  <c r="I14" i="92" s="1"/>
  <c r="I13" i="92" a="1"/>
  <c r="I13" i="92" s="1"/>
  <c r="G13" i="92" a="1"/>
  <c r="G13" i="92" s="1"/>
  <c r="D13" i="92" a="1"/>
  <c r="D13" i="92" s="1"/>
  <c r="R12" i="92" a="1"/>
  <c r="R12" i="92" s="1"/>
  <c r="P12" i="92" a="1"/>
  <c r="P12" i="92" s="1"/>
  <c r="M12" i="92" a="1"/>
  <c r="M12" i="92" s="1"/>
  <c r="E11" i="92" a="1"/>
  <c r="E11" i="92" s="1"/>
  <c r="N10" i="92" a="1"/>
  <c r="N10" i="92" s="1"/>
  <c r="R43" i="92" s="1"/>
  <c r="E10" i="92" a="1"/>
  <c r="E10" i="92" s="1"/>
  <c r="N9" i="92" a="1"/>
  <c r="N9" i="92" s="1"/>
  <c r="R44" i="92" s="1"/>
  <c r="M6" i="92" a="1"/>
  <c r="M6" i="92" s="1"/>
  <c r="D6" i="92" a="1"/>
  <c r="D6" i="92" s="1"/>
  <c r="M5" i="92" a="1"/>
  <c r="M5" i="92" s="1"/>
  <c r="D5" i="92" a="1"/>
  <c r="D5" i="92" s="1"/>
  <c r="G56" i="91"/>
  <c r="G55" i="91"/>
  <c r="G54" i="91"/>
  <c r="K44" i="91"/>
  <c r="K43" i="91"/>
  <c r="K42" i="91"/>
  <c r="A275" i="90"/>
  <c r="A217" i="90"/>
  <c r="O187" i="90" a="1"/>
  <c r="O187" i="90" s="1"/>
  <c r="F187" i="90" a="1"/>
  <c r="F187" i="90" s="1"/>
  <c r="M184" i="90" a="1"/>
  <c r="M184" i="90" s="1"/>
  <c r="D184" i="90" a="1"/>
  <c r="D184" i="90" s="1"/>
  <c r="A178" i="90"/>
  <c r="I155" i="90" a="1"/>
  <c r="I155" i="90" s="1"/>
  <c r="I154" i="90" a="1"/>
  <c r="I154" i="90" s="1"/>
  <c r="I153" i="90" a="1"/>
  <c r="I153" i="90" s="1"/>
  <c r="I152" i="90" a="1"/>
  <c r="I152" i="90" s="1"/>
  <c r="I151" i="90" a="1"/>
  <c r="I151" i="90" s="1"/>
  <c r="I150" i="90" a="1"/>
  <c r="I150" i="90" s="1"/>
  <c r="I149" i="90" a="1"/>
  <c r="I149" i="90" s="1"/>
  <c r="I148" i="90" a="1"/>
  <c r="I148" i="90" s="1"/>
  <c r="G148" i="90" a="1"/>
  <c r="F175" i="90" s="1"/>
  <c r="D148" i="90" a="1"/>
  <c r="D148" i="90" s="1"/>
  <c r="E146" i="90" a="1"/>
  <c r="E146" i="90" s="1"/>
  <c r="E145" i="90" a="1"/>
  <c r="E145" i="90" s="1"/>
  <c r="D138" i="90" a="1"/>
  <c r="D138" i="90" s="1"/>
  <c r="D137" i="90" a="1"/>
  <c r="D137" i="90" s="1"/>
  <c r="D136" i="90" a="1"/>
  <c r="D136" i="90" s="1"/>
  <c r="H127" i="90" a="1"/>
  <c r="H127" i="90" s="1"/>
  <c r="D127" i="90" a="1"/>
  <c r="D127" i="90" s="1"/>
  <c r="E125" i="90" a="1"/>
  <c r="E125" i="90" s="1"/>
  <c r="I132" i="90" s="1"/>
  <c r="E124" i="90" a="1"/>
  <c r="E124" i="90" s="1"/>
  <c r="D120" i="90" a="1"/>
  <c r="D120" i="90" s="1"/>
  <c r="D119" i="90" a="1"/>
  <c r="D119" i="90" s="1"/>
  <c r="I95" i="90" a="1"/>
  <c r="I95" i="90" s="1"/>
  <c r="I94" i="90" a="1"/>
  <c r="I94" i="90" s="1"/>
  <c r="I93" i="90" a="1"/>
  <c r="I93" i="90" s="1"/>
  <c r="I92" i="90" a="1"/>
  <c r="I92" i="90" s="1"/>
  <c r="G92" i="90" a="1"/>
  <c r="G92" i="90" s="1"/>
  <c r="D92" i="90" a="1"/>
  <c r="D92" i="90" s="1"/>
  <c r="E90" i="90" a="1"/>
  <c r="E90" i="90" s="1"/>
  <c r="E89" i="90" a="1"/>
  <c r="E89" i="90" s="1"/>
  <c r="D85" i="90" a="1"/>
  <c r="D85" i="90" s="1"/>
  <c r="D84" i="90" a="1"/>
  <c r="D84" i="90" s="1"/>
  <c r="I70" i="90" a="1"/>
  <c r="I70" i="90" s="1"/>
  <c r="I69" i="90"/>
  <c r="I66" i="90" a="1"/>
  <c r="I66" i="90" s="1"/>
  <c r="I65" i="90" a="1"/>
  <c r="I65" i="90" s="1"/>
  <c r="I64" i="90"/>
  <c r="D75" i="90" s="1"/>
  <c r="G64" i="90" a="1"/>
  <c r="G64" i="90" s="1"/>
  <c r="D64" i="90" a="1"/>
  <c r="D64" i="90" s="1"/>
  <c r="E62" i="90" a="1"/>
  <c r="E62" i="90" s="1"/>
  <c r="I80" i="90" s="1"/>
  <c r="E61" i="90" a="1"/>
  <c r="E61" i="90" s="1"/>
  <c r="D56" i="90" a="1"/>
  <c r="D56" i="90" s="1"/>
  <c r="D55" i="90" a="1"/>
  <c r="D55" i="90" s="1"/>
  <c r="D54" i="90" a="1"/>
  <c r="D54" i="90" s="1"/>
  <c r="I40" i="90"/>
  <c r="I38" i="90" a="1"/>
  <c r="I38" i="90" s="1"/>
  <c r="P37" i="90" a="1"/>
  <c r="P37" i="90" s="1"/>
  <c r="M37" i="90" a="1"/>
  <c r="M37" i="90" s="1"/>
  <c r="I37" i="90"/>
  <c r="D45" i="90" s="1"/>
  <c r="G37" i="90" a="1"/>
  <c r="G37" i="90" s="1"/>
  <c r="D37" i="90" a="1"/>
  <c r="D37" i="90" s="1"/>
  <c r="E35" i="90" a="1"/>
  <c r="E35" i="90" s="1"/>
  <c r="E34" i="90" a="1"/>
  <c r="E34" i="90" s="1"/>
  <c r="D30" i="90" a="1"/>
  <c r="D30" i="90" s="1"/>
  <c r="D29" i="90" a="1"/>
  <c r="D29" i="90" s="1"/>
  <c r="D28" i="90" a="1"/>
  <c r="D28" i="90" s="1"/>
  <c r="I14" i="90"/>
  <c r="G14" i="90" a="1"/>
  <c r="G14" i="90" s="1"/>
  <c r="D14" i="90" a="1"/>
  <c r="D14" i="90" s="1"/>
  <c r="E12" i="90" a="1"/>
  <c r="E12" i="90" s="1"/>
  <c r="E11" i="90" a="1"/>
  <c r="E11" i="90" s="1"/>
  <c r="D7" i="90" a="1"/>
  <c r="D7" i="90" s="1"/>
  <c r="D6" i="90" a="1"/>
  <c r="D6" i="90" s="1"/>
  <c r="D5" i="90" a="1"/>
  <c r="D5" i="90" s="1"/>
  <c r="F53" i="89"/>
  <c r="E53" i="89"/>
  <c r="F50" i="89"/>
  <c r="I40" i="89"/>
  <c r="H40" i="89"/>
  <c r="E37" i="89"/>
  <c r="I36" i="89"/>
  <c r="H36" i="89"/>
  <c r="D233" i="88" a="1"/>
  <c r="D233" i="88" s="1"/>
  <c r="E54" i="79" s="1"/>
  <c r="I40" i="80" s="1"/>
  <c r="D232" i="88" a="1"/>
  <c r="D232" i="88" s="1"/>
  <c r="D231" i="88" a="1"/>
  <c r="D231" i="88" s="1"/>
  <c r="D230" i="88" a="1"/>
  <c r="D230" i="88" s="1"/>
  <c r="D229" i="88" a="1"/>
  <c r="D229" i="88" s="1"/>
  <c r="D227" i="88" a="1"/>
  <c r="D227" i="88" s="1"/>
  <c r="D226" i="88" a="1"/>
  <c r="D226" i="88" s="1"/>
  <c r="D225" i="88" a="1"/>
  <c r="D225" i="88" s="1"/>
  <c r="D224" i="88" a="1"/>
  <c r="D224" i="88" s="1"/>
  <c r="D223" i="88" a="1"/>
  <c r="D223" i="88" s="1"/>
  <c r="D221" i="88" a="1"/>
  <c r="D221" i="88" s="1"/>
  <c r="I14" i="86" s="1"/>
  <c r="D220" i="88" a="1"/>
  <c r="D220" i="88" s="1"/>
  <c r="D219" i="88" a="1"/>
  <c r="D219" i="88" s="1"/>
  <c r="D218" i="88" a="1"/>
  <c r="D218" i="88" s="1"/>
  <c r="D217" i="88" a="1"/>
  <c r="D217" i="88" s="1"/>
  <c r="D215" i="88" a="1"/>
  <c r="D215" i="88" s="1"/>
  <c r="J15" i="83" s="1"/>
  <c r="A215" i="88"/>
  <c r="D214" i="88" a="1"/>
  <c r="D214" i="88" s="1"/>
  <c r="D213" i="88" a="1"/>
  <c r="D213" i="88" s="1"/>
  <c r="D212" i="88" a="1"/>
  <c r="D212" i="88" s="1"/>
  <c r="D211" i="88" a="1"/>
  <c r="D211" i="88" s="1"/>
  <c r="D209" i="88" a="1"/>
  <c r="D209" i="88" s="1"/>
  <c r="I15" i="87" s="1"/>
  <c r="D208" i="88" a="1"/>
  <c r="D208" i="88" s="1"/>
  <c r="D207" i="88" a="1"/>
  <c r="D207" i="88" s="1"/>
  <c r="D206" i="88" a="1"/>
  <c r="D206" i="88" s="1"/>
  <c r="D205" i="88" a="1"/>
  <c r="D205" i="88" s="1"/>
  <c r="D202" i="88" a="1"/>
  <c r="D202" i="88" s="1"/>
  <c r="I43" i="83" s="1"/>
  <c r="D201" i="88" a="1"/>
  <c r="D201" i="88" s="1"/>
  <c r="D200" i="88" a="1"/>
  <c r="D200" i="88" s="1"/>
  <c r="D199" i="88" a="1"/>
  <c r="D199" i="88" s="1"/>
  <c r="D198" i="88" a="1"/>
  <c r="D198" i="88" s="1"/>
  <c r="D195" i="88" a="1"/>
  <c r="D195" i="88" s="1"/>
  <c r="I221" i="80" s="1"/>
  <c r="D194" i="88" a="1"/>
  <c r="D194" i="88" s="1"/>
  <c r="D193" i="88" a="1"/>
  <c r="D193" i="88" s="1"/>
  <c r="D192" i="88" a="1"/>
  <c r="D192" i="88" s="1"/>
  <c r="D191" i="88" a="1"/>
  <c r="D191" i="88" s="1"/>
  <c r="D188" i="88" a="1"/>
  <c r="D188" i="88" s="1"/>
  <c r="I128" i="80" s="1"/>
  <c r="D187" i="88" a="1"/>
  <c r="D187" i="88" s="1"/>
  <c r="D186" i="88" a="1"/>
  <c r="D186" i="88" s="1"/>
  <c r="D185" i="88" a="1"/>
  <c r="D185" i="88" s="1"/>
  <c r="D184" i="88" a="1"/>
  <c r="D184" i="88" s="1"/>
  <c r="D181" i="88" a="1"/>
  <c r="D181" i="88" s="1"/>
  <c r="I67" i="80" s="1"/>
  <c r="D180" i="88" a="1"/>
  <c r="D180" i="88" s="1"/>
  <c r="D179" i="88" a="1"/>
  <c r="D179" i="88" s="1"/>
  <c r="D178" i="88" a="1"/>
  <c r="D178" i="88" s="1"/>
  <c r="D177" i="88" a="1"/>
  <c r="D177" i="88" s="1"/>
  <c r="D174" i="88" a="1"/>
  <c r="D174" i="88" s="1"/>
  <c r="I66" i="80" s="1"/>
  <c r="A174" i="88"/>
  <c r="D173" i="88" a="1"/>
  <c r="D173" i="88" s="1"/>
  <c r="D172" i="88" a="1"/>
  <c r="D172" i="88" s="1"/>
  <c r="D171" i="88" a="1"/>
  <c r="D171" i="88" s="1"/>
  <c r="D170" i="88" a="1"/>
  <c r="D170" i="88" s="1"/>
  <c r="D167" i="88" a="1"/>
  <c r="D167" i="88" s="1"/>
  <c r="I65" i="80" s="1"/>
  <c r="D166" i="88" a="1"/>
  <c r="D166" i="88" s="1"/>
  <c r="D165" i="88" a="1"/>
  <c r="D165" i="88" s="1"/>
  <c r="D164" i="88" a="1"/>
  <c r="D164" i="88" s="1"/>
  <c r="D163" i="88" a="1"/>
  <c r="D163" i="88" s="1"/>
  <c r="D160" i="88" a="1"/>
  <c r="D160" i="88" s="1"/>
  <c r="G36" i="89" s="1"/>
  <c r="D159" i="88" a="1"/>
  <c r="D159" i="88" s="1"/>
  <c r="D158" i="88" a="1"/>
  <c r="D158" i="88" s="1"/>
  <c r="D157" i="88" a="1"/>
  <c r="D157" i="88" s="1"/>
  <c r="D156" i="88" a="1"/>
  <c r="D156" i="88" s="1"/>
  <c r="D153" i="88" a="1"/>
  <c r="D153" i="88" s="1"/>
  <c r="G41" i="89" s="1"/>
  <c r="D152" i="88" a="1"/>
  <c r="D152" i="88" s="1"/>
  <c r="D151" i="88" a="1"/>
  <c r="D151" i="88" s="1"/>
  <c r="D150" i="88" a="1"/>
  <c r="D150" i="88" s="1"/>
  <c r="D149" i="88" a="1"/>
  <c r="D149" i="88" s="1"/>
  <c r="F146" i="88" a="1"/>
  <c r="F146" i="88" s="1"/>
  <c r="E146" i="88" a="1"/>
  <c r="E146" i="88" s="1"/>
  <c r="D146" i="88" a="1"/>
  <c r="D146" i="88" s="1"/>
  <c r="F145" i="88" a="1"/>
  <c r="F145" i="88" s="1"/>
  <c r="E145" i="88" a="1"/>
  <c r="E145" i="88" s="1"/>
  <c r="D145" i="88" a="1"/>
  <c r="D145" i="88" s="1"/>
  <c r="F144" i="88" a="1"/>
  <c r="F144" i="88" s="1"/>
  <c r="E144" i="88" a="1"/>
  <c r="E144" i="88" s="1"/>
  <c r="D144" i="88" a="1"/>
  <c r="D144" i="88" s="1"/>
  <c r="F143" i="88" a="1"/>
  <c r="F143" i="88" s="1"/>
  <c r="E143" i="88" a="1"/>
  <c r="E143" i="88" s="1"/>
  <c r="D143" i="88" a="1"/>
  <c r="D143" i="88" s="1"/>
  <c r="F142" i="88" a="1"/>
  <c r="F142" i="88" s="1"/>
  <c r="E142" i="88" a="1"/>
  <c r="E142" i="88" s="1"/>
  <c r="D142" i="88" a="1"/>
  <c r="D142" i="88" s="1"/>
  <c r="D140" i="88" a="1"/>
  <c r="D140" i="88" s="1"/>
  <c r="D139" i="88" a="1"/>
  <c r="D139" i="88" s="1"/>
  <c r="D138" i="88" a="1"/>
  <c r="D138" i="88" s="1"/>
  <c r="D137" i="88" a="1"/>
  <c r="D137" i="88" s="1"/>
  <c r="D136" i="88" a="1"/>
  <c r="D136" i="88" s="1"/>
  <c r="F133" i="88" a="1"/>
  <c r="F133" i="88" s="1"/>
  <c r="E133" i="88" a="1"/>
  <c r="E133" i="88" s="1"/>
  <c r="D133" i="88" a="1"/>
  <c r="D133" i="88" s="1"/>
  <c r="F132" i="88" a="1"/>
  <c r="F132" i="88" s="1"/>
  <c r="E132" i="88" a="1"/>
  <c r="E132" i="88" s="1"/>
  <c r="D132" i="88" a="1"/>
  <c r="D132" i="88" s="1"/>
  <c r="F131" i="88" a="1"/>
  <c r="F131" i="88" s="1"/>
  <c r="E131" i="88" a="1"/>
  <c r="E131" i="88" s="1"/>
  <c r="D131" i="88" a="1"/>
  <c r="D131" i="88" s="1"/>
  <c r="F130" i="88" a="1"/>
  <c r="F130" i="88" s="1"/>
  <c r="E130" i="88" a="1"/>
  <c r="E130" i="88" s="1"/>
  <c r="D130" i="88" a="1"/>
  <c r="D130" i="88" s="1"/>
  <c r="F129" i="88" a="1"/>
  <c r="F129" i="88" s="1"/>
  <c r="E129" i="88" a="1"/>
  <c r="E129" i="88" s="1"/>
  <c r="D129" i="88" a="1"/>
  <c r="D129" i="88" s="1"/>
  <c r="D127" i="88" a="1"/>
  <c r="D127" i="88" s="1"/>
  <c r="D126" i="88" a="1"/>
  <c r="D126" i="88" s="1"/>
  <c r="D125" i="88" a="1"/>
  <c r="D125" i="88" s="1"/>
  <c r="D124" i="88" a="1"/>
  <c r="D124" i="88" s="1"/>
  <c r="D123" i="88" a="1"/>
  <c r="D123" i="88" s="1"/>
  <c r="G120" i="88" a="1"/>
  <c r="G120" i="88" s="1"/>
  <c r="F120" i="88" a="1"/>
  <c r="F120" i="88" s="1"/>
  <c r="E120" i="88" a="1"/>
  <c r="E120" i="88" s="1"/>
  <c r="D120" i="88" a="1"/>
  <c r="D120" i="88" s="1"/>
  <c r="G119" i="88" a="1"/>
  <c r="G119" i="88" s="1"/>
  <c r="F119" i="88" a="1"/>
  <c r="F119" i="88" s="1"/>
  <c r="E119" i="88" a="1"/>
  <c r="E119" i="88" s="1"/>
  <c r="D119" i="88" a="1"/>
  <c r="D119" i="88" s="1"/>
  <c r="G118" i="88" a="1"/>
  <c r="G118" i="88" s="1"/>
  <c r="F118" i="88" a="1"/>
  <c r="F118" i="88" s="1"/>
  <c r="E118" i="88" a="1"/>
  <c r="E118" i="88" s="1"/>
  <c r="D118" i="88" a="1"/>
  <c r="D118" i="88" s="1"/>
  <c r="G117" i="88" a="1"/>
  <c r="G117" i="88" s="1"/>
  <c r="F117" i="88" a="1"/>
  <c r="F117" i="88" s="1"/>
  <c r="E117" i="88" a="1"/>
  <c r="E117" i="88" s="1"/>
  <c r="D117" i="88" a="1"/>
  <c r="D117" i="88" s="1"/>
  <c r="D115" i="88" a="1"/>
  <c r="D115" i="88" s="1"/>
  <c r="D114" i="88" a="1"/>
  <c r="D114" i="88" s="1"/>
  <c r="D113" i="88" a="1"/>
  <c r="D113" i="88" s="1"/>
  <c r="D112" i="88" a="1"/>
  <c r="D112" i="88" s="1"/>
  <c r="E109" i="88" a="1"/>
  <c r="E109" i="88" s="1"/>
  <c r="D109" i="88" a="1"/>
  <c r="D109" i="88" s="1"/>
  <c r="E108" i="88" a="1"/>
  <c r="E108" i="88" s="1"/>
  <c r="D108" i="88" a="1"/>
  <c r="D108" i="88" s="1"/>
  <c r="D106" i="88" a="1"/>
  <c r="D106" i="88" s="1"/>
  <c r="D105" i="88" a="1"/>
  <c r="D105" i="88" s="1"/>
  <c r="D104" i="88" a="1"/>
  <c r="D104" i="88" s="1"/>
  <c r="D103" i="88" a="1"/>
  <c r="D103" i="88" s="1"/>
  <c r="E100" i="88" a="1"/>
  <c r="E100" i="88" s="1"/>
  <c r="E175" i="90" s="1"/>
  <c r="D100" i="88" a="1"/>
  <c r="D100" i="88" s="1"/>
  <c r="E99" i="88" a="1"/>
  <c r="E99" i="88" s="1"/>
  <c r="D175" i="90" s="1"/>
  <c r="D99" i="88" a="1"/>
  <c r="D99" i="88" s="1"/>
  <c r="D97" i="88" a="1"/>
  <c r="D97" i="88" s="1"/>
  <c r="D96" i="88" a="1"/>
  <c r="D96" i="88" s="1"/>
  <c r="D95" i="88" a="1"/>
  <c r="D95" i="88" s="1"/>
  <c r="D94" i="88" a="1"/>
  <c r="D94" i="88" s="1"/>
  <c r="G91" i="88" a="1"/>
  <c r="G91" i="88" s="1"/>
  <c r="F91" i="88" a="1"/>
  <c r="F91" i="88" s="1"/>
  <c r="E91" i="88" a="1"/>
  <c r="E91" i="88" s="1"/>
  <c r="D91" i="88" a="1"/>
  <c r="D91" i="88" s="1"/>
  <c r="G90" i="88" a="1"/>
  <c r="G90" i="88" s="1"/>
  <c r="F90" i="88" a="1"/>
  <c r="F90" i="88" s="1"/>
  <c r="E90" i="88" a="1"/>
  <c r="E90" i="88" s="1"/>
  <c r="D90" i="88" a="1"/>
  <c r="D90" i="88" s="1"/>
  <c r="G89" i="88" a="1"/>
  <c r="G89" i="88" s="1"/>
  <c r="F89" i="88" a="1"/>
  <c r="F89" i="88" s="1"/>
  <c r="E89" i="88" a="1"/>
  <c r="E89" i="88" s="1"/>
  <c r="D89" i="88" a="1"/>
  <c r="D89" i="88" s="1"/>
  <c r="G88" i="88" a="1"/>
  <c r="G88" i="88" s="1"/>
  <c r="F88" i="88" a="1"/>
  <c r="F88" i="88" s="1"/>
  <c r="E88" i="88" a="1"/>
  <c r="E88" i="88" s="1"/>
  <c r="D88" i="88" a="1"/>
  <c r="D88" i="88" s="1"/>
  <c r="G87" i="88" a="1"/>
  <c r="G87" i="88" s="1"/>
  <c r="F87" i="88" a="1"/>
  <c r="F87" i="88" s="1"/>
  <c r="E87" i="88" a="1"/>
  <c r="E87" i="88" s="1"/>
  <c r="D87" i="88" a="1"/>
  <c r="D87" i="88" s="1"/>
  <c r="D85" i="88" a="1"/>
  <c r="D85" i="88" s="1"/>
  <c r="D84" i="88" a="1"/>
  <c r="D84" i="88" s="1"/>
  <c r="D83" i="88" a="1"/>
  <c r="D83" i="88" s="1"/>
  <c r="D82" i="88" a="1"/>
  <c r="D82" i="88" s="1"/>
  <c r="D81" i="88" a="1"/>
  <c r="D81" i="88" s="1"/>
  <c r="M78" i="88" a="1"/>
  <c r="M78" i="88" s="1"/>
  <c r="L78" i="88" a="1"/>
  <c r="L78" i="88" s="1"/>
  <c r="K78" i="88" a="1"/>
  <c r="K78" i="88" s="1"/>
  <c r="J78" i="88" a="1"/>
  <c r="J78" i="88" s="1"/>
  <c r="I78" i="88" a="1"/>
  <c r="I78" i="88" s="1"/>
  <c r="H78" i="88" a="1"/>
  <c r="H78" i="88" s="1"/>
  <c r="G78" i="88" a="1"/>
  <c r="G78" i="88" s="1"/>
  <c r="F78" i="88" a="1"/>
  <c r="F78" i="88" s="1"/>
  <c r="E78" i="88" a="1"/>
  <c r="E78" i="88" s="1"/>
  <c r="D78" i="88" a="1"/>
  <c r="D78" i="88" s="1"/>
  <c r="M77" i="88" a="1"/>
  <c r="M77" i="88" s="1"/>
  <c r="L77" i="88" a="1"/>
  <c r="L77" i="88" s="1"/>
  <c r="K77" i="88" a="1"/>
  <c r="K77" i="88" s="1"/>
  <c r="J77" i="88" a="1"/>
  <c r="J77" i="88" s="1"/>
  <c r="I77" i="88" a="1"/>
  <c r="I77" i="88" s="1"/>
  <c r="H77" i="88" a="1"/>
  <c r="H77" i="88" s="1"/>
  <c r="G77" i="88" a="1"/>
  <c r="G77" i="88" s="1"/>
  <c r="F77" i="88" a="1"/>
  <c r="F77" i="88" s="1"/>
  <c r="E77" i="88" a="1"/>
  <c r="E77" i="88" s="1"/>
  <c r="D77" i="88" a="1"/>
  <c r="D77" i="88" s="1"/>
  <c r="M76" i="88" a="1"/>
  <c r="M76" i="88" s="1"/>
  <c r="L76" i="88" a="1"/>
  <c r="L76" i="88" s="1"/>
  <c r="K76" i="88" a="1"/>
  <c r="K76" i="88" s="1"/>
  <c r="J76" i="88" a="1"/>
  <c r="J76" i="88" s="1"/>
  <c r="I76" i="88" a="1"/>
  <c r="I76" i="88" s="1"/>
  <c r="H76" i="88" a="1"/>
  <c r="H76" i="88" s="1"/>
  <c r="G76" i="88" a="1"/>
  <c r="G76" i="88" s="1"/>
  <c r="F76" i="88" a="1"/>
  <c r="F76" i="88" s="1"/>
  <c r="E76" i="88" a="1"/>
  <c r="E76" i="88" s="1"/>
  <c r="D76" i="88" a="1"/>
  <c r="D76" i="88" s="1"/>
  <c r="M75" i="88" a="1"/>
  <c r="M75" i="88" s="1"/>
  <c r="L75" i="88" a="1"/>
  <c r="L75" i="88" s="1"/>
  <c r="K75" i="88" a="1"/>
  <c r="K75" i="88" s="1"/>
  <c r="J75" i="88" a="1"/>
  <c r="J75" i="88" s="1"/>
  <c r="I75" i="88" a="1"/>
  <c r="I75" i="88" s="1"/>
  <c r="H75" i="88" a="1"/>
  <c r="H75" i="88" s="1"/>
  <c r="G75" i="88" a="1"/>
  <c r="G75" i="88" s="1"/>
  <c r="F75" i="88" a="1"/>
  <c r="F75" i="88" s="1"/>
  <c r="E75" i="88" a="1"/>
  <c r="E75" i="88" s="1"/>
  <c r="D75" i="88" a="1"/>
  <c r="D75" i="88" s="1"/>
  <c r="M74" i="88" a="1"/>
  <c r="M74" i="88" s="1"/>
  <c r="L74" i="88" a="1"/>
  <c r="L74" i="88" s="1"/>
  <c r="K74" i="88" a="1"/>
  <c r="K74" i="88" s="1"/>
  <c r="J74" i="88" a="1"/>
  <c r="J74" i="88" s="1"/>
  <c r="I74" i="88" a="1"/>
  <c r="I74" i="88" s="1"/>
  <c r="H74" i="88" a="1"/>
  <c r="H74" i="88" s="1"/>
  <c r="G74" i="88" a="1"/>
  <c r="G74" i="88" s="1"/>
  <c r="F74" i="88" a="1"/>
  <c r="F74" i="88" s="1"/>
  <c r="E74" i="88" a="1"/>
  <c r="E74" i="88" s="1"/>
  <c r="D74" i="88" a="1"/>
  <c r="D74" i="88" s="1"/>
  <c r="M73" i="88" a="1"/>
  <c r="M73" i="88" s="1"/>
  <c r="L73" i="88" a="1"/>
  <c r="L73" i="88" s="1"/>
  <c r="K73" i="88" a="1"/>
  <c r="K73" i="88" s="1"/>
  <c r="J73" i="88" a="1"/>
  <c r="J73" i="88" s="1"/>
  <c r="I73" i="88" a="1"/>
  <c r="I73" i="88" s="1"/>
  <c r="H73" i="88" a="1"/>
  <c r="H73" i="88" s="1"/>
  <c r="G73" i="88" a="1"/>
  <c r="G73" i="88" s="1"/>
  <c r="F73" i="88" a="1"/>
  <c r="F73" i="88" s="1"/>
  <c r="E73" i="88" a="1"/>
  <c r="E73" i="88" s="1"/>
  <c r="D73" i="88" a="1"/>
  <c r="D73" i="88" s="1"/>
  <c r="D71" i="88" a="1"/>
  <c r="D71" i="88" s="1"/>
  <c r="D70" i="88" a="1"/>
  <c r="D70" i="88" s="1"/>
  <c r="D69" i="88" a="1"/>
  <c r="D69" i="88" s="1"/>
  <c r="D68" i="88" a="1"/>
  <c r="D68" i="88" s="1"/>
  <c r="D67" i="88" a="1"/>
  <c r="D67" i="88" s="1"/>
  <c r="G64" i="88" a="1"/>
  <c r="G64" i="88" s="1"/>
  <c r="H198" i="81" s="1"/>
  <c r="F64" i="88" a="1"/>
  <c r="F64" i="88" s="1"/>
  <c r="E64" i="88" a="1"/>
  <c r="E64" i="88" s="1"/>
  <c r="H280" i="80" s="1"/>
  <c r="D64" i="88" a="1"/>
  <c r="D64" i="88" s="1"/>
  <c r="G63" i="88" a="1"/>
  <c r="G63" i="88" s="1"/>
  <c r="F198" i="81" s="1"/>
  <c r="F63" i="88" a="1"/>
  <c r="F63" i="88" s="1"/>
  <c r="E63" i="88" a="1"/>
  <c r="E63" i="88" s="1"/>
  <c r="F280" i="80" s="1"/>
  <c r="D63" i="88" a="1"/>
  <c r="D63" i="88" s="1"/>
  <c r="D61" i="88" a="1"/>
  <c r="D61" i="88" s="1"/>
  <c r="D60" i="88" a="1"/>
  <c r="D60" i="88" s="1"/>
  <c r="D59" i="88" a="1"/>
  <c r="D59" i="88" s="1"/>
  <c r="D58" i="88" a="1"/>
  <c r="D58" i="88" s="1"/>
  <c r="H55" i="88" a="1"/>
  <c r="H55" i="88" s="1"/>
  <c r="H24" i="81" s="1" a="1"/>
  <c r="H24" i="81" s="1"/>
  <c r="G55" i="88" a="1"/>
  <c r="G55" i="88" s="1"/>
  <c r="G24" i="81" s="1" a="1"/>
  <c r="G24" i="81" s="1"/>
  <c r="F55" i="88" a="1"/>
  <c r="F55" i="88" s="1"/>
  <c r="F24" i="81" s="1" a="1"/>
  <c r="F24" i="81" s="1"/>
  <c r="E55" i="88" a="1"/>
  <c r="E55" i="88" s="1"/>
  <c r="E24" i="81" s="1" a="1"/>
  <c r="E24" i="81" s="1"/>
  <c r="D55" i="88" a="1"/>
  <c r="D55" i="88" s="1"/>
  <c r="D24" i="81" s="1" a="1"/>
  <c r="D24" i="81" s="1"/>
  <c r="D53" i="88" a="1"/>
  <c r="D53" i="88" s="1"/>
  <c r="D52" i="88" a="1"/>
  <c r="D52" i="88" s="1"/>
  <c r="D51" i="88" a="1"/>
  <c r="D51" i="88" s="1"/>
  <c r="D50" i="88" a="1"/>
  <c r="D50" i="88" s="1"/>
  <c r="H47" i="88" a="1"/>
  <c r="H47" i="88" s="1"/>
  <c r="G47" i="88" a="1"/>
  <c r="G47" i="88" s="1"/>
  <c r="F47" i="88" a="1"/>
  <c r="F47" i="88" s="1"/>
  <c r="E47" i="88" a="1"/>
  <c r="E47" i="88" s="1"/>
  <c r="D47" i="88" a="1"/>
  <c r="D47" i="88" s="1"/>
  <c r="D45" i="88" a="1"/>
  <c r="D45" i="88" s="1"/>
  <c r="D44" i="88" a="1"/>
  <c r="D44" i="88" s="1"/>
  <c r="D43" i="88" a="1"/>
  <c r="D43" i="88" s="1"/>
  <c r="D42" i="88" a="1"/>
  <c r="D42" i="88" s="1"/>
  <c r="F39" i="88" a="1"/>
  <c r="F39" i="88" s="1"/>
  <c r="I18" i="79" s="1" a="1"/>
  <c r="I18" i="79" s="1"/>
  <c r="S99" i="80" s="1"/>
  <c r="E39" i="88" a="1"/>
  <c r="E39" i="88" s="1"/>
  <c r="H18" i="79" s="1" a="1"/>
  <c r="H18" i="79" s="1"/>
  <c r="R99" i="80" s="1"/>
  <c r="D39" i="88" a="1"/>
  <c r="D39" i="88" s="1"/>
  <c r="D37" i="88" a="1"/>
  <c r="D37" i="88" s="1"/>
  <c r="D36" i="88" a="1"/>
  <c r="D36" i="88" s="1"/>
  <c r="D35" i="88" a="1"/>
  <c r="D35" i="88" s="1"/>
  <c r="D34" i="88" a="1"/>
  <c r="D34" i="88" s="1"/>
  <c r="G31" i="88" a="1"/>
  <c r="G31" i="88" s="1"/>
  <c r="F31" i="88" a="1"/>
  <c r="F31" i="88" s="1"/>
  <c r="E31" i="88" a="1"/>
  <c r="E31" i="88" s="1"/>
  <c r="D31" i="88" a="1"/>
  <c r="D31" i="88" s="1"/>
  <c r="G30" i="88" a="1"/>
  <c r="G30" i="88" s="1"/>
  <c r="F30" i="88" a="1"/>
  <c r="F30" i="88" s="1"/>
  <c r="E30" i="88" a="1"/>
  <c r="E30" i="88" s="1"/>
  <c r="D30" i="88" a="1"/>
  <c r="D30" i="88" s="1"/>
  <c r="G29" i="88" a="1"/>
  <c r="G29" i="88" s="1"/>
  <c r="F29" i="88" a="1"/>
  <c r="F29" i="88" s="1"/>
  <c r="E29" i="88" a="1"/>
  <c r="E29" i="88" s="1"/>
  <c r="D29" i="88" a="1"/>
  <c r="D29" i="88" s="1"/>
  <c r="G28" i="88" a="1"/>
  <c r="G28" i="88" s="1"/>
  <c r="F28" i="88" a="1"/>
  <c r="F28" i="88" s="1"/>
  <c r="E28" i="88" a="1"/>
  <c r="E28" i="88" s="1"/>
  <c r="D28" i="88" a="1"/>
  <c r="D28" i="88" s="1"/>
  <c r="G27" i="88" a="1"/>
  <c r="G27" i="88" s="1"/>
  <c r="F27" i="88" a="1"/>
  <c r="F27" i="88" s="1"/>
  <c r="E27" i="88" a="1"/>
  <c r="E27" i="88" s="1"/>
  <c r="D27" i="88" a="1"/>
  <c r="D27" i="88" s="1"/>
  <c r="G26" i="88" a="1"/>
  <c r="G26" i="88" s="1"/>
  <c r="F26" i="88" a="1"/>
  <c r="F26" i="88" s="1"/>
  <c r="E26" i="88" a="1"/>
  <c r="E26" i="88" s="1"/>
  <c r="D26" i="88" a="1"/>
  <c r="D26" i="88" s="1"/>
  <c r="G25" i="88" a="1"/>
  <c r="G25" i="88" s="1"/>
  <c r="F25" i="88" a="1"/>
  <c r="F25" i="88" s="1"/>
  <c r="E25" i="88" a="1"/>
  <c r="E25" i="88" s="1"/>
  <c r="D25" i="88" a="1"/>
  <c r="D25" i="88" s="1"/>
  <c r="G24" i="88" a="1"/>
  <c r="G24" i="88" s="1"/>
  <c r="F24" i="88" a="1"/>
  <c r="F24" i="88" s="1"/>
  <c r="E24" i="88" a="1"/>
  <c r="E24" i="88" s="1"/>
  <c r="D24" i="88" a="1"/>
  <c r="D24" i="88" s="1"/>
  <c r="G23" i="88" a="1"/>
  <c r="G23" i="88" s="1"/>
  <c r="F23" i="88" a="1"/>
  <c r="F23" i="88" s="1"/>
  <c r="E23" i="88" a="1"/>
  <c r="E23" i="88" s="1"/>
  <c r="D23" i="88" a="1"/>
  <c r="D23" i="88" s="1"/>
  <c r="G22" i="88" a="1"/>
  <c r="G22" i="88" s="1"/>
  <c r="F22" i="88" a="1"/>
  <c r="F22" i="88" s="1"/>
  <c r="E22" i="88" a="1"/>
  <c r="E22" i="88" s="1"/>
  <c r="D22" i="88" a="1"/>
  <c r="D22" i="88" s="1"/>
  <c r="D20" i="88" a="1"/>
  <c r="D20" i="88" s="1"/>
  <c r="D19" i="88" a="1"/>
  <c r="D19" i="88" s="1"/>
  <c r="D18" i="88" a="1"/>
  <c r="D18" i="88" s="1"/>
  <c r="D17" i="88" a="1"/>
  <c r="D17" i="88" s="1"/>
  <c r="D16" i="88" a="1"/>
  <c r="D16" i="88" s="1"/>
  <c r="Q52" i="87" a="1"/>
  <c r="Q52" i="87" s="1"/>
  <c r="F52" i="87" a="1"/>
  <c r="F52" i="87" s="1"/>
  <c r="O49" i="87" a="1"/>
  <c r="O49" i="87" s="1"/>
  <c r="D49" i="87" a="1"/>
  <c r="D49" i="87" s="1"/>
  <c r="S43" i="87" a="1"/>
  <c r="S43" i="87" s="1"/>
  <c r="O43" i="87" a="1"/>
  <c r="O43" i="87" s="1"/>
  <c r="H43" i="87" a="1"/>
  <c r="H43" i="87" s="1"/>
  <c r="D43" i="87" a="1"/>
  <c r="D43" i="87" s="1"/>
  <c r="E41" i="87" a="1"/>
  <c r="E41" i="87" s="1"/>
  <c r="E40" i="87" a="1"/>
  <c r="E40" i="87" s="1"/>
  <c r="D36" i="87" a="1"/>
  <c r="D36" i="87" s="1"/>
  <c r="D35" i="87" a="1"/>
  <c r="D35" i="87" s="1"/>
  <c r="O28" i="87"/>
  <c r="D28" i="87"/>
  <c r="O23" i="87"/>
  <c r="D23" i="87"/>
  <c r="I18" i="87"/>
  <c r="I17" i="87"/>
  <c r="I16" i="87"/>
  <c r="I13" i="87" a="1"/>
  <c r="I13" i="87" s="1"/>
  <c r="G13" i="87" a="1"/>
  <c r="G13" i="87" s="1"/>
  <c r="D13" i="87" a="1"/>
  <c r="D13" i="87" s="1"/>
  <c r="E11" i="87" a="1"/>
  <c r="E11" i="87" s="1"/>
  <c r="E10" i="87" a="1"/>
  <c r="E10" i="87" s="1"/>
  <c r="D6" i="87" a="1"/>
  <c r="D6" i="87" s="1"/>
  <c r="D5" i="87" a="1"/>
  <c r="D5" i="87" s="1"/>
  <c r="Q50" i="86" a="1"/>
  <c r="Q50" i="86" s="1"/>
  <c r="F50" i="86" a="1"/>
  <c r="F50" i="86" s="1"/>
  <c r="O47" i="86" a="1"/>
  <c r="O47" i="86" s="1"/>
  <c r="D47" i="86" a="1"/>
  <c r="D47" i="86" s="1"/>
  <c r="I42" i="86"/>
  <c r="I41" i="86"/>
  <c r="G38" i="86" a="1"/>
  <c r="G38" i="86" s="1"/>
  <c r="D38" i="86" a="1"/>
  <c r="P38" i="86" s="1"/>
  <c r="E36" i="86" a="1"/>
  <c r="E36" i="86" s="1"/>
  <c r="E35" i="86" a="1"/>
  <c r="E35" i="86" s="1"/>
  <c r="D31" i="86" a="1"/>
  <c r="D31" i="86" s="1"/>
  <c r="D30" i="86" a="1"/>
  <c r="D30" i="86" s="1"/>
  <c r="O24" i="86"/>
  <c r="D24" i="86"/>
  <c r="O19" i="86"/>
  <c r="D19" i="86"/>
  <c r="I13" i="86" a="1"/>
  <c r="I13" i="86" s="1"/>
  <c r="G13" i="86" a="1"/>
  <c r="G13" i="86" s="1"/>
  <c r="D13" i="86" a="1"/>
  <c r="D13" i="86" s="1"/>
  <c r="E11" i="86" a="1"/>
  <c r="E11" i="86" s="1"/>
  <c r="Q26" i="86" s="1"/>
  <c r="E10" i="86" a="1"/>
  <c r="E10" i="86" s="1"/>
  <c r="D6" i="86" a="1"/>
  <c r="D6" i="86" s="1"/>
  <c r="D5" i="86" a="1"/>
  <c r="D5" i="86" s="1"/>
  <c r="Q58" i="85" a="1"/>
  <c r="Q58" i="85" s="1"/>
  <c r="F58" i="85" a="1"/>
  <c r="F58" i="85" s="1"/>
  <c r="O55" i="85" a="1"/>
  <c r="O55" i="85" s="1"/>
  <c r="D55" i="85" a="1"/>
  <c r="D55" i="85" s="1"/>
  <c r="O51" i="85"/>
  <c r="D51" i="85"/>
  <c r="J43" i="85" a="1"/>
  <c r="J43" i="85" s="1"/>
  <c r="H43" i="85" a="1"/>
  <c r="H43" i="85" s="1"/>
  <c r="D43" i="85" a="1"/>
  <c r="D43" i="85" s="1"/>
  <c r="E41" i="85" a="1"/>
  <c r="E41" i="85" s="1"/>
  <c r="Q53" i="85" s="1"/>
  <c r="E40" i="85" a="1"/>
  <c r="E40" i="85" s="1"/>
  <c r="D36" i="85" a="1"/>
  <c r="D36" i="85" s="1"/>
  <c r="D35" i="85" a="1"/>
  <c r="D35" i="85" s="1"/>
  <c r="O31" i="85"/>
  <c r="D31" i="85"/>
  <c r="O25" i="85"/>
  <c r="D25" i="85"/>
  <c r="I14" i="85" a="1"/>
  <c r="I14" i="85" s="1"/>
  <c r="I13" i="85" a="1"/>
  <c r="I13" i="85" s="1"/>
  <c r="G13" i="85" a="1"/>
  <c r="G13" i="85" s="1"/>
  <c r="D13" i="85" a="1"/>
  <c r="D13" i="85" s="1"/>
  <c r="E11" i="85" a="1"/>
  <c r="E11" i="85" s="1"/>
  <c r="K31" i="85" s="1"/>
  <c r="E10" i="85" a="1"/>
  <c r="E10" i="85" s="1"/>
  <c r="D6" i="85" a="1"/>
  <c r="D6" i="85" s="1"/>
  <c r="D5" i="85" a="1"/>
  <c r="D5" i="85" s="1"/>
  <c r="O146" i="84"/>
  <c r="D146" i="84"/>
  <c r="O145" i="84"/>
  <c r="D145" i="84"/>
  <c r="O144" i="84"/>
  <c r="D144" i="84"/>
  <c r="O143" i="84"/>
  <c r="D143" i="84"/>
  <c r="O142" i="84"/>
  <c r="D142" i="84"/>
  <c r="O141" i="84"/>
  <c r="D141" i="84"/>
  <c r="P140" i="84"/>
  <c r="O140" i="84"/>
  <c r="E140" i="84"/>
  <c r="D140" i="84"/>
  <c r="O139" i="84"/>
  <c r="D139" i="84"/>
  <c r="F134" i="84"/>
  <c r="D134" i="84"/>
  <c r="F133" i="84"/>
  <c r="D133" i="84"/>
  <c r="F132" i="84"/>
  <c r="D132" i="84"/>
  <c r="F131" i="84"/>
  <c r="D131" i="84"/>
  <c r="F130" i="84"/>
  <c r="D130" i="84"/>
  <c r="F129" i="84"/>
  <c r="D129" i="84"/>
  <c r="F128" i="84"/>
  <c r="D128" i="84"/>
  <c r="F127" i="84"/>
  <c r="D127" i="84"/>
  <c r="O113" i="84"/>
  <c r="D113" i="84"/>
  <c r="O112" i="84"/>
  <c r="D112" i="84"/>
  <c r="O111" i="84"/>
  <c r="D111" i="84"/>
  <c r="O110" i="84"/>
  <c r="D110" i="84"/>
  <c r="O109" i="84"/>
  <c r="D109" i="84"/>
  <c r="O108" i="84"/>
  <c r="D108" i="84"/>
  <c r="P107" i="84"/>
  <c r="O107" i="84"/>
  <c r="D107" i="84"/>
  <c r="O106" i="84"/>
  <c r="D106" i="84"/>
  <c r="I101" i="84" a="1"/>
  <c r="I101" i="84" s="1"/>
  <c r="I100" i="84" a="1"/>
  <c r="I100" i="84" s="1"/>
  <c r="I99" i="84" a="1"/>
  <c r="I99" i="84" s="1"/>
  <c r="I98" i="84" a="1"/>
  <c r="I98" i="84" s="1"/>
  <c r="I97" i="84" a="1"/>
  <c r="I97" i="84" s="1"/>
  <c r="G97" i="84" a="1"/>
  <c r="G127" i="84" s="1"/>
  <c r="D97" i="84" a="1"/>
  <c r="D97" i="84" s="1"/>
  <c r="E95" i="84" a="1"/>
  <c r="E95" i="84" s="1"/>
  <c r="E94" i="84" a="1"/>
  <c r="E94" i="84" s="1"/>
  <c r="D90" i="84" a="1"/>
  <c r="D90" i="84" s="1"/>
  <c r="D89" i="84" a="1"/>
  <c r="D89" i="84" s="1"/>
  <c r="O83" i="84"/>
  <c r="D83" i="84"/>
  <c r="O82" i="84"/>
  <c r="D82" i="84"/>
  <c r="O81" i="84"/>
  <c r="D81" i="84"/>
  <c r="O80" i="84"/>
  <c r="D80" i="84"/>
  <c r="O79" i="84"/>
  <c r="D79" i="84"/>
  <c r="O78" i="84"/>
  <c r="D78" i="84"/>
  <c r="P77" i="84"/>
  <c r="O77" i="84"/>
  <c r="E77" i="84"/>
  <c r="D77" i="84"/>
  <c r="O76" i="84"/>
  <c r="D76" i="84"/>
  <c r="E71" i="84"/>
  <c r="D71" i="84"/>
  <c r="D70" i="84"/>
  <c r="F69" i="84"/>
  <c r="D69" i="84"/>
  <c r="D68" i="84"/>
  <c r="D67" i="84"/>
  <c r="F66" i="84"/>
  <c r="D66" i="84"/>
  <c r="E65" i="84"/>
  <c r="D65" i="84"/>
  <c r="D64" i="84"/>
  <c r="O59" i="84"/>
  <c r="D59" i="84"/>
  <c r="O58" i="84"/>
  <c r="D58" i="84"/>
  <c r="O57" i="84"/>
  <c r="D57" i="84"/>
  <c r="O56" i="84"/>
  <c r="D56" i="84"/>
  <c r="O55" i="84"/>
  <c r="D55" i="84"/>
  <c r="O54" i="84"/>
  <c r="D54" i="84"/>
  <c r="P53" i="84"/>
  <c r="O53" i="84"/>
  <c r="E53" i="84"/>
  <c r="D53" i="84"/>
  <c r="O52" i="84"/>
  <c r="D52" i="84"/>
  <c r="O47" i="84"/>
  <c r="D47" i="84"/>
  <c r="O46" i="84"/>
  <c r="D46" i="84"/>
  <c r="O45" i="84"/>
  <c r="D45" i="84"/>
  <c r="O44" i="84"/>
  <c r="D44" i="84"/>
  <c r="O43" i="84"/>
  <c r="D43" i="84"/>
  <c r="O42" i="84"/>
  <c r="D42" i="84"/>
  <c r="P41" i="84"/>
  <c r="O41" i="84"/>
  <c r="E41" i="84"/>
  <c r="D41" i="84"/>
  <c r="O40" i="84"/>
  <c r="D40" i="84"/>
  <c r="I17" i="84" a="1"/>
  <c r="I17" i="84" s="1"/>
  <c r="I16" i="84" a="1"/>
  <c r="I16" i="84" s="1"/>
  <c r="I15" i="84" a="1"/>
  <c r="I15" i="84" s="1"/>
  <c r="I14" i="84" a="1"/>
  <c r="I14" i="84" s="1"/>
  <c r="I13" i="84" a="1"/>
  <c r="I13" i="84" s="1"/>
  <c r="G13" i="84" a="1"/>
  <c r="G64" i="84" s="1"/>
  <c r="D13" i="84" a="1"/>
  <c r="D13" i="84" s="1"/>
  <c r="E11" i="84" a="1"/>
  <c r="E11" i="84" s="1"/>
  <c r="E10" i="84" a="1"/>
  <c r="E10" i="84" s="1"/>
  <c r="D6" i="84" a="1"/>
  <c r="D6" i="84" s="1"/>
  <c r="D119" i="84" s="1"/>
  <c r="D5" i="84" a="1"/>
  <c r="D5" i="84" s="1"/>
  <c r="Q57" i="83" a="1"/>
  <c r="Q57" i="83" s="1"/>
  <c r="F57" i="83" a="1"/>
  <c r="F57" i="83" s="1"/>
  <c r="O54" i="83" a="1"/>
  <c r="O54" i="83" s="1"/>
  <c r="D54" i="83" a="1"/>
  <c r="D54" i="83" s="1"/>
  <c r="O50" i="83"/>
  <c r="D50" i="83"/>
  <c r="O49" i="83"/>
  <c r="D49" i="83"/>
  <c r="I42" i="83" a="1"/>
  <c r="I42" i="83" s="1"/>
  <c r="G42" i="83" a="1"/>
  <c r="G42" i="83" s="1"/>
  <c r="D42" i="83" a="1"/>
  <c r="D42" i="83" s="1"/>
  <c r="E40" i="83" a="1"/>
  <c r="E40" i="83" s="1"/>
  <c r="E39" i="83" a="1"/>
  <c r="E39" i="83" s="1"/>
  <c r="D35" i="83" a="1"/>
  <c r="D35" i="83" s="1"/>
  <c r="D34" i="83" a="1"/>
  <c r="D34" i="83" s="1"/>
  <c r="O30" i="83"/>
  <c r="D30" i="83"/>
  <c r="O29" i="83"/>
  <c r="D29" i="83"/>
  <c r="O24" i="83"/>
  <c r="D24" i="83"/>
  <c r="O23" i="83"/>
  <c r="D23" i="83"/>
  <c r="J18" i="83"/>
  <c r="J17" i="83"/>
  <c r="J16" i="83"/>
  <c r="J13" i="83" a="1"/>
  <c r="J13" i="83" s="1"/>
  <c r="H13" i="83" a="1"/>
  <c r="H13" i="83" s="1"/>
  <c r="D13" i="83" a="1"/>
  <c r="D13" i="83" s="1"/>
  <c r="E11" i="83" a="1"/>
  <c r="E11" i="83" s="1"/>
  <c r="E10" i="83" a="1"/>
  <c r="E10" i="83" s="1"/>
  <c r="D6" i="83" a="1"/>
  <c r="D6" i="83" s="1"/>
  <c r="D5" i="83" a="1"/>
  <c r="D5" i="83" s="1"/>
  <c r="Q73" i="82" a="1"/>
  <c r="Q73" i="82" s="1"/>
  <c r="F73" i="82" a="1"/>
  <c r="F73" i="82" s="1"/>
  <c r="O70" i="82" a="1"/>
  <c r="O70" i="82" s="1"/>
  <c r="D70" i="82" a="1"/>
  <c r="D70" i="82" s="1"/>
  <c r="I65" i="82"/>
  <c r="I64" i="82"/>
  <c r="G61" i="82" a="1"/>
  <c r="G61" i="82" s="1"/>
  <c r="D61" i="82" a="1"/>
  <c r="P61" i="82" s="1"/>
  <c r="E59" i="82" a="1"/>
  <c r="E59" i="82" s="1"/>
  <c r="E58" i="82" a="1"/>
  <c r="E58" i="82" s="1"/>
  <c r="D54" i="82" a="1"/>
  <c r="D54" i="82" s="1"/>
  <c r="D53" i="82" a="1"/>
  <c r="D53" i="82" s="1"/>
  <c r="O47" i="82"/>
  <c r="D47" i="82"/>
  <c r="O46" i="82"/>
  <c r="D46" i="82"/>
  <c r="O45" i="82"/>
  <c r="D45" i="82"/>
  <c r="O44" i="82"/>
  <c r="D44" i="82"/>
  <c r="O43" i="82"/>
  <c r="D43" i="82"/>
  <c r="O42" i="82"/>
  <c r="D42" i="82"/>
  <c r="P41" i="82"/>
  <c r="O41" i="82"/>
  <c r="E41" i="82"/>
  <c r="D41" i="82"/>
  <c r="O40" i="82"/>
  <c r="D40" i="82"/>
  <c r="O26" i="82"/>
  <c r="D26" i="82"/>
  <c r="O25" i="82"/>
  <c r="D25" i="82"/>
  <c r="O24" i="82"/>
  <c r="D24" i="82"/>
  <c r="O23" i="82"/>
  <c r="D23" i="82"/>
  <c r="O22" i="82"/>
  <c r="D22" i="82"/>
  <c r="O21" i="82"/>
  <c r="D21" i="82"/>
  <c r="P20" i="82"/>
  <c r="O20" i="82"/>
  <c r="E20" i="82"/>
  <c r="D20" i="82"/>
  <c r="O19" i="82"/>
  <c r="D19" i="82"/>
  <c r="I14" i="82" a="1"/>
  <c r="I14" i="82" s="1"/>
  <c r="I13" i="82" a="1"/>
  <c r="I13" i="82" s="1"/>
  <c r="G13" i="82" a="1"/>
  <c r="F31" i="82" s="1"/>
  <c r="D13" i="82" a="1"/>
  <c r="D13" i="82" s="1"/>
  <c r="E11" i="82" a="1"/>
  <c r="E11" i="82" s="1"/>
  <c r="E10" i="82" a="1"/>
  <c r="E10" i="82" s="1"/>
  <c r="D6" i="82" a="1"/>
  <c r="D6" i="82" s="1"/>
  <c r="D5" i="82" a="1"/>
  <c r="D5" i="82" s="1"/>
  <c r="P292" i="81" a="1"/>
  <c r="P292" i="81" s="1"/>
  <c r="F292" i="81" a="1"/>
  <c r="F292" i="81" s="1"/>
  <c r="N289" i="81" a="1"/>
  <c r="N289" i="81" s="1"/>
  <c r="D289" i="81" a="1"/>
  <c r="D289" i="81" s="1"/>
  <c r="N285" i="81"/>
  <c r="D285" i="81"/>
  <c r="A285" i="81"/>
  <c r="N284" i="81"/>
  <c r="D284" i="81"/>
  <c r="N283" i="81"/>
  <c r="D283" i="81"/>
  <c r="N282" i="81"/>
  <c r="D282" i="81"/>
  <c r="N281" i="81"/>
  <c r="D281" i="81"/>
  <c r="N280" i="81"/>
  <c r="D280" i="81"/>
  <c r="O279" i="81"/>
  <c r="N279" i="81"/>
  <c r="E279" i="81"/>
  <c r="D279" i="81"/>
  <c r="N278" i="81"/>
  <c r="D278" i="81"/>
  <c r="I263" i="81" a="1"/>
  <c r="I263" i="81" s="1"/>
  <c r="I262" i="81" a="1"/>
  <c r="I262" i="81" s="1"/>
  <c r="G262" i="81" a="1"/>
  <c r="G262" i="81" s="1"/>
  <c r="D262" i="81" a="1"/>
  <c r="D262" i="81" s="1"/>
  <c r="E260" i="81" a="1"/>
  <c r="E260" i="81" s="1"/>
  <c r="E259" i="81" a="1"/>
  <c r="E259" i="81" s="1"/>
  <c r="D255" i="81" a="1"/>
  <c r="D255" i="81" s="1"/>
  <c r="D254" i="81" a="1"/>
  <c r="D254" i="81" s="1"/>
  <c r="N250" i="81"/>
  <c r="D250" i="81"/>
  <c r="N249" i="81"/>
  <c r="D249" i="81"/>
  <c r="N248" i="81"/>
  <c r="D248" i="81"/>
  <c r="N247" i="81"/>
  <c r="D247" i="81"/>
  <c r="N246" i="81"/>
  <c r="D246" i="81"/>
  <c r="N245" i="81"/>
  <c r="D245" i="81"/>
  <c r="A245" i="81"/>
  <c r="N244" i="81"/>
  <c r="D244" i="81"/>
  <c r="N243" i="81"/>
  <c r="D243" i="81"/>
  <c r="N238" i="81"/>
  <c r="D238" i="81"/>
  <c r="N237" i="81"/>
  <c r="D237" i="81"/>
  <c r="N236" i="81"/>
  <c r="D236" i="81"/>
  <c r="N235" i="81"/>
  <c r="D235" i="81"/>
  <c r="N234" i="81"/>
  <c r="D234" i="81"/>
  <c r="N233" i="81"/>
  <c r="D233" i="81"/>
  <c r="O232" i="81"/>
  <c r="N232" i="81"/>
  <c r="D232" i="81"/>
  <c r="N231" i="81"/>
  <c r="D231" i="81"/>
  <c r="J226" i="81" a="1"/>
  <c r="J226" i="81" s="1"/>
  <c r="I226" i="81" a="1"/>
  <c r="I226" i="81" s="1"/>
  <c r="J225" i="81" a="1"/>
  <c r="J225" i="81" s="1"/>
  <c r="I225" i="81" a="1"/>
  <c r="I225" i="81" s="1"/>
  <c r="G225" i="81" a="1"/>
  <c r="G225" i="81" s="1"/>
  <c r="D225" i="81" a="1"/>
  <c r="D225" i="81" s="1"/>
  <c r="E223" i="81" a="1"/>
  <c r="E223" i="81" s="1"/>
  <c r="E222" i="81" a="1"/>
  <c r="E222" i="81" s="1"/>
  <c r="D218" i="81" a="1"/>
  <c r="D218" i="81" s="1"/>
  <c r="D217" i="81" a="1"/>
  <c r="D217" i="81" s="1"/>
  <c r="A208" i="81"/>
  <c r="I193" i="81" a="1"/>
  <c r="I193" i="81" s="1"/>
  <c r="I192" i="81" a="1"/>
  <c r="I192" i="81" s="1"/>
  <c r="I191" i="81" a="1"/>
  <c r="I191" i="81" s="1"/>
  <c r="I190" i="81" a="1"/>
  <c r="I190" i="81" s="1"/>
  <c r="I189" i="81" a="1"/>
  <c r="I189" i="81" s="1"/>
  <c r="G189" i="81" a="1"/>
  <c r="G189" i="81" s="1"/>
  <c r="D189" i="81" a="1"/>
  <c r="D189" i="81" s="1"/>
  <c r="E187" i="81" a="1"/>
  <c r="E187" i="81" s="1"/>
  <c r="E186" i="81" a="1"/>
  <c r="E186" i="81" s="1"/>
  <c r="D182" i="81" a="1"/>
  <c r="D182" i="81" s="1"/>
  <c r="D181" i="81" a="1"/>
  <c r="D181" i="81" s="1"/>
  <c r="D180" i="81" a="1"/>
  <c r="D180" i="81" s="1"/>
  <c r="A171" i="81"/>
  <c r="H166" i="81"/>
  <c r="G166" i="81"/>
  <c r="F166" i="81"/>
  <c r="E166" i="81"/>
  <c r="D166" i="81"/>
  <c r="I161" i="81" a="1"/>
  <c r="I161" i="81" s="1"/>
  <c r="I160" i="81" a="1"/>
  <c r="I160" i="81" s="1"/>
  <c r="I159" i="81" a="1"/>
  <c r="I159" i="81" s="1"/>
  <c r="G159" i="81" a="1"/>
  <c r="G159" i="81" s="1"/>
  <c r="I166" i="81" s="1"/>
  <c r="D159" i="81" a="1"/>
  <c r="D159" i="81" s="1"/>
  <c r="E157" i="81" a="1"/>
  <c r="E157" i="81" s="1"/>
  <c r="S176" i="81" s="1"/>
  <c r="E156" i="81" a="1"/>
  <c r="E156" i="81" s="1"/>
  <c r="D152" i="81" a="1"/>
  <c r="D152" i="81" s="1"/>
  <c r="D151" i="81" a="1"/>
  <c r="D151" i="81" s="1"/>
  <c r="D150" i="81" a="1"/>
  <c r="D150" i="81" s="1"/>
  <c r="I141" i="81" a="1"/>
  <c r="I141" i="81" s="1"/>
  <c r="I140" i="81" a="1"/>
  <c r="I140" i="81" s="1"/>
  <c r="I139" i="81" a="1"/>
  <c r="I139" i="81" s="1"/>
  <c r="G139" i="81" a="1"/>
  <c r="G139" i="81" s="1"/>
  <c r="D139" i="81" a="1"/>
  <c r="D139" i="81" s="1"/>
  <c r="E137" i="81" a="1"/>
  <c r="E137" i="81" s="1"/>
  <c r="E136" i="81" a="1"/>
  <c r="E136" i="81" s="1"/>
  <c r="D131" i="81" a="1"/>
  <c r="D131" i="81" s="1"/>
  <c r="D130" i="81" a="1"/>
  <c r="D130" i="81" s="1"/>
  <c r="H116" i="81" a="1"/>
  <c r="H116" i="81" s="1"/>
  <c r="H115" i="81" a="1"/>
  <c r="H115" i="81" s="1"/>
  <c r="D115" i="81" a="1"/>
  <c r="D115" i="81" s="1"/>
  <c r="E113" i="81" a="1"/>
  <c r="E113" i="81" s="1"/>
  <c r="E112" i="81" a="1"/>
  <c r="E112" i="81" s="1"/>
  <c r="D108" i="81" a="1"/>
  <c r="D108" i="81" s="1"/>
  <c r="D107" i="81" a="1"/>
  <c r="D107" i="81" s="1"/>
  <c r="I83" i="81" a="1"/>
  <c r="I83" i="81" s="1"/>
  <c r="I82" i="81" a="1"/>
  <c r="I82" i="81" s="1"/>
  <c r="I81" i="81" a="1"/>
  <c r="I81" i="81" s="1"/>
  <c r="I80" i="81" a="1"/>
  <c r="I80" i="81" s="1"/>
  <c r="I79" i="81" a="1"/>
  <c r="I79" i="81" s="1"/>
  <c r="I78" i="81"/>
  <c r="G78" i="81" a="1"/>
  <c r="I93" i="81" s="1"/>
  <c r="D78" i="81" a="1"/>
  <c r="D78" i="81" s="1"/>
  <c r="E76" i="81" a="1"/>
  <c r="E76" i="81" s="1"/>
  <c r="E75" i="81" a="1"/>
  <c r="E75" i="81" s="1"/>
  <c r="D71" i="81" a="1"/>
  <c r="D71" i="81" s="1"/>
  <c r="D70" i="81" a="1"/>
  <c r="D70" i="81" s="1"/>
  <c r="D69" i="81" a="1"/>
  <c r="D69" i="81" s="1"/>
  <c r="I45" i="81" a="1"/>
  <c r="I45" i="81" s="1"/>
  <c r="I44" i="81" a="1"/>
  <c r="I44" i="81" s="1"/>
  <c r="I43" i="81" a="1"/>
  <c r="I43" i="81" s="1"/>
  <c r="I42" i="81" a="1"/>
  <c r="I42" i="81" s="1"/>
  <c r="G42" i="81" a="1"/>
  <c r="G42" i="81" s="1"/>
  <c r="I50" i="81" s="1"/>
  <c r="D42" i="81" a="1"/>
  <c r="D42" i="81" s="1"/>
  <c r="E40" i="81" a="1"/>
  <c r="E40" i="81" s="1"/>
  <c r="E39" i="81" a="1"/>
  <c r="E39" i="81" s="1"/>
  <c r="D34" i="81" a="1"/>
  <c r="D34" i="81" s="1"/>
  <c r="D33" i="81" a="1"/>
  <c r="D33" i="81" s="1"/>
  <c r="R19" i="81"/>
  <c r="Q19" i="81"/>
  <c r="H14" i="81" a="1"/>
  <c r="H14" i="81" s="1"/>
  <c r="H13" i="81" a="1"/>
  <c r="H13" i="81" s="1"/>
  <c r="F13" i="81" a="1"/>
  <c r="F13" i="81" s="1"/>
  <c r="D13" i="81" a="1"/>
  <c r="D13" i="81" s="1"/>
  <c r="E11" i="81" a="1"/>
  <c r="E11" i="81" s="1"/>
  <c r="E10" i="81" a="1"/>
  <c r="E10" i="81" s="1"/>
  <c r="D6" i="81" a="1"/>
  <c r="D6" i="81" s="1"/>
  <c r="D5" i="81" a="1"/>
  <c r="D5" i="81" s="1"/>
  <c r="Q305" i="80" a="1"/>
  <c r="Q305" i="80" s="1"/>
  <c r="F305" i="80" a="1"/>
  <c r="F305" i="80" s="1"/>
  <c r="O302" i="80" a="1"/>
  <c r="O302" i="80" s="1"/>
  <c r="D302" i="80" a="1"/>
  <c r="D302" i="80" s="1"/>
  <c r="O298" i="80"/>
  <c r="D298" i="80"/>
  <c r="O297" i="80"/>
  <c r="D297" i="80"/>
  <c r="O296" i="80"/>
  <c r="D296" i="80"/>
  <c r="O295" i="80"/>
  <c r="D295" i="80"/>
  <c r="O294" i="80"/>
  <c r="D294" i="80"/>
  <c r="O293" i="80"/>
  <c r="D293" i="80"/>
  <c r="P292" i="80"/>
  <c r="O292" i="80"/>
  <c r="D292" i="80"/>
  <c r="O291" i="80"/>
  <c r="D291" i="80"/>
  <c r="O290" i="80"/>
  <c r="D290" i="80"/>
  <c r="A275" i="80"/>
  <c r="H270" i="80"/>
  <c r="G270" i="80"/>
  <c r="F270" i="80"/>
  <c r="E270" i="80"/>
  <c r="D270" i="80"/>
  <c r="J265" i="80" a="1"/>
  <c r="J265" i="80" s="1"/>
  <c r="J264" i="80" a="1"/>
  <c r="J264" i="80" s="1"/>
  <c r="J263" i="80" a="1"/>
  <c r="J263" i="80" s="1"/>
  <c r="J262" i="80" a="1"/>
  <c r="J262" i="80" s="1"/>
  <c r="J261" i="80" a="1"/>
  <c r="J261" i="80" s="1"/>
  <c r="J260" i="80" a="1"/>
  <c r="J260" i="80" s="1"/>
  <c r="J259" i="80" a="1"/>
  <c r="J259" i="80" s="1"/>
  <c r="J258" i="80" a="1"/>
  <c r="J258" i="80" s="1"/>
  <c r="H258" i="80" a="1"/>
  <c r="H258" i="80" s="1"/>
  <c r="D258" i="80" a="1"/>
  <c r="D258" i="80" s="1"/>
  <c r="E256" i="80" a="1"/>
  <c r="E256" i="80" s="1"/>
  <c r="Q300" i="80" s="1"/>
  <c r="E255" i="80" a="1"/>
  <c r="E255" i="80" s="1"/>
  <c r="D251" i="80" a="1"/>
  <c r="D251" i="80" s="1"/>
  <c r="D250" i="80" a="1"/>
  <c r="D250" i="80" s="1"/>
  <c r="D249" i="80" a="1"/>
  <c r="D249" i="80" s="1"/>
  <c r="O245" i="80"/>
  <c r="D245" i="80"/>
  <c r="O244" i="80"/>
  <c r="D244" i="80"/>
  <c r="O243" i="80"/>
  <c r="D243" i="80"/>
  <c r="O242" i="80"/>
  <c r="D242" i="80"/>
  <c r="O241" i="80"/>
  <c r="D241" i="80"/>
  <c r="O240" i="80"/>
  <c r="D240" i="80"/>
  <c r="P239" i="80"/>
  <c r="O239" i="80"/>
  <c r="D239" i="80"/>
  <c r="O238" i="80"/>
  <c r="D238" i="80"/>
  <c r="O237" i="80"/>
  <c r="D237" i="80"/>
  <c r="T223" i="80"/>
  <c r="T220" i="80" a="1"/>
  <c r="T220" i="80" s="1"/>
  <c r="I220" i="80" a="1"/>
  <c r="I220" i="80" s="1"/>
  <c r="J219" i="80" a="1"/>
  <c r="J219" i="80" s="1"/>
  <c r="I219" i="80" a="1"/>
  <c r="I219" i="80" s="1"/>
  <c r="R218" i="80" a="1"/>
  <c r="R218" i="80" s="1"/>
  <c r="O218" i="80" a="1"/>
  <c r="O218" i="80" s="1"/>
  <c r="I218" i="80" a="1"/>
  <c r="I218" i="80" s="1"/>
  <c r="G218" i="80" a="1"/>
  <c r="G218" i="80" s="1"/>
  <c r="D218" i="80" a="1"/>
  <c r="D218" i="80" s="1"/>
  <c r="A217" i="80"/>
  <c r="E216" i="80" a="1"/>
  <c r="E216" i="80" s="1"/>
  <c r="E215" i="80" a="1"/>
  <c r="E215" i="80" s="1"/>
  <c r="D211" i="80" a="1"/>
  <c r="D211" i="80" s="1"/>
  <c r="D210" i="80" a="1"/>
  <c r="D210" i="80" s="1"/>
  <c r="O206" i="80"/>
  <c r="D206" i="80"/>
  <c r="O205" i="80"/>
  <c r="D205" i="80"/>
  <c r="O200" i="80"/>
  <c r="E200" i="80"/>
  <c r="D200" i="80"/>
  <c r="O199" i="80"/>
  <c r="D199" i="80"/>
  <c r="I194" i="80" a="1"/>
  <c r="I194" i="80" s="1"/>
  <c r="I193" i="80" a="1"/>
  <c r="I193" i="80" s="1"/>
  <c r="I192" i="80" a="1"/>
  <c r="I192" i="80" s="1"/>
  <c r="G192" i="80" a="1"/>
  <c r="G192" i="80" s="1"/>
  <c r="D192" i="80" a="1"/>
  <c r="D192" i="80" s="1"/>
  <c r="E190" i="80" a="1"/>
  <c r="E190" i="80" s="1"/>
  <c r="E189" i="80" a="1"/>
  <c r="E189" i="80" s="1"/>
  <c r="D185" i="80" a="1"/>
  <c r="D185" i="80" s="1"/>
  <c r="D184" i="80" a="1"/>
  <c r="D184" i="80" s="1"/>
  <c r="D183" i="80" a="1"/>
  <c r="D183" i="80" s="1"/>
  <c r="O179" i="80"/>
  <c r="D179" i="80"/>
  <c r="O178" i="80"/>
  <c r="D178" i="80"/>
  <c r="A178" i="80"/>
  <c r="O177" i="80"/>
  <c r="D177" i="80"/>
  <c r="O176" i="80"/>
  <c r="D176" i="80"/>
  <c r="P175" i="80"/>
  <c r="O175" i="80"/>
  <c r="D175" i="80"/>
  <c r="O174" i="80"/>
  <c r="D174" i="80"/>
  <c r="O173" i="80"/>
  <c r="D173" i="80"/>
  <c r="Q168" i="80"/>
  <c r="O168" i="80"/>
  <c r="F168" i="80"/>
  <c r="D168" i="80"/>
  <c r="O167" i="80"/>
  <c r="F167" i="80"/>
  <c r="D167" i="80"/>
  <c r="O166" i="80"/>
  <c r="D166" i="80"/>
  <c r="Q165" i="80"/>
  <c r="O165" i="80"/>
  <c r="D165" i="80"/>
  <c r="Q164" i="80"/>
  <c r="P164" i="80"/>
  <c r="O164" i="80"/>
  <c r="E164" i="80"/>
  <c r="D164" i="80"/>
  <c r="Q163" i="80"/>
  <c r="O163" i="80"/>
  <c r="D163" i="80"/>
  <c r="O162" i="80"/>
  <c r="D162" i="80"/>
  <c r="O157" i="80"/>
  <c r="D157" i="80"/>
  <c r="O156" i="80"/>
  <c r="D156" i="80"/>
  <c r="O155" i="80"/>
  <c r="D155" i="80"/>
  <c r="O154" i="80"/>
  <c r="D154" i="80"/>
  <c r="O153" i="80"/>
  <c r="E153" i="80"/>
  <c r="D153" i="80"/>
  <c r="O152" i="80"/>
  <c r="D152" i="80"/>
  <c r="O151" i="80"/>
  <c r="D151" i="80"/>
  <c r="I146" i="80" a="1"/>
  <c r="I146" i="80" s="1"/>
  <c r="I145" i="80" a="1"/>
  <c r="I145" i="80" s="1"/>
  <c r="G145" i="80" a="1"/>
  <c r="G162" i="80" s="1"/>
  <c r="D145" i="80" a="1"/>
  <c r="D145" i="80" s="1"/>
  <c r="E143" i="80" a="1"/>
  <c r="E143" i="80" s="1"/>
  <c r="K173" i="80" s="1"/>
  <c r="E142" i="80" a="1"/>
  <c r="E142" i="80" s="1"/>
  <c r="D138" i="80" a="1"/>
  <c r="D138" i="80" s="1"/>
  <c r="D137" i="80" a="1"/>
  <c r="D137" i="80" s="1"/>
  <c r="I127" i="80" a="1"/>
  <c r="I127" i="80" s="1"/>
  <c r="I126" i="80" a="1"/>
  <c r="I126" i="80" s="1"/>
  <c r="G126" i="80" a="1"/>
  <c r="G126" i="80" s="1"/>
  <c r="D126" i="80" a="1"/>
  <c r="D126" i="80" s="1"/>
  <c r="E124" i="80" a="1"/>
  <c r="E124" i="80" s="1"/>
  <c r="E123" i="80" a="1"/>
  <c r="E123" i="80" s="1"/>
  <c r="D119" i="80" a="1"/>
  <c r="D119" i="80" s="1"/>
  <c r="D118" i="80" a="1"/>
  <c r="D118" i="80" s="1"/>
  <c r="I94" i="80" a="1"/>
  <c r="I94" i="80" s="1"/>
  <c r="I93" i="80" a="1"/>
  <c r="I93" i="80" s="1"/>
  <c r="I92" i="80" a="1"/>
  <c r="I92" i="80" s="1"/>
  <c r="I91" i="80" a="1"/>
  <c r="I91" i="80" s="1"/>
  <c r="G91" i="80" a="1"/>
  <c r="G91" i="80" s="1"/>
  <c r="D91" i="80" a="1"/>
  <c r="D91" i="80" s="1"/>
  <c r="E89" i="80" a="1"/>
  <c r="E89" i="80" s="1"/>
  <c r="I114" i="80" s="1"/>
  <c r="E88" i="80" a="1"/>
  <c r="E88" i="80" s="1"/>
  <c r="D84" i="80" a="1"/>
  <c r="D84" i="80" s="1"/>
  <c r="D83" i="80" a="1"/>
  <c r="D83" i="80" s="1"/>
  <c r="I68" i="80" a="1"/>
  <c r="I68" i="80" s="1"/>
  <c r="I64" i="80" a="1"/>
  <c r="I64" i="80" s="1"/>
  <c r="I63" i="80" a="1"/>
  <c r="I63" i="80" s="1"/>
  <c r="I62" i="80"/>
  <c r="G62" i="80" a="1"/>
  <c r="G62" i="80" s="1"/>
  <c r="D62" i="80" a="1"/>
  <c r="D62" i="80" s="1"/>
  <c r="E60" i="80" a="1"/>
  <c r="E60" i="80" s="1"/>
  <c r="T79" i="80" s="1"/>
  <c r="E59" i="80" a="1"/>
  <c r="E59" i="80" s="1"/>
  <c r="D55" i="80" a="1"/>
  <c r="D55" i="80" s="1"/>
  <c r="D54" i="80" a="1"/>
  <c r="D54" i="80" s="1"/>
  <c r="I38" i="80" a="1"/>
  <c r="I38" i="80" s="1"/>
  <c r="R37" i="80" a="1"/>
  <c r="R37" i="80" s="1"/>
  <c r="O37" i="80" a="1"/>
  <c r="O37" i="80" s="1"/>
  <c r="I37" i="80"/>
  <c r="D45" i="80" s="1"/>
  <c r="G37" i="80" a="1"/>
  <c r="G37" i="80" s="1"/>
  <c r="D37" i="80" a="1"/>
  <c r="D37" i="80" s="1"/>
  <c r="E35" i="80" a="1"/>
  <c r="E35" i="80" s="1"/>
  <c r="E34" i="80" a="1"/>
  <c r="E34" i="80" s="1"/>
  <c r="D30" i="80" a="1"/>
  <c r="D30" i="80" s="1"/>
  <c r="D29" i="80" a="1"/>
  <c r="D29" i="80" s="1"/>
  <c r="D28" i="80" a="1"/>
  <c r="D28" i="80" s="1"/>
  <c r="I14" i="80"/>
  <c r="G14" i="80" a="1"/>
  <c r="G14" i="80" s="1"/>
  <c r="D14" i="80" a="1"/>
  <c r="D14" i="80" s="1"/>
  <c r="E12" i="80" a="1"/>
  <c r="E12" i="80" s="1"/>
  <c r="T24" i="80" s="1"/>
  <c r="E11" i="80" a="1"/>
  <c r="E11" i="80" s="1"/>
  <c r="D7" i="80" a="1"/>
  <c r="D7" i="80" s="1"/>
  <c r="D6" i="80" a="1"/>
  <c r="D6" i="80" s="1"/>
  <c r="D5" i="80" a="1"/>
  <c r="D5" i="80" s="1"/>
  <c r="N118" i="79"/>
  <c r="F71" i="84" s="1"/>
  <c r="E116" i="79"/>
  <c r="E115" i="79"/>
  <c r="N113" i="79"/>
  <c r="F70" i="84" s="1"/>
  <c r="E111" i="79"/>
  <c r="Q167" i="80" s="1"/>
  <c r="E110" i="79"/>
  <c r="N108" i="79"/>
  <c r="E106" i="79"/>
  <c r="Q166" i="80" s="1"/>
  <c r="E105" i="79"/>
  <c r="F166" i="80" s="1"/>
  <c r="N103" i="79"/>
  <c r="F68" i="84" s="1"/>
  <c r="D99" i="79"/>
  <c r="I96" i="79"/>
  <c r="H96" i="79"/>
  <c r="G96" i="79"/>
  <c r="F96" i="79"/>
  <c r="E96" i="79"/>
  <c r="N94" i="79"/>
  <c r="F67" i="84" s="1"/>
  <c r="E91" i="79"/>
  <c r="F165" i="80" s="1"/>
  <c r="N89" i="79"/>
  <c r="D87" i="79"/>
  <c r="E86" i="79"/>
  <c r="F164" i="80" s="1"/>
  <c r="N84" i="79"/>
  <c r="F65" i="84" s="1"/>
  <c r="D86" i="79"/>
  <c r="E81" i="79"/>
  <c r="F163" i="80" s="1"/>
  <c r="N79" i="79"/>
  <c r="F64" i="84" s="1"/>
  <c r="D75" i="79"/>
  <c r="F50" i="79"/>
  <c r="E55" i="13"/>
  <c r="E54" i="13"/>
  <c r="F44" i="13"/>
  <c r="E44" i="13"/>
  <c r="F43" i="13"/>
  <c r="E43" i="13"/>
  <c r="O61" i="120" a="1"/>
  <c r="E290" i="119" a="1"/>
  <c r="E7" i="107" a="1"/>
  <c r="E43" i="96" a="1"/>
  <c r="E8" i="90" a="1"/>
  <c r="E35" i="81" a="1"/>
  <c r="E8" i="80" a="1"/>
  <c r="E7" i="86" a="1"/>
  <c r="O79" i="120"/>
  <c r="E540" i="119"/>
  <c r="E99" i="107" a="1"/>
  <c r="E7" i="95" a="1"/>
  <c r="E7" i="87" a="1"/>
  <c r="E256" i="81" a="1"/>
  <c r="E120" i="80" a="1"/>
  <c r="O42" i="120"/>
  <c r="E7" i="104" a="1"/>
  <c r="E7" i="81" a="1"/>
  <c r="E61" i="120" a="1"/>
  <c r="E174" i="119" a="1"/>
  <c r="L8" i="104" a="1"/>
  <c r="E7" i="94" a="1"/>
  <c r="E37" i="87"/>
  <c r="E109" i="81" a="1"/>
  <c r="E56" i="80" a="1"/>
  <c r="E508" i="119"/>
  <c r="E38" i="94" a="1"/>
  <c r="E79" i="120"/>
  <c r="E7" i="119" a="1"/>
  <c r="E7" i="96" a="1"/>
  <c r="E37" i="85" a="1"/>
  <c r="E212" i="80" a="1"/>
  <c r="E42" i="120"/>
  <c r="E30" i="111" a="1"/>
  <c r="E118" i="96" a="1"/>
  <c r="E7" i="84" a="1"/>
  <c r="E186" i="80" a="1"/>
  <c r="E36" i="83" a="1"/>
  <c r="E594" i="119" a="1"/>
  <c r="E561" i="119" a="1"/>
  <c r="E7" i="110" a="1"/>
  <c r="E7" i="93" a="1"/>
  <c r="E31" i="80" a="1"/>
  <c r="E27" i="110"/>
  <c r="E7" i="82" a="1"/>
  <c r="E258" i="119" a="1"/>
  <c r="L7" i="103" a="1"/>
  <c r="N70" i="92" a="1"/>
  <c r="E55" i="82"/>
  <c r="E121" i="90" a="1"/>
  <c r="E183" i="81" a="1"/>
  <c r="E25" i="100"/>
  <c r="E132" i="81" a="1"/>
  <c r="O7" i="120"/>
  <c r="E49" i="97" a="1"/>
  <c r="E153" i="81" a="1"/>
  <c r="E7" i="120"/>
  <c r="E151" i="119" a="1"/>
  <c r="E83" i="97"/>
  <c r="E32" i="86"/>
  <c r="E85" i="80" a="1"/>
  <c r="E323" i="119" a="1"/>
  <c r="E7" i="92" a="1"/>
  <c r="E418" i="119" a="1"/>
  <c r="E7" i="103" a="1"/>
  <c r="E86" i="90" a="1"/>
  <c r="E72" i="81" a="1"/>
  <c r="E100" i="119" a="1"/>
  <c r="E355" i="119" a="1"/>
  <c r="E139" i="90" a="1"/>
  <c r="E188" i="119" a="1"/>
  <c r="E31" i="90" a="1"/>
  <c r="E523" i="119"/>
  <c r="O27" i="110"/>
  <c r="E42" i="92" a="1"/>
  <c r="E7" i="83" a="1"/>
  <c r="E8" i="100"/>
  <c r="O26" i="120" a="1"/>
  <c r="E203" i="119" a="1"/>
  <c r="E7" i="97" a="1"/>
  <c r="E57" i="90" a="1"/>
  <c r="E219" i="81" a="1"/>
  <c r="E26" i="120" a="1"/>
  <c r="E385" i="119" a="1"/>
  <c r="E90" i="96" a="1"/>
  <c r="E7" i="85" a="1"/>
  <c r="E252" i="80" a="1"/>
  <c r="E7" i="111" a="1"/>
  <c r="E43" i="93" a="1"/>
  <c r="E91" i="84" a="1"/>
  <c r="E139" i="80" a="1"/>
  <c r="F69" i="79" l="1"/>
  <c r="U20" i="91" a="1"/>
  <c r="U20" i="91" s="1"/>
  <c r="O238" i="81"/>
  <c r="P200" i="80"/>
  <c r="M36" i="104" a="1"/>
  <c r="M36" i="104" s="1"/>
  <c r="L36" i="104" a="1"/>
  <c r="L36" i="104" s="1"/>
  <c r="E20" i="109"/>
  <c r="T14" i="110"/>
  <c r="E292" i="80"/>
  <c r="E175" i="80"/>
  <c r="E244" i="81"/>
  <c r="E107" i="84"/>
  <c r="O244" i="81"/>
  <c r="E239" i="80"/>
  <c r="P153" i="80"/>
  <c r="E128" i="84"/>
  <c r="E232" i="81"/>
  <c r="E269" i="81" a="1"/>
  <c r="E269" i="81" s="1"/>
  <c r="E22" i="84" a="1"/>
  <c r="E22" i="84" s="1"/>
  <c r="F15" i="89" a="1"/>
  <c r="F15" i="89" s="1"/>
  <c r="E105" i="90" s="1"/>
  <c r="F19" i="89" a="1"/>
  <c r="F19" i="89" s="1"/>
  <c r="N105" i="90" s="1"/>
  <c r="F15" i="79" a="1"/>
  <c r="F15" i="79" s="1"/>
  <c r="F19" i="79" a="1"/>
  <c r="F19" i="79" s="1"/>
  <c r="I175" i="121"/>
  <c r="H195" i="121"/>
  <c r="G15" i="89" a="1"/>
  <c r="G15" i="89" s="1"/>
  <c r="F105" i="90" s="1"/>
  <c r="G19" i="89" a="1"/>
  <c r="G19" i="89" s="1"/>
  <c r="O105" i="90" s="1"/>
  <c r="G15" i="79" a="1"/>
  <c r="G15" i="79" s="1"/>
  <c r="G19" i="79" a="1"/>
  <c r="G19" i="79" s="1"/>
  <c r="E105" i="96"/>
  <c r="E68" i="97"/>
  <c r="G197" i="121"/>
  <c r="G196" i="121"/>
  <c r="G195" i="121"/>
  <c r="G194" i="121"/>
  <c r="I15" i="97"/>
  <c r="I69" i="120"/>
  <c r="H15" i="89" a="1"/>
  <c r="H15" i="89" s="1"/>
  <c r="G105" i="90" s="1"/>
  <c r="H19" i="89" a="1"/>
  <c r="H19" i="89" s="1"/>
  <c r="P105" i="90" s="1"/>
  <c r="H15" i="79" a="1"/>
  <c r="H15" i="79" s="1"/>
  <c r="H19" i="79" a="1"/>
  <c r="H19" i="79" s="1"/>
  <c r="D55" i="81"/>
  <c r="D109" i="80"/>
  <c r="D110" i="90"/>
  <c r="E106" i="96"/>
  <c r="E69" i="97"/>
  <c r="H9" i="113" a="1"/>
  <c r="H9" i="113" s="1"/>
  <c r="E14" i="79"/>
  <c r="H8" i="113" a="1"/>
  <c r="H8" i="113" s="1"/>
  <c r="H7" i="113" a="1"/>
  <c r="H7" i="113" s="1"/>
  <c r="F42" i="119" s="1" a="1"/>
  <c r="F42" i="119" s="1"/>
  <c r="G18" i="79"/>
  <c r="F18" i="79"/>
  <c r="E18" i="79"/>
  <c r="G14" i="89"/>
  <c r="F100" i="90" s="1"/>
  <c r="F14" i="89"/>
  <c r="E100" i="90" s="1"/>
  <c r="G18" i="89"/>
  <c r="O100" i="90" s="1"/>
  <c r="E14" i="89"/>
  <c r="D100" i="90" s="1"/>
  <c r="F18" i="89"/>
  <c r="N100" i="90" s="1"/>
  <c r="G14" i="79"/>
  <c r="E18" i="89"/>
  <c r="M100" i="90" s="1"/>
  <c r="F14" i="79"/>
  <c r="G55" i="81"/>
  <c r="H109" i="80"/>
  <c r="H110" i="90"/>
  <c r="F55" i="81"/>
  <c r="G109" i="80"/>
  <c r="G110" i="90"/>
  <c r="E55" i="81"/>
  <c r="F109" i="80"/>
  <c r="F110" i="90"/>
  <c r="E109" i="80"/>
  <c r="E110" i="90"/>
  <c r="H55" i="81"/>
  <c r="G40" i="89"/>
  <c r="F40" i="89"/>
  <c r="E40" i="89"/>
  <c r="F41" i="89"/>
  <c r="E108" i="96"/>
  <c r="E71" i="97"/>
  <c r="M39" i="104" a="1"/>
  <c r="M39" i="104" s="1"/>
  <c r="I176" i="121"/>
  <c r="H196" i="121"/>
  <c r="E15" i="89" a="1"/>
  <c r="E15" i="89" s="1"/>
  <c r="D105" i="90" s="1"/>
  <c r="E19" i="89" a="1"/>
  <c r="E19" i="89" s="1"/>
  <c r="M105" i="90" s="1"/>
  <c r="E15" i="79" a="1"/>
  <c r="E15" i="79" s="1"/>
  <c r="E19" i="79" a="1"/>
  <c r="E19" i="79" s="1"/>
  <c r="F37" i="89"/>
  <c r="D31" i="82" a="1"/>
  <c r="D31" i="82" s="1"/>
  <c r="D31" i="84" a="1"/>
  <c r="D31" i="84" s="1"/>
  <c r="D269" i="81" a="1"/>
  <c r="D269" i="81" s="1"/>
  <c r="D22" i="84" a="1"/>
  <c r="D22" i="84" s="1"/>
  <c r="E54" i="89"/>
  <c r="F54" i="89"/>
  <c r="I15" i="89" a="1"/>
  <c r="I15" i="89" s="1"/>
  <c r="H105" i="90" s="1"/>
  <c r="I19" i="89" a="1"/>
  <c r="I19" i="89" s="1"/>
  <c r="Q105" i="90" s="1"/>
  <c r="I15" i="79" a="1"/>
  <c r="I15" i="79" s="1"/>
  <c r="I19" i="79" a="1"/>
  <c r="I19" i="79" s="1"/>
  <c r="E72" i="97"/>
  <c r="E109" i="96"/>
  <c r="F109" i="96" s="1" a="1"/>
  <c r="F109" i="96" s="1"/>
  <c r="E141" i="96" s="1"/>
  <c r="M27" i="103" a="1"/>
  <c r="M27" i="103" s="1"/>
  <c r="L27" i="103" a="1"/>
  <c r="L27" i="103" s="1"/>
  <c r="I97" i="96"/>
  <c r="I33" i="120"/>
  <c r="E31" i="82" a="1"/>
  <c r="E31" i="82" s="1"/>
  <c r="E31" i="84" a="1"/>
  <c r="E31" i="84" s="1"/>
  <c r="I37" i="89"/>
  <c r="H37" i="89"/>
  <c r="G37" i="89"/>
  <c r="E41" i="89"/>
  <c r="E70" i="97"/>
  <c r="E107" i="96"/>
  <c r="I174" i="121"/>
  <c r="H194" i="121"/>
  <c r="H41" i="89"/>
  <c r="I68" i="90"/>
  <c r="E73" i="97"/>
  <c r="E110" i="96"/>
  <c r="E36" i="89"/>
  <c r="I41" i="89"/>
  <c r="H24" i="89" a="1"/>
  <c r="H24" i="89" s="1"/>
  <c r="G165" i="90" s="1"/>
  <c r="F36" i="89"/>
  <c r="M33" i="103" a="1"/>
  <c r="M33" i="103" s="1"/>
  <c r="M29" i="104" a="1"/>
  <c r="M29" i="104" s="1"/>
  <c r="L29" i="104" a="1"/>
  <c r="L29" i="104" s="1"/>
  <c r="O231" i="80"/>
  <c r="D231" i="80"/>
  <c r="I25" i="79" a="1"/>
  <c r="I25" i="79" s="1"/>
  <c r="H64" i="79"/>
  <c r="G69" i="79"/>
  <c r="D113" i="79"/>
  <c r="I24" i="89" a="1"/>
  <c r="I24" i="89" s="1"/>
  <c r="H165" i="90" s="1"/>
  <c r="N12" i="91" a="1"/>
  <c r="N12" i="91" s="1"/>
  <c r="J13" i="91" a="1"/>
  <c r="J13" i="91" s="1"/>
  <c r="Y13" i="91"/>
  <c r="T14" i="91" a="1"/>
  <c r="T14" i="91" s="1"/>
  <c r="P15" i="91" a="1"/>
  <c r="P15" i="91" s="1"/>
  <c r="L16" i="91" a="1"/>
  <c r="L16" i="91" s="1"/>
  <c r="F17" i="91"/>
  <c r="R18" i="91" a="1"/>
  <c r="R18" i="91" s="1"/>
  <c r="N19" i="91" a="1"/>
  <c r="N19" i="91" s="1"/>
  <c r="J20" i="91" a="1"/>
  <c r="J20" i="91" s="1"/>
  <c r="Z20" i="91"/>
  <c r="E34" i="104"/>
  <c r="E27" i="104"/>
  <c r="E36" i="104"/>
  <c r="E29" i="104"/>
  <c r="M37" i="103" a="1"/>
  <c r="M37" i="103" s="1"/>
  <c r="L37" i="103" a="1"/>
  <c r="L37" i="103" s="1"/>
  <c r="E28" i="79" a="1"/>
  <c r="E28" i="79" s="1"/>
  <c r="I64" i="79"/>
  <c r="H69" i="79"/>
  <c r="E25" i="89" a="1"/>
  <c r="E25" i="89" s="1"/>
  <c r="D170" i="90" s="1"/>
  <c r="O12" i="91" a="1"/>
  <c r="O12" i="91" s="1"/>
  <c r="K13" i="91" a="1"/>
  <c r="K13" i="91" s="1"/>
  <c r="Z13" i="91"/>
  <c r="U14" i="91" a="1"/>
  <c r="U14" i="91" s="1"/>
  <c r="Q15" i="91" a="1"/>
  <c r="Q15" i="91" s="1"/>
  <c r="M16" i="91" a="1"/>
  <c r="M16" i="91" s="1"/>
  <c r="H17" i="91"/>
  <c r="W17" i="91" a="1"/>
  <c r="W17" i="91" s="1"/>
  <c r="S18" i="91" a="1"/>
  <c r="S18" i="91" s="1"/>
  <c r="O19" i="91" a="1"/>
  <c r="O19" i="91" s="1"/>
  <c r="K20" i="91" a="1"/>
  <c r="K20" i="91" s="1"/>
  <c r="H21" i="91"/>
  <c r="J40" i="104"/>
  <c r="I40" i="104"/>
  <c r="H40" i="104"/>
  <c r="G40" i="104"/>
  <c r="J122" i="107" a="1"/>
  <c r="J122" i="107" s="1"/>
  <c r="J157" i="107" a="1"/>
  <c r="J157" i="107" s="1"/>
  <c r="J121" i="107" a="1"/>
  <c r="J121" i="107" s="1"/>
  <c r="D59" i="107" a="1"/>
  <c r="J137" i="107" a="1"/>
  <c r="J137" i="107" s="1"/>
  <c r="D157" i="107" a="1"/>
  <c r="D157" i="107" s="1"/>
  <c r="D116" i="107" a="1"/>
  <c r="D116" i="107" s="1"/>
  <c r="J116" i="107" s="1" a="1"/>
  <c r="J116" i="107" s="1"/>
  <c r="J127" i="107" a="1"/>
  <c r="J127" i="107" s="1"/>
  <c r="J161" i="107" a="1"/>
  <c r="J161" i="107" s="1"/>
  <c r="J125" i="107" a="1"/>
  <c r="J125" i="107" s="1"/>
  <c r="J134" i="107" a="1"/>
  <c r="J134" i="107" s="1"/>
  <c r="J118" i="107" a="1"/>
  <c r="J118" i="107" s="1"/>
  <c r="J124" i="107" a="1"/>
  <c r="J124" i="107" s="1"/>
  <c r="D21" i="107" a="1"/>
  <c r="J159" i="107" a="1"/>
  <c r="J159" i="107" s="1"/>
  <c r="J123" i="107" a="1"/>
  <c r="J123" i="107" s="1"/>
  <c r="J132" i="107" a="1"/>
  <c r="J132" i="107" s="1"/>
  <c r="O15" i="115"/>
  <c r="O229" i="80"/>
  <c r="D229" i="80"/>
  <c r="H14" i="79" a="1"/>
  <c r="H14" i="79" s="1"/>
  <c r="F28" i="79" a="1"/>
  <c r="F28" i="79" s="1"/>
  <c r="E65" i="79"/>
  <c r="I69" i="79"/>
  <c r="F25" i="89" a="1"/>
  <c r="F25" i="89" s="1"/>
  <c r="P12" i="91" a="1"/>
  <c r="P12" i="91" s="1"/>
  <c r="L13" i="91" a="1"/>
  <c r="L13" i="91" s="1"/>
  <c r="F14" i="91"/>
  <c r="R15" i="91" a="1"/>
  <c r="R15" i="91" s="1"/>
  <c r="N16" i="91" a="1"/>
  <c r="N16" i="91" s="1"/>
  <c r="J17" i="91" a="1"/>
  <c r="J17" i="91" s="1"/>
  <c r="Y17" i="91"/>
  <c r="T18" i="91" a="1"/>
  <c r="T18" i="91" s="1"/>
  <c r="P19" i="91" a="1"/>
  <c r="P19" i="91" s="1"/>
  <c r="M20" i="91" a="1"/>
  <c r="M20" i="91" s="1"/>
  <c r="L21" i="91" a="1"/>
  <c r="L21" i="91" s="1"/>
  <c r="G37" i="103" a="1"/>
  <c r="G37" i="103" s="1"/>
  <c r="G34" i="103" a="1"/>
  <c r="G34" i="103" s="1"/>
  <c r="K35" i="103" a="1"/>
  <c r="K35" i="103" s="1"/>
  <c r="G31" i="103" a="1"/>
  <c r="G31" i="103" s="1"/>
  <c r="K29" i="103" a="1"/>
  <c r="K29" i="103" s="1"/>
  <c r="E37" i="103"/>
  <c r="J35" i="103" a="1"/>
  <c r="J35" i="103" s="1"/>
  <c r="K32" i="103" a="1"/>
  <c r="K32" i="103" s="1"/>
  <c r="J29" i="103" a="1"/>
  <c r="J29" i="103" s="1"/>
  <c r="E25" i="103"/>
  <c r="G25" i="103" s="1" a="1"/>
  <c r="G25" i="103" s="1"/>
  <c r="I35" i="103" a="1"/>
  <c r="I35" i="103" s="1"/>
  <c r="J32" i="103" a="1"/>
  <c r="J32" i="103" s="1"/>
  <c r="I29" i="103" a="1"/>
  <c r="I29" i="103" s="1"/>
  <c r="H35" i="103" a="1"/>
  <c r="H35" i="103" s="1"/>
  <c r="I32" i="103" a="1"/>
  <c r="I32" i="103" s="1"/>
  <c r="H29" i="103" a="1"/>
  <c r="H29" i="103" s="1"/>
  <c r="G38" i="103" a="1"/>
  <c r="G38" i="103" s="1"/>
  <c r="G35" i="103" a="1"/>
  <c r="G35" i="103" s="1"/>
  <c r="H32" i="103" a="1"/>
  <c r="H32" i="103" s="1"/>
  <c r="G29" i="103" a="1"/>
  <c r="G29" i="103" s="1"/>
  <c r="K27" i="103" a="1"/>
  <c r="K27" i="103" s="1"/>
  <c r="K39" i="103" a="1"/>
  <c r="K39" i="103" s="1"/>
  <c r="K36" i="103" a="1"/>
  <c r="K36" i="103" s="1"/>
  <c r="G32" i="103" a="1"/>
  <c r="G32" i="103" s="1"/>
  <c r="K30" i="103" a="1"/>
  <c r="K30" i="103" s="1"/>
  <c r="J27" i="103" a="1"/>
  <c r="J27" i="103" s="1"/>
  <c r="J39" i="103" a="1"/>
  <c r="J39" i="103" s="1"/>
  <c r="J36" i="103" a="1"/>
  <c r="J36" i="103" s="1"/>
  <c r="J33" i="103" a="1"/>
  <c r="J33" i="103" s="1"/>
  <c r="J30" i="103" a="1"/>
  <c r="J30" i="103" s="1"/>
  <c r="I27" i="103" a="1"/>
  <c r="I27" i="103" s="1"/>
  <c r="I39" i="103" a="1"/>
  <c r="I39" i="103" s="1"/>
  <c r="I36" i="103" a="1"/>
  <c r="I36" i="103" s="1"/>
  <c r="I30" i="103" a="1"/>
  <c r="I30" i="103" s="1"/>
  <c r="H27" i="103" a="1"/>
  <c r="H27" i="103" s="1"/>
  <c r="H39" i="103" a="1"/>
  <c r="H39" i="103" s="1"/>
  <c r="H36" i="103" a="1"/>
  <c r="H36" i="103" s="1"/>
  <c r="H30" i="103" a="1"/>
  <c r="H30" i="103" s="1"/>
  <c r="G27" i="103" a="1"/>
  <c r="G27" i="103" s="1"/>
  <c r="J37" i="103" a="1"/>
  <c r="J37" i="103" s="1"/>
  <c r="J34" i="103" a="1"/>
  <c r="J34" i="103" s="1"/>
  <c r="K31" i="103" a="1"/>
  <c r="K31" i="103" s="1"/>
  <c r="J28" i="103" a="1"/>
  <c r="J28" i="103" s="1"/>
  <c r="J25" i="103" a="1"/>
  <c r="J25" i="103" s="1"/>
  <c r="I37" i="103" a="1"/>
  <c r="I37" i="103" s="1"/>
  <c r="I34" i="103" a="1"/>
  <c r="I34" i="103" s="1"/>
  <c r="J31" i="103" a="1"/>
  <c r="J31" i="103" s="1"/>
  <c r="I28" i="103" a="1"/>
  <c r="I28" i="103" s="1"/>
  <c r="M33" i="104" a="1"/>
  <c r="M33" i="104" s="1"/>
  <c r="M30" i="104" a="1"/>
  <c r="M30" i="104" s="1"/>
  <c r="I17" i="108"/>
  <c r="E59" i="107" a="1"/>
  <c r="E157" i="107" a="1"/>
  <c r="E157" i="107" s="1"/>
  <c r="E116" i="107" a="1"/>
  <c r="E116" i="107" s="1"/>
  <c r="E21" i="107" a="1"/>
  <c r="R15" i="115"/>
  <c r="O232" i="80"/>
  <c r="D232" i="80"/>
  <c r="I14" i="79" a="1"/>
  <c r="I14" i="79" s="1"/>
  <c r="G28" i="79" a="1"/>
  <c r="G28" i="79" s="1"/>
  <c r="F65" i="79"/>
  <c r="E70" i="79"/>
  <c r="H18" i="89" a="1"/>
  <c r="H18" i="89" s="1"/>
  <c r="P100" i="90" s="1"/>
  <c r="G25" i="89" a="1"/>
  <c r="G25" i="89" s="1"/>
  <c r="Q12" i="91" a="1"/>
  <c r="Q12" i="91" s="1"/>
  <c r="M13" i="91" a="1"/>
  <c r="M13" i="91" s="1"/>
  <c r="H14" i="91"/>
  <c r="W14" i="91" a="1"/>
  <c r="W14" i="91" s="1"/>
  <c r="S15" i="91" a="1"/>
  <c r="S15" i="91" s="1"/>
  <c r="O16" i="91" a="1"/>
  <c r="O16" i="91" s="1"/>
  <c r="K17" i="91" a="1"/>
  <c r="K17" i="91" s="1"/>
  <c r="Z17" i="91"/>
  <c r="U18" i="91" a="1"/>
  <c r="U18" i="91" s="1"/>
  <c r="Q19" i="91" a="1"/>
  <c r="Q19" i="91" s="1"/>
  <c r="N20" i="91" a="1"/>
  <c r="N20" i="91" s="1"/>
  <c r="P21" i="91" a="1"/>
  <c r="P21" i="91" s="1"/>
  <c r="K34" i="103" a="1"/>
  <c r="K34" i="103" s="1"/>
  <c r="H28" i="79" a="1"/>
  <c r="H28" i="79" s="1"/>
  <c r="G65" i="79"/>
  <c r="F70" i="79"/>
  <c r="I18" i="89" a="1"/>
  <c r="I18" i="89" s="1"/>
  <c r="Q100" i="90" s="1"/>
  <c r="H25" i="89" a="1"/>
  <c r="H25" i="89" s="1"/>
  <c r="R12" i="91" a="1"/>
  <c r="R12" i="91" s="1"/>
  <c r="N13" i="91" a="1"/>
  <c r="N13" i="91" s="1"/>
  <c r="J14" i="91" a="1"/>
  <c r="J14" i="91" s="1"/>
  <c r="Y14" i="91"/>
  <c r="T15" i="91" a="1"/>
  <c r="T15" i="91" s="1"/>
  <c r="P16" i="91" a="1"/>
  <c r="P16" i="91" s="1"/>
  <c r="L17" i="91" a="1"/>
  <c r="L17" i="91" s="1"/>
  <c r="F18" i="91"/>
  <c r="R19" i="91" a="1"/>
  <c r="R19" i="91" s="1"/>
  <c r="O20" i="91" a="1"/>
  <c r="O20" i="91" s="1"/>
  <c r="Q21" i="91" a="1"/>
  <c r="Q21" i="91" s="1"/>
  <c r="G28" i="103" a="1"/>
  <c r="G28" i="103" s="1"/>
  <c r="M35" i="103" a="1"/>
  <c r="M35" i="103" s="1"/>
  <c r="L28" i="104" a="1"/>
  <c r="L28" i="104" s="1"/>
  <c r="M30" i="103" a="1"/>
  <c r="M30" i="103" s="1"/>
  <c r="G435" i="119" a="1"/>
  <c r="G435" i="119" s="1"/>
  <c r="G436" i="119" a="1"/>
  <c r="G436" i="119" s="1"/>
  <c r="J436" i="119" s="1" a="1"/>
  <c r="J436" i="119" s="1"/>
  <c r="D7" i="116"/>
  <c r="D162" i="119" s="1"/>
  <c r="F162" i="119" s="1" a="1"/>
  <c r="F162" i="119" s="1"/>
  <c r="D164" i="119"/>
  <c r="F164" i="119" s="1" a="1"/>
  <c r="F164" i="119" s="1"/>
  <c r="D47" i="116"/>
  <c r="D479" i="119" s="1"/>
  <c r="F479" i="119" s="1" a="1"/>
  <c r="F479" i="119" s="1"/>
  <c r="F481" i="119" a="1"/>
  <c r="F481" i="119" s="1"/>
  <c r="F470" i="119" a="1"/>
  <c r="F470" i="119" s="1"/>
  <c r="E24" i="79" a="1"/>
  <c r="E24" i="79" s="1"/>
  <c r="I28" i="79" a="1"/>
  <c r="I28" i="79" s="1"/>
  <c r="H65" i="79"/>
  <c r="G70" i="79"/>
  <c r="H14" i="89" a="1"/>
  <c r="H14" i="89" s="1"/>
  <c r="G100" i="90" s="1"/>
  <c r="I25" i="89" a="1"/>
  <c r="I25" i="89" s="1"/>
  <c r="S12" i="91" a="1"/>
  <c r="S12" i="91" s="1"/>
  <c r="O13" i="91" a="1"/>
  <c r="O13" i="91" s="1"/>
  <c r="K14" i="91" a="1"/>
  <c r="K14" i="91" s="1"/>
  <c r="Z14" i="91"/>
  <c r="U15" i="91" a="1"/>
  <c r="U15" i="91" s="1"/>
  <c r="Q16" i="91" a="1"/>
  <c r="Q16" i="91" s="1"/>
  <c r="M17" i="91" a="1"/>
  <c r="M17" i="91" s="1"/>
  <c r="H18" i="91"/>
  <c r="W18" i="91" a="1"/>
  <c r="W18" i="91" s="1"/>
  <c r="S19" i="91" a="1"/>
  <c r="S19" i="91" s="1"/>
  <c r="P20" i="91" a="1"/>
  <c r="P20" i="91" s="1"/>
  <c r="S21" i="91" a="1"/>
  <c r="S21" i="91" s="1"/>
  <c r="H28" i="103" a="1"/>
  <c r="H28" i="103" s="1"/>
  <c r="G36" i="103" a="1"/>
  <c r="G36" i="103" s="1"/>
  <c r="E30" i="104"/>
  <c r="G430" i="119" a="1"/>
  <c r="G430" i="119" s="1"/>
  <c r="L31" i="104" a="1"/>
  <c r="L31" i="104" s="1"/>
  <c r="F24" i="79" a="1"/>
  <c r="F24" i="79" s="1"/>
  <c r="E63" i="79"/>
  <c r="I65" i="79"/>
  <c r="H70" i="79"/>
  <c r="E28" i="89" a="1"/>
  <c r="E28" i="89" s="1"/>
  <c r="T12" i="91" a="1"/>
  <c r="T12" i="91" s="1"/>
  <c r="P13" i="91" a="1"/>
  <c r="P13" i="91" s="1"/>
  <c r="L14" i="91" a="1"/>
  <c r="L14" i="91" s="1"/>
  <c r="F15" i="91"/>
  <c r="R16" i="91" a="1"/>
  <c r="R16" i="91" s="1"/>
  <c r="N17" i="91" a="1"/>
  <c r="N17" i="91" s="1"/>
  <c r="J18" i="91" a="1"/>
  <c r="J18" i="91" s="1"/>
  <c r="Y18" i="91"/>
  <c r="T19" i="91" a="1"/>
  <c r="T19" i="91" s="1"/>
  <c r="Q20" i="91" a="1"/>
  <c r="Q20" i="91" s="1"/>
  <c r="T21" i="91" a="1"/>
  <c r="T21" i="91" s="1"/>
  <c r="K28" i="103" a="1"/>
  <c r="K28" i="103" s="1"/>
  <c r="E28" i="104"/>
  <c r="E35" i="104"/>
  <c r="M27" i="104" a="1"/>
  <c r="M27" i="104" s="1"/>
  <c r="L27" i="104" a="1"/>
  <c r="L27" i="104" s="1"/>
  <c r="M38" i="104" a="1"/>
  <c r="M38" i="104" s="1"/>
  <c r="L38" i="104" a="1"/>
  <c r="L38" i="104" s="1"/>
  <c r="I530" i="119" a="1"/>
  <c r="I530" i="119" s="1"/>
  <c r="K90" i="121"/>
  <c r="M89" i="121" s="1"/>
  <c r="AB127" i="119" a="1"/>
  <c r="AB127" i="119" s="1"/>
  <c r="T124" i="119" a="1"/>
  <c r="T124" i="119" s="1"/>
  <c r="AB120" i="119" a="1"/>
  <c r="AB120" i="119" s="1"/>
  <c r="X127" i="119" a="1"/>
  <c r="X127" i="119" s="1"/>
  <c r="P124" i="119" a="1"/>
  <c r="P124" i="119" s="1"/>
  <c r="X120" i="119" a="1"/>
  <c r="X120" i="119" s="1"/>
  <c r="T127" i="119" a="1"/>
  <c r="T127" i="119" s="1"/>
  <c r="AB123" i="119" a="1"/>
  <c r="AB123" i="119" s="1"/>
  <c r="T120" i="119" a="1"/>
  <c r="T120" i="119" s="1"/>
  <c r="P119" i="119" a="1"/>
  <c r="P119" i="119" s="1"/>
  <c r="P127" i="119" a="1"/>
  <c r="P127" i="119" s="1"/>
  <c r="X123" i="119" a="1"/>
  <c r="X123" i="119" s="1"/>
  <c r="P120" i="119" a="1"/>
  <c r="P120" i="119" s="1"/>
  <c r="AB126" i="119" a="1"/>
  <c r="AB126" i="119" s="1"/>
  <c r="T123" i="119" a="1"/>
  <c r="T123" i="119" s="1"/>
  <c r="AB119" i="119" a="1"/>
  <c r="AB119" i="119" s="1"/>
  <c r="X126" i="119" a="1"/>
  <c r="X126" i="119" s="1"/>
  <c r="P123" i="119" a="1"/>
  <c r="P123" i="119" s="1"/>
  <c r="T126" i="119" a="1"/>
  <c r="T126" i="119" s="1"/>
  <c r="AB122" i="119" a="1"/>
  <c r="AB122" i="119" s="1"/>
  <c r="P126" i="119" a="1"/>
  <c r="P126" i="119" s="1"/>
  <c r="X122" i="119" a="1"/>
  <c r="X122" i="119" s="1"/>
  <c r="AB125" i="119" a="1"/>
  <c r="AB125" i="119" s="1"/>
  <c r="T122" i="119" a="1"/>
  <c r="T122" i="119" s="1"/>
  <c r="X119" i="119" a="1"/>
  <c r="X119" i="119" s="1"/>
  <c r="X125" i="119" a="1"/>
  <c r="X125" i="119" s="1"/>
  <c r="P122" i="119" a="1"/>
  <c r="P122" i="119" s="1"/>
  <c r="AB128" i="119" a="1"/>
  <c r="AB128" i="119" s="1"/>
  <c r="T125" i="119" a="1"/>
  <c r="T125" i="119" s="1"/>
  <c r="AB121" i="119" a="1"/>
  <c r="AB121" i="119" s="1"/>
  <c r="X128" i="119" a="1"/>
  <c r="X128" i="119" s="1"/>
  <c r="P125" i="119" a="1"/>
  <c r="P125" i="119" s="1"/>
  <c r="X121" i="119" a="1"/>
  <c r="X121" i="119" s="1"/>
  <c r="T128" i="119" a="1"/>
  <c r="T128" i="119" s="1"/>
  <c r="AB124" i="119" a="1"/>
  <c r="AB124" i="119" s="1"/>
  <c r="T121" i="119" a="1"/>
  <c r="T121" i="119" s="1"/>
  <c r="T119" i="119" a="1"/>
  <c r="T119" i="119" s="1"/>
  <c r="D270" i="119" a="1"/>
  <c r="G24" i="79" a="1"/>
  <c r="G24" i="79" s="1"/>
  <c r="F63" i="79"/>
  <c r="G25" i="85" s="1"/>
  <c r="E68" i="79"/>
  <c r="I70" i="79"/>
  <c r="I14" i="89" a="1"/>
  <c r="I14" i="89" s="1"/>
  <c r="H100" i="90" s="1"/>
  <c r="F28" i="89" a="1"/>
  <c r="F28" i="89" s="1"/>
  <c r="U12" i="91" a="1"/>
  <c r="U12" i="91" s="1"/>
  <c r="Q13" i="91" a="1"/>
  <c r="Q13" i="91" s="1"/>
  <c r="M14" i="91" a="1"/>
  <c r="M14" i="91" s="1"/>
  <c r="H15" i="91"/>
  <c r="W15" i="91" a="1"/>
  <c r="W15" i="91" s="1"/>
  <c r="S16" i="91" a="1"/>
  <c r="S16" i="91" s="1"/>
  <c r="O17" i="91" a="1"/>
  <c r="O17" i="91" s="1"/>
  <c r="K18" i="91" a="1"/>
  <c r="K18" i="91" s="1"/>
  <c r="Z18" i="91"/>
  <c r="U19" i="91" a="1"/>
  <c r="U19" i="91" s="1"/>
  <c r="R20" i="91" a="1"/>
  <c r="R20" i="91" s="1"/>
  <c r="U21" i="91" a="1"/>
  <c r="U21" i="91" s="1"/>
  <c r="H37" i="103" a="1"/>
  <c r="H37" i="103" s="1"/>
  <c r="J17" i="110" a="1"/>
  <c r="J17" i="110" s="1"/>
  <c r="J18" i="110" a="1"/>
  <c r="J18" i="110" s="1"/>
  <c r="H24" i="79" a="1"/>
  <c r="H24" i="79" s="1"/>
  <c r="G63" i="79"/>
  <c r="H25" i="85" s="1"/>
  <c r="F68" i="79"/>
  <c r="R25" i="85" s="1"/>
  <c r="D79" i="79"/>
  <c r="D81" i="79" s="1"/>
  <c r="G28" i="89" a="1"/>
  <c r="G28" i="89" s="1"/>
  <c r="F12" i="91"/>
  <c r="R13" i="91" a="1"/>
  <c r="R13" i="91" s="1"/>
  <c r="N14" i="91" a="1"/>
  <c r="N14" i="91" s="1"/>
  <c r="J15" i="91" a="1"/>
  <c r="J15" i="91" s="1"/>
  <c r="Y15" i="91"/>
  <c r="T16" i="91" a="1"/>
  <c r="T16" i="91" s="1"/>
  <c r="P17" i="91" a="1"/>
  <c r="P17" i="91" s="1"/>
  <c r="L18" i="91" a="1"/>
  <c r="L18" i="91" s="1"/>
  <c r="F19" i="91"/>
  <c r="S20" i="91" a="1"/>
  <c r="S20" i="91" s="1"/>
  <c r="W21" i="91" a="1"/>
  <c r="W21" i="91" s="1"/>
  <c r="K37" i="103" a="1"/>
  <c r="K37" i="103" s="1"/>
  <c r="M31" i="104" a="1"/>
  <c r="M31" i="104" s="1"/>
  <c r="G448" i="119" a="1"/>
  <c r="G448" i="119" s="1"/>
  <c r="E74" i="97"/>
  <c r="E111" i="96"/>
  <c r="E75" i="97"/>
  <c r="E112" i="96"/>
  <c r="P28" i="91"/>
  <c r="D19" i="96" a="1"/>
  <c r="D60" i="92" a="1"/>
  <c r="D60" i="92" s="1"/>
  <c r="P27" i="91"/>
  <c r="D58" i="93" a="1"/>
  <c r="D58" i="93" s="1"/>
  <c r="D19" i="92" a="1"/>
  <c r="P26" i="91"/>
  <c r="D23" i="97" a="1"/>
  <c r="D23" i="97" s="1"/>
  <c r="D59" i="96" a="1"/>
  <c r="D59" i="96" s="1"/>
  <c r="P25" i="91"/>
  <c r="O55" i="92" s="1" a="1"/>
  <c r="G183" i="121"/>
  <c r="P32" i="91"/>
  <c r="P31" i="91"/>
  <c r="I37" i="104"/>
  <c r="H37" i="104"/>
  <c r="G37" i="104"/>
  <c r="K37" i="104"/>
  <c r="J39" i="104"/>
  <c r="H39" i="104"/>
  <c r="G39" i="104"/>
  <c r="M36" i="103" a="1"/>
  <c r="M36" i="103" s="1"/>
  <c r="L36" i="103" a="1"/>
  <c r="L36" i="103" s="1"/>
  <c r="N36" i="103" s="1" a="1"/>
  <c r="N36" i="103" s="1"/>
  <c r="J87" i="120"/>
  <c r="G454" i="119" a="1"/>
  <c r="G454" i="119" s="1"/>
  <c r="G453" i="119" a="1"/>
  <c r="G453" i="119" s="1"/>
  <c r="G455" i="119" a="1"/>
  <c r="G455" i="119" s="1"/>
  <c r="D12" i="116" a="1"/>
  <c r="F467" i="119" a="1"/>
  <c r="F467" i="119" s="1"/>
  <c r="I467" i="119" s="1" a="1"/>
  <c r="I467" i="119" s="1"/>
  <c r="E302" i="119" a="1"/>
  <c r="E302" i="119" s="1"/>
  <c r="E301" i="119" a="1"/>
  <c r="E301" i="119" s="1"/>
  <c r="E300" i="119" a="1"/>
  <c r="E300" i="119" s="1"/>
  <c r="I24" i="79" a="1"/>
  <c r="I24" i="79" s="1"/>
  <c r="H63" i="79"/>
  <c r="I25" i="85" s="1"/>
  <c r="G68" i="79"/>
  <c r="S25" i="85" s="1"/>
  <c r="H28" i="89" a="1"/>
  <c r="H28" i="89" s="1"/>
  <c r="H12" i="91"/>
  <c r="X12" i="91" s="1"/>
  <c r="W12" i="91" a="1"/>
  <c r="W12" i="91" s="1"/>
  <c r="S13" i="91" a="1"/>
  <c r="S13" i="91" s="1"/>
  <c r="O14" i="91" a="1"/>
  <c r="O14" i="91" s="1"/>
  <c r="K15" i="91" a="1"/>
  <c r="K15" i="91" s="1"/>
  <c r="Z15" i="91"/>
  <c r="U16" i="91" a="1"/>
  <c r="U16" i="91" s="1"/>
  <c r="Q17" i="91" a="1"/>
  <c r="Q17" i="91" s="1"/>
  <c r="M18" i="91" a="1"/>
  <c r="M18" i="91" s="1"/>
  <c r="H19" i="91"/>
  <c r="W19" i="91" a="1"/>
  <c r="W19" i="91" s="1"/>
  <c r="T20" i="91" a="1"/>
  <c r="T20" i="91" s="1"/>
  <c r="P29" i="91"/>
  <c r="J16" i="110" a="1"/>
  <c r="J16" i="110" s="1"/>
  <c r="G30" i="103" a="1"/>
  <c r="G30" i="103" s="1"/>
  <c r="M38" i="103" a="1"/>
  <c r="M38" i="103" s="1"/>
  <c r="I177" i="121"/>
  <c r="H197" i="121"/>
  <c r="M25" i="104" a="1"/>
  <c r="M25" i="104" s="1"/>
  <c r="L25" i="104" a="1"/>
  <c r="L25" i="104" s="1"/>
  <c r="M32" i="103" a="1"/>
  <c r="M32" i="103" s="1"/>
  <c r="L32" i="103" a="1"/>
  <c r="L32" i="103" s="1"/>
  <c r="E25" i="79" a="1"/>
  <c r="E25" i="79" s="1"/>
  <c r="I63" i="79"/>
  <c r="J25" i="85" s="1"/>
  <c r="H68" i="79"/>
  <c r="T25" i="85" s="1"/>
  <c r="D89" i="79"/>
  <c r="D91" i="79" s="1"/>
  <c r="E24" i="89" a="1"/>
  <c r="E24" i="89" s="1"/>
  <c r="D165" i="90" s="1"/>
  <c r="I28" i="89" a="1"/>
  <c r="I28" i="89" s="1"/>
  <c r="J12" i="91" a="1"/>
  <c r="J12" i="91" s="1"/>
  <c r="Y12" i="91"/>
  <c r="T13" i="91" a="1"/>
  <c r="T13" i="91" s="1"/>
  <c r="P14" i="91" a="1"/>
  <c r="P14" i="91" s="1"/>
  <c r="L15" i="91" a="1"/>
  <c r="L15" i="91" s="1"/>
  <c r="F16" i="91"/>
  <c r="R17" i="91" a="1"/>
  <c r="R17" i="91" s="1"/>
  <c r="N18" i="91" a="1"/>
  <c r="N18" i="91" s="1"/>
  <c r="J19" i="91" a="1"/>
  <c r="J19" i="91" s="1"/>
  <c r="Y19" i="91"/>
  <c r="P30" i="91"/>
  <c r="D19" i="93" a="1"/>
  <c r="H31" i="103" a="1"/>
  <c r="H31" i="103" s="1"/>
  <c r="E33" i="104"/>
  <c r="P121" i="119" a="1"/>
  <c r="P121" i="119" s="1"/>
  <c r="F35" i="84"/>
  <c r="F34" i="84"/>
  <c r="F33" i="84"/>
  <c r="F32" i="84"/>
  <c r="F31" i="84"/>
  <c r="I67" i="90"/>
  <c r="G177" i="121"/>
  <c r="G176" i="121"/>
  <c r="G175" i="121"/>
  <c r="G174" i="121"/>
  <c r="W241" i="119" s="1" a="1"/>
  <c r="W241" i="119" s="1"/>
  <c r="O21" i="91" a="1"/>
  <c r="O21" i="91" s="1"/>
  <c r="N21" i="91" a="1"/>
  <c r="N21" i="91" s="1"/>
  <c r="M21" i="91" a="1"/>
  <c r="M21" i="91" s="1"/>
  <c r="Z21" i="91"/>
  <c r="K21" i="91" a="1"/>
  <c r="K21" i="91" s="1"/>
  <c r="Y21" i="91"/>
  <c r="J21" i="91" a="1"/>
  <c r="J21" i="91" s="1"/>
  <c r="F21" i="91"/>
  <c r="L20" i="91" a="1"/>
  <c r="L20" i="91" s="1"/>
  <c r="R21" i="91" a="1"/>
  <c r="R21" i="91" s="1"/>
  <c r="K26" i="104"/>
  <c r="J26" i="104"/>
  <c r="I26" i="104"/>
  <c r="H26" i="104"/>
  <c r="G26" i="104"/>
  <c r="E31" i="104"/>
  <c r="E38" i="104"/>
  <c r="M32" i="104" a="1"/>
  <c r="M32" i="104" s="1"/>
  <c r="E39" i="119" a="1"/>
  <c r="E39" i="119" s="1"/>
  <c r="J46" i="119" s="1" a="1"/>
  <c r="J46" i="119" s="1"/>
  <c r="I32" i="119" a="1"/>
  <c r="I32" i="119" s="1"/>
  <c r="I31" i="119" a="1"/>
  <c r="I31" i="119" s="1"/>
  <c r="I30" i="119" a="1"/>
  <c r="I30" i="119" s="1"/>
  <c r="M30" i="119" s="1" a="1"/>
  <c r="M30" i="119" s="1"/>
  <c r="I29" i="119" a="1"/>
  <c r="I29" i="119" s="1"/>
  <c r="I28" i="119" a="1"/>
  <c r="I28" i="119" s="1"/>
  <c r="I27" i="119" a="1"/>
  <c r="I27" i="119" s="1"/>
  <c r="I26" i="119" a="1"/>
  <c r="I26" i="119" s="1"/>
  <c r="M26" i="119" s="1" a="1"/>
  <c r="M26" i="119" s="1"/>
  <c r="E76" i="119" a="1"/>
  <c r="E76" i="119" s="1"/>
  <c r="J88" i="119" s="1" a="1"/>
  <c r="J88" i="119" s="1"/>
  <c r="I25" i="119" a="1"/>
  <c r="I25" i="119" s="1"/>
  <c r="E58" i="119" a="1"/>
  <c r="E58" i="119" s="1"/>
  <c r="I24" i="119" a="1"/>
  <c r="I24" i="119" s="1"/>
  <c r="I23" i="119" a="1"/>
  <c r="I23" i="119" s="1"/>
  <c r="F480" i="119" a="1"/>
  <c r="F480" i="119" s="1"/>
  <c r="G371" i="119" a="1"/>
  <c r="G371" i="119" s="1"/>
  <c r="J371" i="119" s="1" a="1"/>
  <c r="J371" i="119" s="1"/>
  <c r="G370" i="119" a="1"/>
  <c r="G370" i="119" s="1"/>
  <c r="J370" i="119" s="1" a="1"/>
  <c r="J370" i="119" s="1"/>
  <c r="G369" i="119" a="1"/>
  <c r="G369" i="119" s="1"/>
  <c r="G368" i="119" a="1"/>
  <c r="G368" i="119" s="1"/>
  <c r="G367" i="119" a="1"/>
  <c r="G367" i="119" s="1"/>
  <c r="G376" i="119" a="1"/>
  <c r="G376" i="119" s="1"/>
  <c r="H376" i="119" s="1" a="1"/>
  <c r="H376" i="119" s="1"/>
  <c r="G375" i="119" a="1"/>
  <c r="G375" i="119" s="1"/>
  <c r="G374" i="119" a="1"/>
  <c r="G374" i="119" s="1"/>
  <c r="G373" i="119" a="1"/>
  <c r="G373" i="119" s="1"/>
  <c r="G372" i="119" a="1"/>
  <c r="G372" i="119" s="1"/>
  <c r="O230" i="80"/>
  <c r="D230" i="80"/>
  <c r="P25" i="85"/>
  <c r="E25" i="85"/>
  <c r="P24" i="86"/>
  <c r="P237" i="80"/>
  <c r="E24" i="86"/>
  <c r="E237" i="80"/>
  <c r="P19" i="86"/>
  <c r="O228" i="80"/>
  <c r="E19" i="86"/>
  <c r="D228" i="80"/>
  <c r="P51" i="85"/>
  <c r="P173" i="80"/>
  <c r="P28" i="87"/>
  <c r="E51" i="85"/>
  <c r="E173" i="80"/>
  <c r="E28" i="87"/>
  <c r="P162" i="80"/>
  <c r="P23" i="87"/>
  <c r="E162" i="80"/>
  <c r="E23" i="87"/>
  <c r="P31" i="85"/>
  <c r="P290" i="80"/>
  <c r="P151" i="80"/>
  <c r="E31" i="85"/>
  <c r="E290" i="80"/>
  <c r="E151" i="80"/>
  <c r="F25" i="79" a="1"/>
  <c r="F25" i="79" s="1"/>
  <c r="E64" i="79"/>
  <c r="I68" i="79"/>
  <c r="U25" i="85" s="1"/>
  <c r="D94" i="79"/>
  <c r="F24" i="89" a="1"/>
  <c r="F24" i="89" s="1"/>
  <c r="E165" i="90" s="1"/>
  <c r="K12" i="91" a="1"/>
  <c r="K12" i="91" s="1"/>
  <c r="Z12" i="91"/>
  <c r="U13" i="91" a="1"/>
  <c r="U13" i="91" s="1"/>
  <c r="Q14" i="91" a="1"/>
  <c r="Q14" i="91" s="1"/>
  <c r="M15" i="91" a="1"/>
  <c r="M15" i="91" s="1"/>
  <c r="H16" i="91"/>
  <c r="W16" i="91" a="1"/>
  <c r="W16" i="91" s="1"/>
  <c r="S17" i="91" a="1"/>
  <c r="S17" i="91" s="1"/>
  <c r="O18" i="91" a="1"/>
  <c r="O18" i="91" s="1"/>
  <c r="K19" i="91" a="1"/>
  <c r="K19" i="91" s="1"/>
  <c r="Z19" i="91"/>
  <c r="P33" i="91"/>
  <c r="I31" i="103" a="1"/>
  <c r="I31" i="103" s="1"/>
  <c r="G39" i="103" a="1"/>
  <c r="G39" i="103" s="1"/>
  <c r="X124" i="119" a="1"/>
  <c r="X124" i="119" s="1"/>
  <c r="E38" i="103"/>
  <c r="I38" i="103" s="1" a="1"/>
  <c r="I38" i="103" s="1"/>
  <c r="E26" i="103"/>
  <c r="H26" i="103" s="1" a="1"/>
  <c r="H26" i="103" s="1"/>
  <c r="E33" i="103"/>
  <c r="I33" i="103" s="1" a="1"/>
  <c r="I33" i="103" s="1"/>
  <c r="M34" i="103" a="1"/>
  <c r="M34" i="103" s="1"/>
  <c r="L34" i="103" a="1"/>
  <c r="L34" i="103" s="1"/>
  <c r="M35" i="104" a="1"/>
  <c r="M35" i="104" s="1"/>
  <c r="L35" i="104" a="1"/>
  <c r="L35" i="104" s="1"/>
  <c r="G25" i="79" a="1"/>
  <c r="G25" i="79" s="1"/>
  <c r="F64" i="79"/>
  <c r="E69" i="79"/>
  <c r="D103" i="79"/>
  <c r="G24" i="89" a="1"/>
  <c r="G24" i="89" s="1"/>
  <c r="F165" i="90" s="1"/>
  <c r="L12" i="91" a="1"/>
  <c r="L12" i="91" s="1"/>
  <c r="F13" i="91"/>
  <c r="R14" i="91" a="1"/>
  <c r="R14" i="91" s="1"/>
  <c r="N15" i="91" a="1"/>
  <c r="N15" i="91" s="1"/>
  <c r="J16" i="91" a="1"/>
  <c r="J16" i="91" s="1"/>
  <c r="Y16" i="91"/>
  <c r="T17" i="91" a="1"/>
  <c r="T17" i="91" s="1"/>
  <c r="P18" i="91" a="1"/>
  <c r="P18" i="91" s="1"/>
  <c r="L19" i="91" a="1"/>
  <c r="L19" i="91" s="1"/>
  <c r="F20" i="91"/>
  <c r="W20" i="91" a="1"/>
  <c r="W20" i="91" s="1"/>
  <c r="P34" i="91"/>
  <c r="P128" i="119" a="1"/>
  <c r="P128" i="119" s="1"/>
  <c r="I15" i="100" a="1"/>
  <c r="I15" i="100" s="1"/>
  <c r="E25" i="104"/>
  <c r="E32" i="104"/>
  <c r="M25" i="103" a="1"/>
  <c r="M25" i="103" s="1"/>
  <c r="L25" i="103" a="1"/>
  <c r="L25" i="103" s="1"/>
  <c r="M28" i="103" a="1"/>
  <c r="M28" i="103" s="1"/>
  <c r="L28" i="103" a="1"/>
  <c r="L28" i="103" s="1"/>
  <c r="H25" i="79" a="1"/>
  <c r="H25" i="79" s="1"/>
  <c r="G64" i="79"/>
  <c r="D108" i="79"/>
  <c r="M12" i="91" a="1"/>
  <c r="M12" i="91" s="1"/>
  <c r="H13" i="91"/>
  <c r="W13" i="91" a="1"/>
  <c r="W13" i="91" s="1"/>
  <c r="S14" i="91" a="1"/>
  <c r="S14" i="91" s="1"/>
  <c r="O15" i="91" a="1"/>
  <c r="O15" i="91" s="1"/>
  <c r="K16" i="91" a="1"/>
  <c r="K16" i="91" s="1"/>
  <c r="Z16" i="91"/>
  <c r="U17" i="91" a="1"/>
  <c r="U17" i="91" s="1"/>
  <c r="Q18" i="91" a="1"/>
  <c r="Q18" i="91" s="1"/>
  <c r="M19" i="91" a="1"/>
  <c r="M19" i="91" s="1"/>
  <c r="H20" i="91"/>
  <c r="Y20" i="91"/>
  <c r="H25" i="103" a="1"/>
  <c r="H25" i="103" s="1"/>
  <c r="M34" i="104" a="1"/>
  <c r="M34" i="104" s="1"/>
  <c r="D163" i="119"/>
  <c r="F163" i="119" s="1" a="1"/>
  <c r="F163" i="119" s="1"/>
  <c r="G437" i="119" a="1"/>
  <c r="G437" i="119" s="1"/>
  <c r="G456" i="119" a="1"/>
  <c r="G456" i="119" s="1"/>
  <c r="J456" i="119" s="1" a="1"/>
  <c r="J456" i="119" s="1"/>
  <c r="G438" i="119" a="1"/>
  <c r="G438" i="119" s="1"/>
  <c r="H438" i="119" s="1" a="1"/>
  <c r="H438" i="119" s="1"/>
  <c r="G457" i="119" a="1"/>
  <c r="G457" i="119" s="1"/>
  <c r="AE239" i="119" a="1"/>
  <c r="AE239" i="119" s="1"/>
  <c r="W243" i="119" a="1"/>
  <c r="W243" i="119" s="1"/>
  <c r="G439" i="119" a="1"/>
  <c r="G439" i="119" s="1"/>
  <c r="I17" i="102"/>
  <c r="G449" i="119" a="1"/>
  <c r="G449" i="119" s="1"/>
  <c r="H449" i="119" s="1" a="1"/>
  <c r="H449" i="119" s="1"/>
  <c r="I19" i="102"/>
  <c r="L26" i="103" s="1" a="1"/>
  <c r="L26" i="103" s="1"/>
  <c r="AE244" i="119" a="1"/>
  <c r="AE244" i="119" s="1"/>
  <c r="G431" i="119" a="1"/>
  <c r="G431" i="119" s="1"/>
  <c r="H431" i="119" s="1" a="1"/>
  <c r="H431" i="119" s="1"/>
  <c r="G450" i="119" a="1"/>
  <c r="G450" i="119" s="1"/>
  <c r="H450" i="119" s="1" a="1"/>
  <c r="H450" i="119" s="1"/>
  <c r="G432" i="119" a="1"/>
  <c r="G432" i="119" s="1"/>
  <c r="H432" i="119" s="1" a="1"/>
  <c r="H432" i="119" s="1"/>
  <c r="G451" i="119" a="1"/>
  <c r="G451" i="119" s="1"/>
  <c r="G433" i="119" a="1"/>
  <c r="G433" i="119" s="1"/>
  <c r="H433" i="119" s="1" a="1"/>
  <c r="H433" i="119" s="1"/>
  <c r="G452" i="119" a="1"/>
  <c r="G452" i="119" s="1"/>
  <c r="H452" i="119" s="1" a="1"/>
  <c r="H452" i="119" s="1"/>
  <c r="S242" i="119" a="1"/>
  <c r="S242" i="119" s="1"/>
  <c r="AA245" i="119" a="1"/>
  <c r="AA245" i="119" s="1"/>
  <c r="G434" i="119" a="1"/>
  <c r="G434" i="119" s="1"/>
  <c r="H434" i="119" s="1" a="1"/>
  <c r="H434" i="119" s="1"/>
  <c r="K40" i="104" a="1"/>
  <c r="K40" i="104" s="1"/>
  <c r="J14" i="110" a="1"/>
  <c r="J14" i="110" s="1"/>
  <c r="J15" i="110" a="1"/>
  <c r="J15" i="110" s="1"/>
  <c r="R29" i="81" a="1"/>
  <c r="R29" i="81" s="1"/>
  <c r="Q29" i="81" a="1"/>
  <c r="Q29" i="81" s="1"/>
  <c r="J627" i="119" a="1"/>
  <c r="J627" i="119" s="1"/>
  <c r="E533" i="119" a="1"/>
  <c r="E533" i="119" s="1"/>
  <c r="O35" i="120" a="1"/>
  <c r="O35" i="120" s="1"/>
  <c r="S48" i="120" s="1"/>
  <c r="G481" i="119" a="1"/>
  <c r="G481" i="119" s="1"/>
  <c r="G300" i="119"/>
  <c r="E35" i="120" a="1"/>
  <c r="E35" i="120" s="1"/>
  <c r="I48" i="120" s="1"/>
  <c r="G47" i="119" a="1"/>
  <c r="G47" i="119" s="1"/>
  <c r="G468" i="119" a="1"/>
  <c r="G468" i="119" s="1"/>
  <c r="E61" i="120"/>
  <c r="O61" i="120"/>
  <c r="E26" i="120"/>
  <c r="O26" i="120"/>
  <c r="P19" i="120"/>
  <c r="F19" i="120"/>
  <c r="F251" i="119"/>
  <c r="F252" i="119"/>
  <c r="F166" i="119"/>
  <c r="P90" i="120"/>
  <c r="F90" i="120"/>
  <c r="F35" i="119"/>
  <c r="F54" i="119"/>
  <c r="F94" i="119"/>
  <c r="F34" i="119"/>
  <c r="F73" i="119"/>
  <c r="F91" i="119"/>
  <c r="P55" i="120"/>
  <c r="F55" i="120"/>
  <c r="J87" i="119" a="1"/>
  <c r="J87" i="119" s="1"/>
  <c r="G88" i="119" a="1"/>
  <c r="G88" i="119" s="1"/>
  <c r="J80" i="119" a="1"/>
  <c r="J80" i="119" s="1"/>
  <c r="F74" i="120"/>
  <c r="E167" i="119"/>
  <c r="G470" i="119" a="1"/>
  <c r="G470" i="119" s="1"/>
  <c r="G479" i="119" a="1"/>
  <c r="G479" i="119" s="1"/>
  <c r="F573" i="119"/>
  <c r="G466" i="119" a="1"/>
  <c r="G466" i="119" s="1"/>
  <c r="E7" i="119"/>
  <c r="E385" i="119"/>
  <c r="E151" i="119"/>
  <c r="E188" i="119"/>
  <c r="E203" i="119"/>
  <c r="E174" i="119"/>
  <c r="E290" i="119"/>
  <c r="E355" i="119"/>
  <c r="E100" i="119"/>
  <c r="E418" i="119"/>
  <c r="E258" i="119"/>
  <c r="E323" i="119"/>
  <c r="E561" i="119"/>
  <c r="E594" i="119"/>
  <c r="J25" i="119" a="1"/>
  <c r="J25" i="119" s="1"/>
  <c r="M32" i="119" a="1"/>
  <c r="M32" i="119" s="1"/>
  <c r="G43" i="119" a="1"/>
  <c r="G43" i="119" s="1"/>
  <c r="J50" i="119" a="1"/>
  <c r="J50" i="119" s="1"/>
  <c r="G65" i="119" a="1"/>
  <c r="G65" i="119" s="1"/>
  <c r="J69" i="119" a="1"/>
  <c r="J69" i="119" s="1"/>
  <c r="F90" i="119"/>
  <c r="F642" i="119"/>
  <c r="F641" i="119"/>
  <c r="F639" i="119"/>
  <c r="F621" i="119"/>
  <c r="F638" i="119"/>
  <c r="F620" i="119"/>
  <c r="F145" i="119"/>
  <c r="F130" i="119"/>
  <c r="F144" i="119"/>
  <c r="F142" i="119"/>
  <c r="F141" i="119"/>
  <c r="F131" i="119"/>
  <c r="J457" i="119" a="1"/>
  <c r="J457" i="119" s="1"/>
  <c r="H457" i="119" a="1"/>
  <c r="H457" i="119" s="1"/>
  <c r="I480" i="119" a="1"/>
  <c r="I480" i="119" s="1"/>
  <c r="E484" i="119" s="1"/>
  <c r="G480" i="119" a="1"/>
  <c r="G480" i="119" s="1"/>
  <c r="J43" i="119" a="1"/>
  <c r="J43" i="119" s="1"/>
  <c r="F93" i="119"/>
  <c r="J439" i="119" a="1"/>
  <c r="J439" i="119" s="1"/>
  <c r="H439" i="119" a="1"/>
  <c r="H439" i="119" s="1"/>
  <c r="M28" i="119" a="1"/>
  <c r="M28" i="119" s="1"/>
  <c r="F53" i="119"/>
  <c r="F72" i="119"/>
  <c r="G51" i="119" a="1"/>
  <c r="G51" i="119" s="1"/>
  <c r="J44" i="119" a="1"/>
  <c r="J44" i="119" s="1"/>
  <c r="J48" i="119" a="1"/>
  <c r="J48" i="119" s="1"/>
  <c r="J51" i="119" a="1"/>
  <c r="J51" i="119" s="1"/>
  <c r="G48" i="119" a="1"/>
  <c r="G48" i="119" s="1"/>
  <c r="G44" i="119" a="1"/>
  <c r="G44" i="119" s="1"/>
  <c r="J26" i="119" a="1"/>
  <c r="J26" i="119" s="1"/>
  <c r="G81" i="119" a="1"/>
  <c r="G81" i="119" s="1"/>
  <c r="I121" i="119" a="1"/>
  <c r="I121" i="119" s="1"/>
  <c r="J24" i="119" a="1"/>
  <c r="J24" i="119" s="1"/>
  <c r="J31" i="119" a="1"/>
  <c r="J31" i="119" s="1"/>
  <c r="G49" i="119" a="1"/>
  <c r="G49" i="119" s="1"/>
  <c r="J62" i="119" a="1"/>
  <c r="J62" i="119" s="1"/>
  <c r="M31" i="119" a="1"/>
  <c r="M31" i="119" s="1"/>
  <c r="G45" i="119" a="1"/>
  <c r="G45" i="119" s="1"/>
  <c r="I469" i="119" a="1"/>
  <c r="I469" i="119" s="1"/>
  <c r="G469" i="119" a="1"/>
  <c r="G469" i="119" s="1"/>
  <c r="M29" i="119" a="1"/>
  <c r="M29" i="119" s="1"/>
  <c r="J45" i="119" a="1"/>
  <c r="J45" i="119" s="1"/>
  <c r="J49" i="119" a="1"/>
  <c r="J49" i="119" s="1"/>
  <c r="J85" i="119" a="1"/>
  <c r="J85" i="119" s="1"/>
  <c r="G82" i="119" a="1"/>
  <c r="G82" i="119" s="1"/>
  <c r="G86" i="119" a="1"/>
  <c r="G86" i="119" s="1"/>
  <c r="J82" i="119" a="1"/>
  <c r="J82" i="119" s="1"/>
  <c r="J27" i="119" a="1"/>
  <c r="J27" i="119" s="1"/>
  <c r="J70" i="119" a="1"/>
  <c r="J70" i="119" s="1"/>
  <c r="G67" i="119" a="1"/>
  <c r="G67" i="119" s="1"/>
  <c r="J63" i="119" a="1"/>
  <c r="J63" i="119" s="1"/>
  <c r="J79" i="119" a="1"/>
  <c r="J79" i="119" s="1"/>
  <c r="M24" i="119" a="1"/>
  <c r="M24" i="119" s="1"/>
  <c r="G50" i="119" a="1"/>
  <c r="G50" i="119" s="1"/>
  <c r="G69" i="119" a="1"/>
  <c r="G69" i="119" s="1"/>
  <c r="G46" i="119" a="1"/>
  <c r="G46" i="119" s="1"/>
  <c r="I120" i="119" a="1"/>
  <c r="I120" i="119" s="1"/>
  <c r="K405" i="119"/>
  <c r="K399" i="119"/>
  <c r="K402" i="119"/>
  <c r="K401" i="119"/>
  <c r="F472" i="119"/>
  <c r="F347" i="119"/>
  <c r="J375" i="119" a="1"/>
  <c r="J375" i="119" s="1"/>
  <c r="F284" i="119"/>
  <c r="K406" i="119"/>
  <c r="J431" i="119" a="1"/>
  <c r="J431" i="119" s="1"/>
  <c r="G162" i="119" a="1"/>
  <c r="G162" i="119" s="1"/>
  <c r="F248" i="119"/>
  <c r="F348" i="119"/>
  <c r="H369" i="119" a="1"/>
  <c r="H369" i="119" s="1"/>
  <c r="K407" i="119"/>
  <c r="G164" i="119" a="1"/>
  <c r="G164" i="119" s="1"/>
  <c r="F249" i="119"/>
  <c r="K400" i="119"/>
  <c r="J372" i="119" a="1"/>
  <c r="J372" i="119" s="1"/>
  <c r="H373" i="119" a="1"/>
  <c r="H373" i="119" s="1"/>
  <c r="K408" i="119"/>
  <c r="H436" i="119" a="1"/>
  <c r="H436" i="119" s="1"/>
  <c r="F483" i="119"/>
  <c r="J369" i="119" a="1"/>
  <c r="J369" i="119" s="1"/>
  <c r="H435" i="119" a="1"/>
  <c r="H435" i="119" s="1"/>
  <c r="G467" i="119" a="1"/>
  <c r="G467" i="119" s="1"/>
  <c r="F484" i="119"/>
  <c r="F473" i="119"/>
  <c r="F459" i="119"/>
  <c r="F441" i="119"/>
  <c r="F410" i="119"/>
  <c r="F555" i="119"/>
  <c r="F283" i="119"/>
  <c r="F518" i="119"/>
  <c r="F411" i="119"/>
  <c r="J432" i="119" a="1"/>
  <c r="J432" i="119" s="1"/>
  <c r="J434" i="119" a="1"/>
  <c r="J434" i="119" s="1"/>
  <c r="F442" i="119"/>
  <c r="J430" i="119" a="1"/>
  <c r="J430" i="119" s="1"/>
  <c r="K497" i="119" a="1"/>
  <c r="K497" i="119" s="1"/>
  <c r="K496" i="119" a="1"/>
  <c r="K496" i="119" s="1"/>
  <c r="K498" i="119" a="1"/>
  <c r="K498" i="119" s="1"/>
  <c r="F316" i="119"/>
  <c r="J374" i="119" a="1"/>
  <c r="J374" i="119" s="1"/>
  <c r="F378" i="119"/>
  <c r="K403" i="119"/>
  <c r="J433" i="119" a="1"/>
  <c r="J433" i="119" s="1"/>
  <c r="H453" i="119" a="1"/>
  <c r="H453" i="119" s="1"/>
  <c r="H448" i="119" a="1"/>
  <c r="H448" i="119" s="1"/>
  <c r="H451" i="119" a="1"/>
  <c r="H451" i="119" s="1"/>
  <c r="K490" i="119" a="1"/>
  <c r="K490" i="119" s="1"/>
  <c r="K499" i="119" a="1"/>
  <c r="K499" i="119" s="1"/>
  <c r="G163" i="119" a="1"/>
  <c r="G163" i="119" s="1"/>
  <c r="F167" i="119"/>
  <c r="J450" i="119" a="1"/>
  <c r="J450" i="119" s="1"/>
  <c r="J452" i="119" a="1"/>
  <c r="J452" i="119" s="1"/>
  <c r="F460" i="119"/>
  <c r="F317" i="119"/>
  <c r="F379" i="119"/>
  <c r="F501" i="119"/>
  <c r="J368" i="119" a="1"/>
  <c r="J368" i="119" s="1"/>
  <c r="H371" i="119" a="1"/>
  <c r="H371" i="119" s="1"/>
  <c r="J401" i="119" a="1"/>
  <c r="J401" i="119" s="1"/>
  <c r="J408" i="119" a="1"/>
  <c r="J408" i="119" s="1"/>
  <c r="J399" i="119" a="1"/>
  <c r="J399" i="119" s="1"/>
  <c r="J405" i="119" a="1"/>
  <c r="J405" i="119" s="1"/>
  <c r="J451" i="119" a="1"/>
  <c r="J451" i="119" s="1"/>
  <c r="F502" i="119"/>
  <c r="F533" i="119"/>
  <c r="J633" i="119" a="1"/>
  <c r="J633" i="119" s="1"/>
  <c r="J616" i="119" a="1"/>
  <c r="J616" i="119" s="1"/>
  <c r="J634" i="119" a="1"/>
  <c r="J634" i="119" s="1"/>
  <c r="J610" i="119" a="1"/>
  <c r="J610" i="119" s="1"/>
  <c r="J617" i="119" a="1"/>
  <c r="J617" i="119" s="1"/>
  <c r="K344" i="119" a="1"/>
  <c r="K344" i="119" s="1"/>
  <c r="J628" i="119" a="1"/>
  <c r="J628" i="119" s="1"/>
  <c r="J635" i="119" a="1"/>
  <c r="J635" i="119" s="1"/>
  <c r="J611" i="119" a="1"/>
  <c r="J611" i="119" s="1"/>
  <c r="J618" i="119" a="1"/>
  <c r="J618" i="119" s="1"/>
  <c r="K340" i="119" a="1"/>
  <c r="K340" i="119" s="1"/>
  <c r="L344" i="119"/>
  <c r="J629" i="119" a="1"/>
  <c r="J629" i="119" s="1"/>
  <c r="J636" i="119" a="1"/>
  <c r="J636" i="119" s="1"/>
  <c r="J612" i="119" a="1"/>
  <c r="J612" i="119" s="1"/>
  <c r="J630" i="119" a="1"/>
  <c r="J630" i="119" s="1"/>
  <c r="J613" i="119" a="1"/>
  <c r="J613" i="119" s="1"/>
  <c r="J631" i="119" a="1"/>
  <c r="J631" i="119" s="1"/>
  <c r="J614" i="119" a="1"/>
  <c r="J614" i="119" s="1"/>
  <c r="J609" i="119" a="1"/>
  <c r="J609" i="119" s="1"/>
  <c r="J632" i="119" a="1"/>
  <c r="J632" i="119" s="1"/>
  <c r="L11" i="115"/>
  <c r="O11" i="115"/>
  <c r="L10" i="115"/>
  <c r="R16" i="115"/>
  <c r="L17" i="115"/>
  <c r="O17" i="115"/>
  <c r="O10" i="115"/>
  <c r="L13" i="115"/>
  <c r="O13" i="115"/>
  <c r="L16" i="115"/>
  <c r="E7" i="111"/>
  <c r="E30" i="111"/>
  <c r="P48" i="111"/>
  <c r="F48" i="111"/>
  <c r="E7" i="110"/>
  <c r="E99" i="107"/>
  <c r="E7" i="107"/>
  <c r="F192" i="107"/>
  <c r="F151" i="107"/>
  <c r="E7" i="104"/>
  <c r="L8" i="104"/>
  <c r="F50" i="104"/>
  <c r="D39" i="104"/>
  <c r="L39" i="104" s="1" a="1"/>
  <c r="L39" i="104" s="1"/>
  <c r="D42" i="104"/>
  <c r="F51" i="104"/>
  <c r="D30" i="104"/>
  <c r="L30" i="104" s="1" a="1"/>
  <c r="L30" i="104" s="1"/>
  <c r="D37" i="104"/>
  <c r="L37" i="104" s="1" a="1"/>
  <c r="L37" i="104" s="1"/>
  <c r="F43" i="104"/>
  <c r="F52" i="104"/>
  <c r="D28" i="104"/>
  <c r="D35" i="104"/>
  <c r="F44" i="104"/>
  <c r="F55" i="104"/>
  <c r="D26" i="104"/>
  <c r="L26" i="104" s="1" a="1"/>
  <c r="L26" i="104" s="1"/>
  <c r="D33" i="104"/>
  <c r="L33" i="104" s="1" a="1"/>
  <c r="L33" i="104" s="1"/>
  <c r="F45" i="104"/>
  <c r="D40" i="104"/>
  <c r="L40" i="104" s="1" a="1"/>
  <c r="L40" i="104" s="1"/>
  <c r="F56" i="104"/>
  <c r="F46" i="104"/>
  <c r="D48" i="104"/>
  <c r="F57" i="104"/>
  <c r="F49" i="104"/>
  <c r="E7" i="103"/>
  <c r="L7" i="103"/>
  <c r="Q27" i="103" a="1"/>
  <c r="Q27" i="103" s="1"/>
  <c r="Q36" i="103" a="1"/>
  <c r="Q36" i="103" s="1"/>
  <c r="P36" i="103" a="1"/>
  <c r="P36" i="103" s="1"/>
  <c r="F70" i="103"/>
  <c r="F61" i="103"/>
  <c r="F51" i="103"/>
  <c r="F69" i="103"/>
  <c r="F50" i="103"/>
  <c r="F58" i="103"/>
  <c r="F68" i="103"/>
  <c r="F49" i="103"/>
  <c r="F57" i="103"/>
  <c r="F67" i="103"/>
  <c r="F56" i="103"/>
  <c r="F46" i="103"/>
  <c r="F64" i="103"/>
  <c r="F55" i="103"/>
  <c r="F45" i="103"/>
  <c r="F63" i="103"/>
  <c r="F44" i="103"/>
  <c r="F62" i="103"/>
  <c r="F52" i="103"/>
  <c r="F43" i="103"/>
  <c r="N27" i="103" a="1"/>
  <c r="N27" i="103" s="1"/>
  <c r="D30" i="103"/>
  <c r="L30" i="103" s="1" a="1"/>
  <c r="L30" i="103" s="1"/>
  <c r="D39" i="103"/>
  <c r="L39" i="103" s="1" a="1"/>
  <c r="L39" i="103" s="1"/>
  <c r="O27" i="103" a="1"/>
  <c r="O27" i="103" s="1"/>
  <c r="Q35" i="103" a="1"/>
  <c r="Q35" i="103" s="1"/>
  <c r="D29" i="103"/>
  <c r="L29" i="103" s="1" a="1"/>
  <c r="L29" i="103" s="1"/>
  <c r="O36" i="103" a="1"/>
  <c r="O36" i="103" s="1"/>
  <c r="P27" i="103" a="1"/>
  <c r="P27" i="103" s="1"/>
  <c r="D38" i="103"/>
  <c r="L38" i="103" s="1" a="1"/>
  <c r="L38" i="103" s="1"/>
  <c r="D28" i="103"/>
  <c r="D31" i="103"/>
  <c r="L31" i="103" s="1" a="1"/>
  <c r="L31" i="103" s="1"/>
  <c r="O32" i="103" a="1"/>
  <c r="O32" i="103" s="1"/>
  <c r="D60" i="103"/>
  <c r="I18" i="102"/>
  <c r="L32" i="104" s="1" a="1"/>
  <c r="L32" i="104" s="1"/>
  <c r="I21" i="102"/>
  <c r="I20" i="102"/>
  <c r="L33" i="103" s="1" a="1"/>
  <c r="L33" i="103" s="1"/>
  <c r="I57" i="97"/>
  <c r="E18" i="100" a="1"/>
  <c r="E18" i="100" s="1"/>
  <c r="F54" i="79"/>
  <c r="F111" i="96" a="1"/>
  <c r="F111" i="96" s="1"/>
  <c r="E143" i="96" s="1"/>
  <c r="F106" i="96" a="1"/>
  <c r="F106" i="96" s="1"/>
  <c r="E138" i="96" s="1"/>
  <c r="F105" i="96" a="1"/>
  <c r="F105" i="96" s="1"/>
  <c r="E137" i="96" s="1"/>
  <c r="F108" i="96" a="1"/>
  <c r="F108" i="96" s="1"/>
  <c r="E140" i="96" s="1"/>
  <c r="F112" i="96" a="1"/>
  <c r="F112" i="96" s="1"/>
  <c r="E144" i="96" s="1"/>
  <c r="F107" i="96" a="1"/>
  <c r="F107" i="96" s="1"/>
  <c r="E139" i="96" s="1"/>
  <c r="F110" i="96" a="1"/>
  <c r="F110" i="96" s="1"/>
  <c r="E142" i="96" s="1"/>
  <c r="E49" i="97"/>
  <c r="E7" i="97"/>
  <c r="E43" i="96"/>
  <c r="E118" i="96"/>
  <c r="E7" i="96"/>
  <c r="E90" i="96"/>
  <c r="F79" i="96"/>
  <c r="G59" i="96"/>
  <c r="E7" i="95"/>
  <c r="R170" i="90"/>
  <c r="I165" i="90"/>
  <c r="E38" i="94"/>
  <c r="E7" i="94"/>
  <c r="E7" i="93"/>
  <c r="E43" i="93"/>
  <c r="F78" i="93"/>
  <c r="F58" i="93"/>
  <c r="N70" i="92"/>
  <c r="E7" i="92"/>
  <c r="E42" i="92"/>
  <c r="O108" i="92"/>
  <c r="F80" i="92"/>
  <c r="F60" i="92"/>
  <c r="J44" i="87"/>
  <c r="O182" i="90"/>
  <c r="F182" i="90"/>
  <c r="I180" i="90"/>
  <c r="R80" i="90"/>
  <c r="G148" i="90"/>
  <c r="I160" i="90" s="1"/>
  <c r="D40" i="91"/>
  <c r="I170" i="90"/>
  <c r="X13" i="91"/>
  <c r="E8" i="90"/>
  <c r="E31" i="90"/>
  <c r="E57" i="90"/>
  <c r="E139" i="90"/>
  <c r="E121" i="90"/>
  <c r="E86" i="90"/>
  <c r="R24" i="90"/>
  <c r="I24" i="90"/>
  <c r="I115" i="90"/>
  <c r="R115" i="90"/>
  <c r="R132" i="90"/>
  <c r="R180" i="90"/>
  <c r="R165" i="90"/>
  <c r="Q30" i="87"/>
  <c r="K28" i="87"/>
  <c r="V23" i="87"/>
  <c r="F30" i="87"/>
  <c r="I40" i="79"/>
  <c r="E36" i="79"/>
  <c r="H40" i="79"/>
  <c r="G40" i="79"/>
  <c r="F40" i="79"/>
  <c r="E40" i="79"/>
  <c r="I36" i="79"/>
  <c r="H36" i="79"/>
  <c r="F36" i="79"/>
  <c r="G36" i="79"/>
  <c r="E53" i="79"/>
  <c r="F53" i="79"/>
  <c r="G41" i="79"/>
  <c r="P121" i="81" s="1"/>
  <c r="E41" i="79"/>
  <c r="N121" i="81" s="1"/>
  <c r="I37" i="79"/>
  <c r="H121" i="81" s="1"/>
  <c r="G37" i="79"/>
  <c r="F121" i="81" s="1"/>
  <c r="H37" i="79"/>
  <c r="G121" i="81" s="1"/>
  <c r="F37" i="79"/>
  <c r="E121" i="81" s="1"/>
  <c r="I41" i="79"/>
  <c r="R121" i="81" s="1"/>
  <c r="E37" i="79"/>
  <c r="D121" i="81" s="1"/>
  <c r="H41" i="79"/>
  <c r="Q121" i="81" s="1"/>
  <c r="F41" i="79"/>
  <c r="O121" i="81" s="1"/>
  <c r="E7" i="87"/>
  <c r="Q47" i="87"/>
  <c r="F47" i="87"/>
  <c r="V28" i="87"/>
  <c r="K23" i="87"/>
  <c r="K51" i="85"/>
  <c r="E7" i="86"/>
  <c r="Q45" i="86"/>
  <c r="F45" i="86"/>
  <c r="V19" i="86"/>
  <c r="V24" i="86"/>
  <c r="V51" i="85"/>
  <c r="K24" i="86"/>
  <c r="F26" i="86"/>
  <c r="K19" i="86"/>
  <c r="D38" i="86"/>
  <c r="O38" i="86" s="1"/>
  <c r="K25" i="85"/>
  <c r="E37" i="85"/>
  <c r="E7" i="85"/>
  <c r="T19" i="85"/>
  <c r="I19" i="85"/>
  <c r="I203" i="81"/>
  <c r="V25" i="85"/>
  <c r="V31" i="85"/>
  <c r="K52" i="84"/>
  <c r="F53" i="85"/>
  <c r="V52" i="84"/>
  <c r="E91" i="84"/>
  <c r="E7" i="84"/>
  <c r="Q115" i="84"/>
  <c r="K76" i="84"/>
  <c r="F115" i="84"/>
  <c r="F85" i="84"/>
  <c r="V76" i="84"/>
  <c r="Q85" i="84"/>
  <c r="V29" i="83"/>
  <c r="K29" i="83"/>
  <c r="Q148" i="84"/>
  <c r="K106" i="84"/>
  <c r="K146" i="84"/>
  <c r="K142" i="84"/>
  <c r="V106" i="84"/>
  <c r="F148" i="84"/>
  <c r="K139" i="84"/>
  <c r="K143" i="84"/>
  <c r="K140" i="84"/>
  <c r="K141" i="84"/>
  <c r="K145" i="84"/>
  <c r="V139" i="84"/>
  <c r="K144" i="84"/>
  <c r="G97" i="84"/>
  <c r="S88" i="81"/>
  <c r="G13" i="84"/>
  <c r="I171" i="81"/>
  <c r="E7" i="83"/>
  <c r="E36" i="83"/>
  <c r="V49" i="83"/>
  <c r="Q52" i="83"/>
  <c r="F52" i="83"/>
  <c r="K49" i="83"/>
  <c r="K23" i="83"/>
  <c r="V23" i="83"/>
  <c r="I55" i="81"/>
  <c r="R162" i="80"/>
  <c r="E7" i="82"/>
  <c r="K40" i="82"/>
  <c r="Q49" i="82"/>
  <c r="V40" i="82"/>
  <c r="F49" i="82"/>
  <c r="Q68" i="82"/>
  <c r="F68" i="82"/>
  <c r="S98" i="81"/>
  <c r="D61" i="82"/>
  <c r="O61" i="82" s="1"/>
  <c r="I98" i="81"/>
  <c r="S203" i="81"/>
  <c r="G78" i="81"/>
  <c r="G13" i="82"/>
  <c r="I95" i="79"/>
  <c r="E153" i="81"/>
  <c r="E219" i="81"/>
  <c r="E132" i="81"/>
  <c r="E183" i="81"/>
  <c r="E7" i="81"/>
  <c r="E109" i="81"/>
  <c r="E256" i="81"/>
  <c r="E35" i="81"/>
  <c r="E72" i="81"/>
  <c r="S213" i="81"/>
  <c r="I213" i="81"/>
  <c r="I126" i="81"/>
  <c r="S126" i="81"/>
  <c r="I146" i="81"/>
  <c r="S146" i="81"/>
  <c r="P287" i="81"/>
  <c r="F287" i="81"/>
  <c r="T133" i="80"/>
  <c r="I133" i="80"/>
  <c r="I29" i="81"/>
  <c r="S29" i="81"/>
  <c r="I65" i="81"/>
  <c r="S65" i="81"/>
  <c r="I103" i="81"/>
  <c r="S103" i="81"/>
  <c r="S121" i="81"/>
  <c r="I176" i="81"/>
  <c r="S208" i="81"/>
  <c r="F300" i="80"/>
  <c r="I88" i="81"/>
  <c r="I121" i="81"/>
  <c r="I79" i="80"/>
  <c r="I60" i="81" s="1"/>
  <c r="I208" i="81"/>
  <c r="I120" i="79"/>
  <c r="I24" i="80"/>
  <c r="I198" i="81"/>
  <c r="E56" i="80"/>
  <c r="E120" i="80"/>
  <c r="E8" i="80"/>
  <c r="E31" i="80"/>
  <c r="E139" i="80"/>
  <c r="E186" i="80"/>
  <c r="E212" i="80"/>
  <c r="E252" i="80"/>
  <c r="E85" i="80"/>
  <c r="T114" i="80"/>
  <c r="S50" i="81" s="1"/>
  <c r="D74" i="80"/>
  <c r="V173" i="80"/>
  <c r="K237" i="80"/>
  <c r="V237" i="80"/>
  <c r="K206" i="80"/>
  <c r="K205" i="80"/>
  <c r="V206" i="80"/>
  <c r="V205" i="80"/>
  <c r="G119" i="79"/>
  <c r="F119" i="79"/>
  <c r="G145" i="80"/>
  <c r="E119" i="79"/>
  <c r="I45" i="80"/>
  <c r="F120" i="79"/>
  <c r="F95" i="79"/>
  <c r="H119" i="79"/>
  <c r="E120" i="79"/>
  <c r="D82" i="79"/>
  <c r="D104" i="79"/>
  <c r="D114" i="79"/>
  <c r="G120" i="79"/>
  <c r="E95" i="79"/>
  <c r="D105" i="79"/>
  <c r="D115" i="79"/>
  <c r="H120" i="79"/>
  <c r="D85" i="79"/>
  <c r="G95" i="79"/>
  <c r="H95" i="79"/>
  <c r="I119" i="79"/>
  <c r="G77" i="13"/>
  <c r="G78" i="13" s="1"/>
  <c r="F71" i="13"/>
  <c r="E23" i="72" a="1"/>
  <c r="E23" i="72" s="1"/>
  <c r="E24" i="72" s="1" a="1"/>
  <c r="E24" i="72" s="1"/>
  <c r="F67" i="13" s="1"/>
  <c r="F77" i="13" s="1"/>
  <c r="E19" i="90" l="1"/>
  <c r="E24" i="90" s="1" a="1"/>
  <c r="E24" i="90" s="1"/>
  <c r="E80" i="90" s="1" a="1"/>
  <c r="E80" i="90" s="1"/>
  <c r="E115" i="90" s="1" a="1"/>
  <c r="E115" i="90" s="1"/>
  <c r="E132" i="90" s="1" a="1"/>
  <c r="E132" i="90" s="1"/>
  <c r="E180" i="90" s="1" a="1"/>
  <c r="E180" i="90" s="1"/>
  <c r="E19" i="80"/>
  <c r="E24" i="80" s="1" a="1"/>
  <c r="E24" i="80" s="1"/>
  <c r="E79" i="80" s="1" a="1"/>
  <c r="E79" i="80" s="1"/>
  <c r="J454" i="119" a="1"/>
  <c r="J454" i="119" s="1"/>
  <c r="H454" i="119" a="1"/>
  <c r="H454" i="119" s="1"/>
  <c r="K38" i="104"/>
  <c r="J38" i="104"/>
  <c r="I38" i="104"/>
  <c r="H38" i="104"/>
  <c r="G38" i="104"/>
  <c r="K33" i="104"/>
  <c r="J33" i="104"/>
  <c r="I33" i="104"/>
  <c r="G33" i="104"/>
  <c r="H33" i="104"/>
  <c r="N19" i="90"/>
  <c r="N24" i="90" s="1" a="1"/>
  <c r="N24" i="90" s="1"/>
  <c r="N80" i="90" s="1" a="1"/>
  <c r="N80" i="90" s="1"/>
  <c r="N115" i="90" s="1" a="1"/>
  <c r="N115" i="90" s="1"/>
  <c r="N132" i="90" s="1" a="1"/>
  <c r="N132" i="90" s="1"/>
  <c r="P19" i="80"/>
  <c r="P24" i="80" s="1" a="1"/>
  <c r="P24" i="80" s="1"/>
  <c r="P79" i="80" s="1" a="1"/>
  <c r="P79" i="80" s="1"/>
  <c r="E285" i="80"/>
  <c r="O208" i="81"/>
  <c r="E208" i="81"/>
  <c r="G62" i="119" a="1"/>
  <c r="G62" i="119" s="1"/>
  <c r="G66" i="119" a="1"/>
  <c r="G66" i="119" s="1"/>
  <c r="G70" i="119" a="1"/>
  <c r="G70" i="119" s="1"/>
  <c r="J66" i="119" a="1"/>
  <c r="J66" i="119" s="1"/>
  <c r="J67" i="119" a="1"/>
  <c r="J67" i="119" s="1"/>
  <c r="G63" i="119" a="1"/>
  <c r="G63" i="119" s="1"/>
  <c r="G68" i="119" a="1"/>
  <c r="G68" i="119" s="1"/>
  <c r="J65" i="119" a="1"/>
  <c r="J65" i="119" s="1"/>
  <c r="J64" i="119" a="1"/>
  <c r="J64" i="119" s="1"/>
  <c r="J68" i="119" a="1"/>
  <c r="J68" i="119" s="1"/>
  <c r="G64" i="119" a="1"/>
  <c r="G64" i="119" s="1"/>
  <c r="O55" i="92"/>
  <c r="W59" i="92"/>
  <c r="W58" i="92"/>
  <c r="S57" i="92" a="1"/>
  <c r="S57" i="92" s="1"/>
  <c r="V58" i="92" a="1"/>
  <c r="V58" i="92" s="1"/>
  <c r="S56" i="92" a="1"/>
  <c r="S56" i="92" s="1"/>
  <c r="T58" i="92"/>
  <c r="R59" i="92" a="1"/>
  <c r="R59" i="92" s="1"/>
  <c r="S58" i="92" a="1"/>
  <c r="S58" i="92" s="1"/>
  <c r="R56" i="92" a="1"/>
  <c r="R56" i="92" s="1"/>
  <c r="T57" i="92"/>
  <c r="V57" i="92" s="1" a="1"/>
  <c r="V57" i="92" s="1"/>
  <c r="T56" i="92"/>
  <c r="V59" i="92" a="1"/>
  <c r="V59" i="92" s="1"/>
  <c r="R57" i="92" a="1"/>
  <c r="R57" i="92" s="1"/>
  <c r="S59" i="92" a="1"/>
  <c r="S59" i="92" s="1"/>
  <c r="G19" i="90"/>
  <c r="G24" i="90" s="1" a="1"/>
  <c r="G24" i="90" s="1"/>
  <c r="G80" i="90" s="1" a="1"/>
  <c r="G80" i="90" s="1"/>
  <c r="G115" i="90" s="1" a="1"/>
  <c r="G115" i="90" s="1"/>
  <c r="G132" i="90" s="1" a="1"/>
  <c r="G132" i="90" s="1"/>
  <c r="G180" i="90" s="1" a="1"/>
  <c r="G180" i="90" s="1"/>
  <c r="G19" i="80"/>
  <c r="G24" i="80" s="1" a="1"/>
  <c r="G24" i="80" s="1"/>
  <c r="G79" i="80" s="1" a="1"/>
  <c r="G79" i="80" s="1"/>
  <c r="R58" i="92" a="1"/>
  <c r="R58" i="92" s="1"/>
  <c r="G285" i="80"/>
  <c r="Q208" i="81"/>
  <c r="G208" i="81"/>
  <c r="T59" i="92"/>
  <c r="F285" i="80"/>
  <c r="F208" i="81"/>
  <c r="F203" i="81"/>
  <c r="F275" i="80"/>
  <c r="N32" i="104" a="1"/>
  <c r="N32" i="104" s="1"/>
  <c r="H19" i="90"/>
  <c r="H24" i="90" s="1" a="1"/>
  <c r="H24" i="90" s="1"/>
  <c r="H80" i="90" s="1" a="1"/>
  <c r="H80" i="90" s="1"/>
  <c r="H115" i="90" s="1" a="1"/>
  <c r="H115" i="90" s="1"/>
  <c r="H132" i="90" s="1" a="1"/>
  <c r="H132" i="90" s="1"/>
  <c r="H19" i="80"/>
  <c r="H24" i="80" s="1" a="1"/>
  <c r="H24" i="80" s="1"/>
  <c r="H79" i="80" s="1" a="1"/>
  <c r="H79" i="80" s="1"/>
  <c r="I29" i="89"/>
  <c r="Q165" i="90"/>
  <c r="M19" i="90"/>
  <c r="M24" i="90" s="1" a="1"/>
  <c r="M24" i="90" s="1"/>
  <c r="O19" i="80"/>
  <c r="O24" i="80" s="1" a="1"/>
  <c r="O24" i="80" s="1"/>
  <c r="T40" i="80"/>
  <c r="R40" i="90"/>
  <c r="H233" i="81" a="1"/>
  <c r="H233" i="81" s="1"/>
  <c r="H232" i="81" a="1"/>
  <c r="H232" i="81" s="1"/>
  <c r="H231" i="81" a="1"/>
  <c r="H231" i="81" s="1"/>
  <c r="H234" i="81" a="1"/>
  <c r="H234" i="81" s="1"/>
  <c r="G83" i="119" a="1"/>
  <c r="G83" i="119" s="1"/>
  <c r="AA246" i="119" a="1"/>
  <c r="AA246" i="119" s="1"/>
  <c r="D19" i="92"/>
  <c r="F19" i="92" s="1" a="1"/>
  <c r="F19" i="92" s="1"/>
  <c r="F34" i="92" a="1"/>
  <c r="F34" i="92" s="1"/>
  <c r="F20" i="92" a="1"/>
  <c r="F20" i="92" s="1"/>
  <c r="F33" i="92" a="1"/>
  <c r="F33" i="92" s="1"/>
  <c r="F32" i="92" a="1"/>
  <c r="F32" i="92" s="1"/>
  <c r="F31" i="92" a="1"/>
  <c r="F31" i="92" s="1"/>
  <c r="F30" i="92" a="1"/>
  <c r="F30" i="92" s="1"/>
  <c r="F29" i="92" a="1"/>
  <c r="F29" i="92" s="1"/>
  <c r="F28" i="92" a="1"/>
  <c r="F28" i="92" s="1"/>
  <c r="F27" i="92" a="1"/>
  <c r="F27" i="92" s="1"/>
  <c r="F24" i="92" a="1"/>
  <c r="F24" i="92" s="1"/>
  <c r="F37" i="92" a="1"/>
  <c r="F37" i="92" s="1"/>
  <c r="F23" i="92" a="1"/>
  <c r="F23" i="92" s="1"/>
  <c r="F25" i="92" a="1"/>
  <c r="F25" i="92" s="1"/>
  <c r="F22" i="92" a="1"/>
  <c r="F22" i="92" s="1"/>
  <c r="F21" i="92" a="1"/>
  <c r="F21" i="92" s="1"/>
  <c r="F36" i="92" a="1"/>
  <c r="F36" i="92" s="1"/>
  <c r="F35" i="92" a="1"/>
  <c r="F35" i="92" s="1"/>
  <c r="F26" i="92" a="1"/>
  <c r="F26" i="92" s="1"/>
  <c r="D19" i="80"/>
  <c r="D24" i="80" s="1" a="1"/>
  <c r="D24" i="80" s="1"/>
  <c r="D19" i="90"/>
  <c r="D24" i="90" s="1" a="1"/>
  <c r="D24" i="90" s="1"/>
  <c r="J84" i="119" a="1"/>
  <c r="J84" i="119" s="1"/>
  <c r="S243" i="119" a="1"/>
  <c r="S243" i="119" s="1"/>
  <c r="V16" i="91"/>
  <c r="X16" i="91" s="1"/>
  <c r="V19" i="91"/>
  <c r="X19" i="91" s="1"/>
  <c r="D285" i="80"/>
  <c r="D208" i="81"/>
  <c r="N208" i="81"/>
  <c r="G171" i="81"/>
  <c r="G275" i="80"/>
  <c r="J237" i="81" a="1"/>
  <c r="J237" i="81" s="1"/>
  <c r="J236" i="81" a="1"/>
  <c r="J236" i="81" s="1"/>
  <c r="J235" i="81" a="1"/>
  <c r="J235" i="81" s="1"/>
  <c r="J238" i="81" a="1"/>
  <c r="J238" i="81" s="1"/>
  <c r="J176" i="107" a="1"/>
  <c r="J176" i="107" s="1"/>
  <c r="J162" i="107" a="1"/>
  <c r="J162" i="107" s="1"/>
  <c r="K36" i="104"/>
  <c r="J36" i="104"/>
  <c r="H36" i="104"/>
  <c r="G36" i="104"/>
  <c r="I36" i="104"/>
  <c r="V13" i="91"/>
  <c r="Q98" i="81"/>
  <c r="R104" i="80"/>
  <c r="H203" i="81"/>
  <c r="H275" i="80"/>
  <c r="F151" i="80" a="1"/>
  <c r="F25" i="85"/>
  <c r="J38" i="103" a="1"/>
  <c r="J38" i="103" s="1"/>
  <c r="V17" i="91"/>
  <c r="X17" i="91" s="1"/>
  <c r="J178" i="107" a="1"/>
  <c r="J178" i="107" s="1"/>
  <c r="K27" i="104"/>
  <c r="Q27" i="104" s="1" a="1"/>
  <c r="Q27" i="104" s="1"/>
  <c r="J27" i="104"/>
  <c r="I27" i="104"/>
  <c r="H27" i="104"/>
  <c r="G27" i="104"/>
  <c r="Y221" i="119" a="1"/>
  <c r="N19" i="81"/>
  <c r="N29" i="81" s="1" a="1"/>
  <c r="N29" i="81" s="1"/>
  <c r="O99" i="80"/>
  <c r="G98" i="81"/>
  <c r="G104" i="80"/>
  <c r="AA244" i="119" a="1"/>
  <c r="AA244" i="119" s="1"/>
  <c r="D92" i="79"/>
  <c r="J83" i="119" a="1"/>
  <c r="J83" i="119" s="1"/>
  <c r="AE240" i="119" a="1"/>
  <c r="AE240" i="119" s="1"/>
  <c r="G25" i="104"/>
  <c r="J25" i="104"/>
  <c r="I25" i="104"/>
  <c r="H25" i="104"/>
  <c r="K25" i="104"/>
  <c r="E275" i="80"/>
  <c r="E171" i="81"/>
  <c r="Q200" i="80" a="1"/>
  <c r="Q155" i="80" a="1"/>
  <c r="P236" i="81" a="1"/>
  <c r="P236" i="81" s="1"/>
  <c r="Q156" i="80" a="1"/>
  <c r="P237" i="81" a="1"/>
  <c r="P237" i="81" s="1"/>
  <c r="P235" i="81" a="1"/>
  <c r="P235" i="81" s="1"/>
  <c r="P238" i="81" a="1"/>
  <c r="P238" i="81" s="1"/>
  <c r="Q157" i="80" a="1"/>
  <c r="H33" i="103" a="1"/>
  <c r="H33" i="103" s="1"/>
  <c r="K26" i="103" a="1"/>
  <c r="K26" i="103" s="1"/>
  <c r="J158" i="107" a="1"/>
  <c r="J158" i="107" s="1"/>
  <c r="J174" i="107" a="1"/>
  <c r="J174" i="107" s="1"/>
  <c r="I34" i="104"/>
  <c r="H34" i="104"/>
  <c r="G34" i="104"/>
  <c r="K34" i="104"/>
  <c r="Q34" i="104" s="1" a="1"/>
  <c r="Q34" i="104" s="1"/>
  <c r="J34" i="104"/>
  <c r="O19" i="81"/>
  <c r="O29" i="81" s="1" a="1"/>
  <c r="O29" i="81" s="1"/>
  <c r="P99" i="80"/>
  <c r="H29" i="89"/>
  <c r="P165" i="90"/>
  <c r="G79" i="119" a="1"/>
  <c r="G79" i="119" s="1"/>
  <c r="J438" i="119" a="1"/>
  <c r="J438" i="119" s="1"/>
  <c r="G80" i="119" a="1"/>
  <c r="G80" i="119" s="1"/>
  <c r="S241" i="119" a="1"/>
  <c r="S241" i="119" s="1"/>
  <c r="G87" i="119" a="1"/>
  <c r="G87" i="119" s="1"/>
  <c r="J47" i="119" a="1"/>
  <c r="J47" i="119" s="1"/>
  <c r="AE243" i="119" a="1"/>
  <c r="AE243" i="119" s="1"/>
  <c r="AE237" i="119" a="1"/>
  <c r="AE237" i="119" s="1"/>
  <c r="P221" i="119" a="1"/>
  <c r="P221" i="119" s="1"/>
  <c r="D19" i="96"/>
  <c r="F19" i="96" s="1" a="1"/>
  <c r="F19" i="96" s="1"/>
  <c r="G19" i="96" s="1" a="1"/>
  <c r="G19" i="96" s="1"/>
  <c r="F33" i="96" a="1"/>
  <c r="F33" i="96" s="1"/>
  <c r="G33" i="96" s="1" a="1"/>
  <c r="G33" i="96" s="1"/>
  <c r="F26" i="96" a="1"/>
  <c r="F26" i="96" s="1"/>
  <c r="G26" i="96" s="1" a="1"/>
  <c r="G26" i="96" s="1"/>
  <c r="F32" i="96" a="1"/>
  <c r="F32" i="96" s="1"/>
  <c r="G32" i="96" s="1" a="1"/>
  <c r="G32" i="96" s="1"/>
  <c r="F25" i="96" a="1"/>
  <c r="F25" i="96" s="1"/>
  <c r="G25" i="96" s="1" a="1"/>
  <c r="G25" i="96" s="1"/>
  <c r="F31" i="96" a="1"/>
  <c r="F31" i="96" s="1"/>
  <c r="G31" i="96" s="1" a="1"/>
  <c r="G31" i="96" s="1"/>
  <c r="F24" i="96" a="1"/>
  <c r="F24" i="96" s="1"/>
  <c r="G24" i="96" s="1" a="1"/>
  <c r="G24" i="96" s="1"/>
  <c r="F37" i="96" a="1"/>
  <c r="F37" i="96" s="1"/>
  <c r="G37" i="96" s="1" a="1"/>
  <c r="G37" i="96" s="1"/>
  <c r="F30" i="96" a="1"/>
  <c r="F30" i="96" s="1"/>
  <c r="G30" i="96" s="1" a="1"/>
  <c r="G30" i="96" s="1"/>
  <c r="F23" i="96" a="1"/>
  <c r="F23" i="96" s="1"/>
  <c r="G23" i="96" s="1" a="1"/>
  <c r="G23" i="96" s="1"/>
  <c r="F36" i="96" a="1"/>
  <c r="F36" i="96" s="1"/>
  <c r="G36" i="96" s="1" a="1"/>
  <c r="G36" i="96" s="1"/>
  <c r="F29" i="96" a="1"/>
  <c r="F29" i="96" s="1"/>
  <c r="G29" i="96" s="1" a="1"/>
  <c r="G29" i="96" s="1"/>
  <c r="F35" i="96" a="1"/>
  <c r="F35" i="96" s="1"/>
  <c r="G35" i="96" s="1" a="1"/>
  <c r="G35" i="96" s="1"/>
  <c r="F28" i="96" a="1"/>
  <c r="F28" i="96" s="1"/>
  <c r="G28" i="96" s="1" a="1"/>
  <c r="G28" i="96" s="1"/>
  <c r="F21" i="96" a="1"/>
  <c r="F21" i="96" s="1"/>
  <c r="G21" i="96" s="1" a="1"/>
  <c r="G21" i="96" s="1"/>
  <c r="F20" i="96" a="1"/>
  <c r="F20" i="96" s="1"/>
  <c r="G20" i="96" s="1" a="1"/>
  <c r="G20" i="96" s="1"/>
  <c r="F34" i="96" a="1"/>
  <c r="F34" i="96" s="1"/>
  <c r="G34" i="96" s="1" a="1"/>
  <c r="G34" i="96" s="1"/>
  <c r="F27" i="96" a="1"/>
  <c r="F27" i="96" s="1"/>
  <c r="G27" i="96" s="1" a="1"/>
  <c r="G27" i="96" s="1"/>
  <c r="F22" i="96" a="1"/>
  <c r="F22" i="96" s="1"/>
  <c r="G22" i="96" s="1" a="1"/>
  <c r="G22" i="96" s="1"/>
  <c r="W237" i="119" a="1"/>
  <c r="W237" i="119" s="1"/>
  <c r="AL221" i="119" a="1"/>
  <c r="AL221" i="119" s="1"/>
  <c r="G237" i="81" a="1"/>
  <c r="G237" i="81" s="1"/>
  <c r="G236" i="81" a="1"/>
  <c r="G236" i="81" s="1"/>
  <c r="G235" i="81" a="1"/>
  <c r="G235" i="81" s="1"/>
  <c r="G238" i="81" a="1"/>
  <c r="G238" i="81" s="1"/>
  <c r="H38" i="103" a="1"/>
  <c r="H38" i="103" s="1"/>
  <c r="J165" i="107" a="1"/>
  <c r="J165" i="107" s="1"/>
  <c r="J160" i="107" a="1"/>
  <c r="J160" i="107" s="1"/>
  <c r="J120" i="107" a="1"/>
  <c r="J120" i="107" s="1"/>
  <c r="G33" i="103" a="1"/>
  <c r="G33" i="103" s="1"/>
  <c r="P145" i="84"/>
  <c r="E133" i="84"/>
  <c r="P58" i="84"/>
  <c r="P46" i="84"/>
  <c r="O284" i="81"/>
  <c r="E145" i="84"/>
  <c r="P46" i="82"/>
  <c r="P25" i="82"/>
  <c r="E58" i="84"/>
  <c r="E46" i="84"/>
  <c r="E284" i="81"/>
  <c r="E112" i="84"/>
  <c r="E46" i="82"/>
  <c r="E249" i="81"/>
  <c r="E157" i="80"/>
  <c r="E70" i="84"/>
  <c r="P244" i="80"/>
  <c r="P82" i="84"/>
  <c r="P112" i="84"/>
  <c r="E179" i="80"/>
  <c r="P157" i="80"/>
  <c r="P297" i="80"/>
  <c r="E297" i="80"/>
  <c r="E244" i="80"/>
  <c r="D116" i="79"/>
  <c r="E82" i="84"/>
  <c r="O237" i="81"/>
  <c r="P168" i="80"/>
  <c r="E237" i="81"/>
  <c r="P179" i="80"/>
  <c r="E168" i="80"/>
  <c r="E25" i="82"/>
  <c r="O249" i="81"/>
  <c r="P19" i="81"/>
  <c r="P29" i="81" s="1" a="1"/>
  <c r="P29" i="81" s="1"/>
  <c r="Q99" i="80"/>
  <c r="H236" i="81" a="1"/>
  <c r="H236" i="81" s="1"/>
  <c r="H237" i="81" a="1"/>
  <c r="H237" i="81" s="1"/>
  <c r="H235" i="81" a="1"/>
  <c r="H235" i="81" s="1"/>
  <c r="H238" i="81" a="1"/>
  <c r="H238" i="81" s="1"/>
  <c r="J86" i="119" a="1"/>
  <c r="J86" i="119" s="1"/>
  <c r="W245" i="119" a="1"/>
  <c r="W245" i="119" s="1"/>
  <c r="AE241" i="119" a="1"/>
  <c r="AE241" i="119" s="1"/>
  <c r="K32" i="104"/>
  <c r="Q32" i="104" s="1" a="1"/>
  <c r="Q32" i="104" s="1"/>
  <c r="J32" i="104"/>
  <c r="I32" i="104"/>
  <c r="H32" i="104"/>
  <c r="G32" i="104"/>
  <c r="O32" i="104" s="1" a="1"/>
  <c r="O32" i="104" s="1"/>
  <c r="W238" i="119" a="1"/>
  <c r="W238" i="119" s="1"/>
  <c r="R39" i="90"/>
  <c r="T39" i="80"/>
  <c r="O50" i="80" s="1" a="1"/>
  <c r="O50" i="80" s="1"/>
  <c r="N88" i="81" s="1"/>
  <c r="J81" i="119" a="1"/>
  <c r="J81" i="119" s="1"/>
  <c r="W240" i="119" a="1"/>
  <c r="W240" i="119" s="1"/>
  <c r="W246" i="119" a="1"/>
  <c r="W246" i="119" s="1"/>
  <c r="U221" i="119" a="1"/>
  <c r="R221" i="119" a="1"/>
  <c r="R221" i="119" s="1"/>
  <c r="F29" i="89"/>
  <c r="N165" i="90"/>
  <c r="G29" i="79"/>
  <c r="P203" i="81"/>
  <c r="Q275" i="80"/>
  <c r="I25" i="103" a="1"/>
  <c r="I25" i="103" s="1"/>
  <c r="K33" i="103" a="1"/>
  <c r="K33" i="103" s="1"/>
  <c r="I26" i="103" a="1"/>
  <c r="I26" i="103" s="1"/>
  <c r="J167" i="107" a="1"/>
  <c r="J167" i="107" s="1"/>
  <c r="K25" i="103" a="1"/>
  <c r="K25" i="103" s="1"/>
  <c r="R231" i="81" a="1"/>
  <c r="R231" i="81" s="1"/>
  <c r="R232" i="81" a="1"/>
  <c r="R232" i="81" s="1"/>
  <c r="R234" i="81" a="1"/>
  <c r="R234" i="81" s="1"/>
  <c r="R233" i="81" a="1"/>
  <c r="R233" i="81" s="1"/>
  <c r="O98" i="81"/>
  <c r="P104" i="80"/>
  <c r="G84" i="119" a="1"/>
  <c r="G84" i="119" s="1"/>
  <c r="S245" i="119" a="1"/>
  <c r="S245" i="119" s="1"/>
  <c r="AE242" i="119" a="1"/>
  <c r="AE242" i="119" s="1"/>
  <c r="V21" i="91"/>
  <c r="X21" i="91" s="1"/>
  <c r="V18" i="91"/>
  <c r="X18" i="91" s="1"/>
  <c r="H19" i="81"/>
  <c r="H29" i="81" s="1" a="1"/>
  <c r="H29" i="81" s="1"/>
  <c r="H99" i="80"/>
  <c r="J175" i="107" a="1"/>
  <c r="J175" i="107" s="1"/>
  <c r="J179" i="107" a="1"/>
  <c r="J179" i="107" s="1"/>
  <c r="Z221" i="119" a="1"/>
  <c r="Z221" i="119" s="1"/>
  <c r="I233" i="81" a="1"/>
  <c r="I233" i="81" s="1"/>
  <c r="I232" i="81" a="1"/>
  <c r="I232" i="81" s="1"/>
  <c r="I231" i="81" a="1"/>
  <c r="I231" i="81" s="1"/>
  <c r="I234" i="81" a="1"/>
  <c r="I234" i="81" s="1"/>
  <c r="E98" i="81"/>
  <c r="E104" i="80"/>
  <c r="P19" i="90"/>
  <c r="P24" i="90" s="1" a="1"/>
  <c r="P24" i="90" s="1"/>
  <c r="P80" i="90" s="1" a="1"/>
  <c r="P80" i="90" s="1"/>
  <c r="P115" i="90" s="1" a="1"/>
  <c r="P115" i="90" s="1"/>
  <c r="P132" i="90" s="1" a="1"/>
  <c r="P132" i="90" s="1"/>
  <c r="R19" i="80"/>
  <c r="R24" i="80" s="1" a="1"/>
  <c r="R24" i="80" s="1"/>
  <c r="R79" i="80" s="1" a="1"/>
  <c r="R79" i="80" s="1"/>
  <c r="R114" i="80" s="1" a="1"/>
  <c r="R114" i="80" s="1"/>
  <c r="S19" i="80"/>
  <c r="S24" i="80" s="1" a="1"/>
  <c r="S24" i="80" s="1"/>
  <c r="S79" i="80" s="1" a="1"/>
  <c r="S79" i="80" s="1"/>
  <c r="Q19" i="90"/>
  <c r="Q24" i="90" s="1" a="1"/>
  <c r="Q24" i="90" s="1"/>
  <c r="Q80" i="90" s="1" a="1"/>
  <c r="Q80" i="90" s="1"/>
  <c r="Q115" i="90" s="1" a="1"/>
  <c r="Q115" i="90" s="1"/>
  <c r="Q132" i="90" s="1" a="1"/>
  <c r="Q132" i="90" s="1"/>
  <c r="AA239" i="119" a="1"/>
  <c r="AA239" i="119" s="1"/>
  <c r="I39" i="90"/>
  <c r="D50" i="90" s="1" a="1"/>
  <c r="D50" i="90" s="1"/>
  <c r="I39" i="80"/>
  <c r="D50" i="80" s="1" a="1"/>
  <c r="D50" i="80" s="1"/>
  <c r="D88" i="81" s="1"/>
  <c r="J376" i="119" a="1"/>
  <c r="J376" i="119" s="1"/>
  <c r="H456" i="119" a="1"/>
  <c r="H456" i="119" s="1"/>
  <c r="G85" i="119" a="1"/>
  <c r="G85" i="119" s="1"/>
  <c r="F19" i="90"/>
  <c r="F24" i="90" s="1" a="1"/>
  <c r="F24" i="90" s="1"/>
  <c r="F80" i="90" s="1" a="1"/>
  <c r="F80" i="90" s="1"/>
  <c r="F115" i="90" s="1" a="1"/>
  <c r="F115" i="90" s="1"/>
  <c r="F132" i="90" s="1" a="1"/>
  <c r="F132" i="90" s="1"/>
  <c r="F19" i="80"/>
  <c r="F24" i="80" s="1" a="1"/>
  <c r="F24" i="80" s="1"/>
  <c r="F79" i="80" s="1" a="1"/>
  <c r="F79" i="80" s="1"/>
  <c r="AA241" i="119" a="1"/>
  <c r="AA241" i="119" s="1"/>
  <c r="AA243" i="119" a="1"/>
  <c r="AA243" i="119" s="1"/>
  <c r="W239" i="119" a="1"/>
  <c r="W239" i="119" s="1"/>
  <c r="P80" i="84"/>
  <c r="E68" i="84"/>
  <c r="P155" i="80"/>
  <c r="E80" i="84"/>
  <c r="P295" i="80"/>
  <c r="P110" i="84"/>
  <c r="P242" i="80"/>
  <c r="O247" i="81"/>
  <c r="E143" i="84"/>
  <c r="E56" i="84"/>
  <c r="O282" i="81"/>
  <c r="P143" i="84"/>
  <c r="E235" i="81"/>
  <c r="E295" i="80"/>
  <c r="P166" i="80"/>
  <c r="P23" i="82"/>
  <c r="E110" i="84"/>
  <c r="E247" i="81"/>
  <c r="E177" i="80"/>
  <c r="E44" i="82"/>
  <c r="E44" i="84"/>
  <c r="E131" i="84"/>
  <c r="D106" i="79"/>
  <c r="E282" i="81"/>
  <c r="P44" i="84"/>
  <c r="P177" i="80"/>
  <c r="E166" i="80"/>
  <c r="P44" i="82"/>
  <c r="E23" i="82"/>
  <c r="E242" i="80"/>
  <c r="E155" i="80"/>
  <c r="P56" i="84"/>
  <c r="O235" i="81"/>
  <c r="E67" i="84"/>
  <c r="P199" i="80"/>
  <c r="E199" i="80"/>
  <c r="D12" i="116"/>
  <c r="D136" i="119" s="1"/>
  <c r="F136" i="119" s="1" a="1"/>
  <c r="F136" i="119" s="1"/>
  <c r="G136" i="119" s="1" a="1"/>
  <c r="G136" i="119" s="1"/>
  <c r="D139" i="119"/>
  <c r="F139" i="119" s="1" a="1"/>
  <c r="F139" i="119" s="1"/>
  <c r="D138" i="119"/>
  <c r="F138" i="119" s="1" a="1"/>
  <c r="F138" i="119" s="1"/>
  <c r="D137" i="119"/>
  <c r="F137" i="119" s="1" a="1"/>
  <c r="F137" i="119" s="1"/>
  <c r="G137" i="119" s="1" a="1"/>
  <c r="G137" i="119" s="1"/>
  <c r="V15" i="91"/>
  <c r="X15" i="91" s="1"/>
  <c r="T237" i="81" a="1"/>
  <c r="T237" i="81" s="1"/>
  <c r="T236" i="81" a="1"/>
  <c r="T236" i="81" s="1"/>
  <c r="T238" i="81" a="1"/>
  <c r="T238" i="81" s="1"/>
  <c r="T235" i="81" a="1"/>
  <c r="T235" i="81" s="1"/>
  <c r="K30" i="104"/>
  <c r="J30" i="104"/>
  <c r="I30" i="104"/>
  <c r="G30" i="104"/>
  <c r="H30" i="104"/>
  <c r="AH221" i="119" a="1"/>
  <c r="AH221" i="119" s="1"/>
  <c r="V14" i="91"/>
  <c r="K38" i="103" a="1"/>
  <c r="K38" i="103" s="1"/>
  <c r="AC221" i="119" a="1"/>
  <c r="J185" i="107" a="1"/>
  <c r="J185" i="107" s="1"/>
  <c r="J168" i="107" a="1"/>
  <c r="J168" i="107" s="1"/>
  <c r="V20" i="91"/>
  <c r="X20" i="91" s="1"/>
  <c r="H208" i="81"/>
  <c r="H285" i="80"/>
  <c r="D99" i="80"/>
  <c r="D19" i="81"/>
  <c r="D29" i="81" s="1" a="1"/>
  <c r="D29" i="81" s="1"/>
  <c r="S238" i="119" a="1"/>
  <c r="S238" i="119" s="1"/>
  <c r="V221" i="119" a="1"/>
  <c r="V221" i="119" s="1"/>
  <c r="Q153" i="80" a="1"/>
  <c r="P233" i="81" a="1"/>
  <c r="P233" i="81" s="1"/>
  <c r="P231" i="81" a="1"/>
  <c r="P231" i="81" s="1"/>
  <c r="P234" i="81" a="1"/>
  <c r="P234" i="81" s="1"/>
  <c r="Q154" i="80" a="1"/>
  <c r="Q152" i="80" a="1"/>
  <c r="Q199" i="80" a="1"/>
  <c r="P232" i="81" a="1"/>
  <c r="P232" i="81" s="1"/>
  <c r="O221" i="119" a="1"/>
  <c r="O221" i="119" s="1"/>
  <c r="Q25" i="85"/>
  <c r="Q151" i="80" a="1"/>
  <c r="G26" i="103" a="1"/>
  <c r="G26" i="103" s="1"/>
  <c r="O26" i="103" s="1" a="1"/>
  <c r="O26" i="103" s="1"/>
  <c r="J117" i="107" a="1"/>
  <c r="J117" i="107" s="1"/>
  <c r="J119" i="107" a="1"/>
  <c r="J119" i="107" s="1"/>
  <c r="J163" i="107" a="1"/>
  <c r="J163" i="107" s="1"/>
  <c r="S231" i="81" a="1"/>
  <c r="S231" i="81" s="1"/>
  <c r="S233" i="81" a="1"/>
  <c r="S233" i="81" s="1"/>
  <c r="S234" i="81" a="1"/>
  <c r="S234" i="81" s="1"/>
  <c r="S232" i="81" a="1"/>
  <c r="S232" i="81" s="1"/>
  <c r="E99" i="80"/>
  <c r="E19" i="81"/>
  <c r="E29" i="81" s="1" a="1"/>
  <c r="E29" i="81" s="1"/>
  <c r="AE246" i="119" a="1"/>
  <c r="AE246" i="119" s="1"/>
  <c r="O248" i="81"/>
  <c r="E296" i="80"/>
  <c r="E156" i="80"/>
  <c r="E111" i="84"/>
  <c r="E243" i="80"/>
  <c r="E178" i="80"/>
  <c r="P167" i="80"/>
  <c r="D110" i="79"/>
  <c r="E248" i="81"/>
  <c r="D109" i="79"/>
  <c r="E144" i="84"/>
  <c r="P178" i="80"/>
  <c r="E167" i="80"/>
  <c r="P24" i="82"/>
  <c r="P111" i="84"/>
  <c r="P45" i="82"/>
  <c r="E45" i="82"/>
  <c r="E236" i="81"/>
  <c r="P243" i="80"/>
  <c r="D111" i="79"/>
  <c r="E132" i="84"/>
  <c r="E81" i="84"/>
  <c r="E57" i="84"/>
  <c r="O283" i="81"/>
  <c r="P144" i="84"/>
  <c r="E24" i="82"/>
  <c r="O236" i="81"/>
  <c r="E69" i="84"/>
  <c r="P45" i="84"/>
  <c r="P81" i="84"/>
  <c r="P57" i="84"/>
  <c r="P156" i="80"/>
  <c r="E45" i="84"/>
  <c r="E283" i="81"/>
  <c r="P296" i="80"/>
  <c r="G234" i="81" a="1"/>
  <c r="G234" i="81" s="1"/>
  <c r="G233" i="81" a="1"/>
  <c r="G233" i="81" s="1"/>
  <c r="G232" i="81" a="1"/>
  <c r="G232" i="81" s="1"/>
  <c r="G231" i="81" a="1"/>
  <c r="G231" i="81" s="1"/>
  <c r="F153" i="80" a="1"/>
  <c r="F233" i="81" a="1"/>
  <c r="F233" i="81" s="1"/>
  <c r="F232" i="81" a="1"/>
  <c r="F232" i="81" s="1"/>
  <c r="F231" i="81" a="1"/>
  <c r="F231" i="81" s="1"/>
  <c r="F234" i="81" a="1"/>
  <c r="F234" i="81" s="1"/>
  <c r="F154" i="80" a="1"/>
  <c r="F199" i="80" a="1"/>
  <c r="F152" i="80" a="1"/>
  <c r="Q221" i="119" a="1"/>
  <c r="V12" i="91"/>
  <c r="AG221" i="119" a="1"/>
  <c r="T234" i="81" a="1"/>
  <c r="T234" i="81" s="1"/>
  <c r="T231" i="81" a="1"/>
  <c r="T231" i="81" s="1"/>
  <c r="T232" i="81" a="1"/>
  <c r="T232" i="81" s="1"/>
  <c r="T233" i="81" a="1"/>
  <c r="T233" i="81" s="1"/>
  <c r="J133" i="107" a="1"/>
  <c r="J133" i="107" s="1"/>
  <c r="J135" i="107" a="1"/>
  <c r="J135" i="107" s="1"/>
  <c r="D59" i="107"/>
  <c r="G80" i="107" a="1"/>
  <c r="G80" i="107" s="1"/>
  <c r="G66" i="107" a="1"/>
  <c r="G66" i="107" s="1"/>
  <c r="G88" i="107" a="1"/>
  <c r="G88" i="107" s="1"/>
  <c r="G73" i="107" a="1"/>
  <c r="G73" i="107" s="1"/>
  <c r="G79" i="107" a="1"/>
  <c r="G79" i="107" s="1"/>
  <c r="G65" i="107" a="1"/>
  <c r="G65" i="107" s="1"/>
  <c r="G72" i="107" a="1"/>
  <c r="G72" i="107" s="1"/>
  <c r="G86" i="107" a="1"/>
  <c r="G86" i="107" s="1"/>
  <c r="G78" i="107" a="1"/>
  <c r="G78" i="107" s="1"/>
  <c r="G64" i="107" a="1"/>
  <c r="G64" i="107" s="1"/>
  <c r="G71" i="107" a="1"/>
  <c r="G71" i="107" s="1"/>
  <c r="G92" i="107" a="1"/>
  <c r="G92" i="107" s="1"/>
  <c r="G85" i="107" a="1"/>
  <c r="G85" i="107" s="1"/>
  <c r="G77" i="107" a="1"/>
  <c r="G77" i="107" s="1"/>
  <c r="G63" i="107" a="1"/>
  <c r="G63" i="107" s="1"/>
  <c r="G69" i="107" a="1"/>
  <c r="G69" i="107" s="1"/>
  <c r="G91" i="107" a="1"/>
  <c r="G91" i="107" s="1"/>
  <c r="G84" i="107" a="1"/>
  <c r="G84" i="107" s="1"/>
  <c r="G76" i="107" a="1"/>
  <c r="G76" i="107" s="1"/>
  <c r="G62" i="107" a="1"/>
  <c r="G62" i="107" s="1"/>
  <c r="G90" i="107" a="1"/>
  <c r="G90" i="107" s="1"/>
  <c r="G83" i="107" a="1"/>
  <c r="G83" i="107" s="1"/>
  <c r="G75" i="107" a="1"/>
  <c r="G75" i="107" s="1"/>
  <c r="G68" i="107" a="1"/>
  <c r="G68" i="107" s="1"/>
  <c r="G61" i="107" a="1"/>
  <c r="G61" i="107" s="1"/>
  <c r="G82" i="107" a="1"/>
  <c r="G82" i="107" s="1"/>
  <c r="G67" i="107" a="1"/>
  <c r="G67" i="107" s="1"/>
  <c r="G60" i="107" a="1"/>
  <c r="G60" i="107" s="1"/>
  <c r="G89" i="107" a="1"/>
  <c r="G89" i="107" s="1"/>
  <c r="G74" i="107" a="1"/>
  <c r="G74" i="107" s="1"/>
  <c r="J234" i="81" a="1"/>
  <c r="J234" i="81" s="1"/>
  <c r="J233" i="81" a="1"/>
  <c r="J233" i="81" s="1"/>
  <c r="J231" i="81" a="1"/>
  <c r="J231" i="81" s="1"/>
  <c r="J232" i="81" a="1"/>
  <c r="J232" i="81" s="1"/>
  <c r="R236" i="81" a="1"/>
  <c r="R236" i="81" s="1"/>
  <c r="R238" i="81" a="1"/>
  <c r="R238" i="81" s="1"/>
  <c r="R237" i="81" a="1"/>
  <c r="R237" i="81" s="1"/>
  <c r="R235" i="81" a="1"/>
  <c r="R235" i="81" s="1"/>
  <c r="E21" i="107"/>
  <c r="H21" i="107" s="1" a="1"/>
  <c r="H21" i="107" s="1"/>
  <c r="H47" i="107" a="1"/>
  <c r="H47" i="107" s="1"/>
  <c r="H39" i="107" a="1"/>
  <c r="H39" i="107" s="1"/>
  <c r="H31" i="107" a="1"/>
  <c r="H31" i="107" s="1"/>
  <c r="H24" i="107" a="1"/>
  <c r="H24" i="107" s="1"/>
  <c r="H54" i="107" a="1"/>
  <c r="H54" i="107" s="1"/>
  <c r="H46" i="107" a="1"/>
  <c r="H46" i="107" s="1"/>
  <c r="H38" i="107" a="1"/>
  <c r="H38" i="107" s="1"/>
  <c r="H30" i="107" a="1"/>
  <c r="H30" i="107" s="1"/>
  <c r="H23" i="107" a="1"/>
  <c r="H23" i="107" s="1"/>
  <c r="H53" i="107" a="1"/>
  <c r="H53" i="107" s="1"/>
  <c r="H45" i="107" a="1"/>
  <c r="H45" i="107" s="1"/>
  <c r="H37" i="107" a="1"/>
  <c r="H37" i="107" s="1"/>
  <c r="H29" i="107" a="1"/>
  <c r="H29" i="107" s="1"/>
  <c r="H22" i="107" a="1"/>
  <c r="H22" i="107" s="1"/>
  <c r="H52" i="107" a="1"/>
  <c r="H52" i="107" s="1"/>
  <c r="H44" i="107" a="1"/>
  <c r="H44" i="107" s="1"/>
  <c r="H36" i="107" a="1"/>
  <c r="H36" i="107" s="1"/>
  <c r="H28" i="107" a="1"/>
  <c r="H28" i="107" s="1"/>
  <c r="H51" i="107" a="1"/>
  <c r="H51" i="107" s="1"/>
  <c r="H42" i="107" a="1"/>
  <c r="H42" i="107" s="1"/>
  <c r="H35" i="107" a="1"/>
  <c r="H35" i="107" s="1"/>
  <c r="H27" i="107" a="1"/>
  <c r="H27" i="107" s="1"/>
  <c r="H50" i="107" a="1"/>
  <c r="H50" i="107" s="1"/>
  <c r="H41" i="107" a="1"/>
  <c r="H41" i="107" s="1"/>
  <c r="H34" i="107" a="1"/>
  <c r="H34" i="107" s="1"/>
  <c r="H26" i="107" a="1"/>
  <c r="H26" i="107" s="1"/>
  <c r="H48" i="107" a="1"/>
  <c r="H48" i="107" s="1"/>
  <c r="H40" i="107" a="1"/>
  <c r="H40" i="107" s="1"/>
  <c r="H33" i="107" a="1"/>
  <c r="H33" i="107" s="1"/>
  <c r="H25" i="107" a="1"/>
  <c r="H25" i="107" s="1"/>
  <c r="F238" i="81" a="1"/>
  <c r="F238" i="81" s="1"/>
  <c r="F157" i="80" a="1"/>
  <c r="F235" i="81" a="1"/>
  <c r="F235" i="81" s="1"/>
  <c r="F236" i="81" a="1"/>
  <c r="F236" i="81" s="1"/>
  <c r="F200" i="80" a="1"/>
  <c r="F237" i="81" a="1"/>
  <c r="F237" i="81" s="1"/>
  <c r="F155" i="80" a="1"/>
  <c r="F156" i="80" a="1"/>
  <c r="E29" i="79"/>
  <c r="O285" i="80" s="1"/>
  <c r="N171" i="81"/>
  <c r="O275" i="80"/>
  <c r="N98" i="81"/>
  <c r="O104" i="80"/>
  <c r="F99" i="80"/>
  <c r="F19" i="81"/>
  <c r="F29" i="81" s="1" a="1"/>
  <c r="F29" i="81" s="1"/>
  <c r="I31" i="104"/>
  <c r="H31" i="104"/>
  <c r="G31" i="104"/>
  <c r="K31" i="104"/>
  <c r="Q31" i="104" s="1" a="1"/>
  <c r="Q31" i="104" s="1"/>
  <c r="J31" i="104"/>
  <c r="G29" i="89"/>
  <c r="O165" i="90"/>
  <c r="D270" i="119"/>
  <c r="E281" i="119"/>
  <c r="I281" i="119" s="1" a="1"/>
  <c r="I281" i="119" s="1"/>
  <c r="E274" i="119"/>
  <c r="I274" i="119" s="1" a="1"/>
  <c r="I274" i="119" s="1"/>
  <c r="F280" i="119" a="1"/>
  <c r="F280" i="119" s="1"/>
  <c r="F273" i="119" a="1"/>
  <c r="F273" i="119" s="1"/>
  <c r="E280" i="119"/>
  <c r="I280" i="119" s="1" a="1"/>
  <c r="I280" i="119" s="1"/>
  <c r="E273" i="119"/>
  <c r="I273" i="119" s="1" a="1"/>
  <c r="I273" i="119" s="1"/>
  <c r="F279" i="119" a="1"/>
  <c r="F279" i="119" s="1"/>
  <c r="F272" i="119" a="1"/>
  <c r="F272" i="119" s="1"/>
  <c r="E279" i="119"/>
  <c r="E272" i="119"/>
  <c r="G272" i="119" s="1" a="1"/>
  <c r="G272" i="119" s="1"/>
  <c r="F278" i="119" a="1"/>
  <c r="F278" i="119" s="1"/>
  <c r="F271" i="119" a="1"/>
  <c r="F271" i="119" s="1"/>
  <c r="E278" i="119"/>
  <c r="E271" i="119"/>
  <c r="G271" i="119" s="1" a="1"/>
  <c r="G271" i="119" s="1"/>
  <c r="F277" i="119" a="1"/>
  <c r="F277" i="119" s="1"/>
  <c r="I277" i="119" s="1" a="1"/>
  <c r="I277" i="119" s="1"/>
  <c r="E277" i="119"/>
  <c r="F276" i="119" a="1"/>
  <c r="F276" i="119" s="1"/>
  <c r="E276" i="119"/>
  <c r="F275" i="119" a="1"/>
  <c r="F275" i="119" s="1"/>
  <c r="E275" i="119"/>
  <c r="I275" i="119" s="1" a="1"/>
  <c r="I275" i="119" s="1"/>
  <c r="F281" i="119" a="1"/>
  <c r="F281" i="119" s="1"/>
  <c r="F274" i="119" a="1"/>
  <c r="F274" i="119" s="1"/>
  <c r="I238" i="81" a="1"/>
  <c r="I238" i="81" s="1"/>
  <c r="I237" i="81" a="1"/>
  <c r="I237" i="81" s="1"/>
  <c r="I236" i="81" a="1"/>
  <c r="I236" i="81" s="1"/>
  <c r="I235" i="81" a="1"/>
  <c r="I235" i="81" s="1"/>
  <c r="X14" i="91"/>
  <c r="J26" i="103" a="1"/>
  <c r="J26" i="103" s="1"/>
  <c r="F29" i="79"/>
  <c r="P285" i="80" s="1"/>
  <c r="O171" i="81"/>
  <c r="P275" i="80"/>
  <c r="J166" i="107" a="1"/>
  <c r="J166" i="107" s="1"/>
  <c r="J177" i="107" a="1"/>
  <c r="J177" i="107" s="1"/>
  <c r="J138" i="107" a="1"/>
  <c r="J138" i="107" s="1"/>
  <c r="D98" i="81"/>
  <c r="D104" i="80"/>
  <c r="AA238" i="119" a="1"/>
  <c r="AA238" i="119" s="1"/>
  <c r="D19" i="93"/>
  <c r="F19" i="93" s="1" a="1"/>
  <c r="F19" i="93" s="1"/>
  <c r="F27" i="93" a="1"/>
  <c r="F27" i="93" s="1"/>
  <c r="F26" i="93" a="1"/>
  <c r="F26" i="93" s="1"/>
  <c r="F25" i="93" a="1"/>
  <c r="F25" i="93" s="1"/>
  <c r="F24" i="93" a="1"/>
  <c r="F24" i="93" s="1"/>
  <c r="F37" i="93" a="1"/>
  <c r="F37" i="93" s="1"/>
  <c r="F23" i="93" a="1"/>
  <c r="F23" i="93" s="1"/>
  <c r="F36" i="93" a="1"/>
  <c r="F36" i="93" s="1"/>
  <c r="F22" i="93" a="1"/>
  <c r="F22" i="93" s="1"/>
  <c r="F35" i="93" a="1"/>
  <c r="F35" i="93" s="1"/>
  <c r="F21" i="93" a="1"/>
  <c r="F21" i="93" s="1"/>
  <c r="F34" i="93" a="1"/>
  <c r="F34" i="93" s="1"/>
  <c r="F20" i="93" a="1"/>
  <c r="F20" i="93" s="1"/>
  <c r="F31" i="93" a="1"/>
  <c r="F31" i="93" s="1"/>
  <c r="F30" i="93" a="1"/>
  <c r="F30" i="93" s="1"/>
  <c r="F29" i="93" a="1"/>
  <c r="F29" i="93" s="1"/>
  <c r="F28" i="93" a="1"/>
  <c r="F28" i="93" s="1"/>
  <c r="F33" i="93" a="1"/>
  <c r="F33" i="93" s="1"/>
  <c r="F32" i="93" a="1"/>
  <c r="F32" i="93" s="1"/>
  <c r="P141" i="84"/>
  <c r="D90" i="79"/>
  <c r="P54" i="84"/>
  <c r="P42" i="84"/>
  <c r="O280" i="81"/>
  <c r="E165" i="80"/>
  <c r="E141" i="84"/>
  <c r="P42" i="82"/>
  <c r="P21" i="82"/>
  <c r="E54" i="84"/>
  <c r="E42" i="84"/>
  <c r="E280" i="81"/>
  <c r="E233" i="81"/>
  <c r="E42" i="82"/>
  <c r="P240" i="80"/>
  <c r="O233" i="81"/>
  <c r="E240" i="80"/>
  <c r="E154" i="80"/>
  <c r="P78" i="84"/>
  <c r="E293" i="80"/>
  <c r="P165" i="80"/>
  <c r="E66" i="84"/>
  <c r="E108" i="84"/>
  <c r="E21" i="82"/>
  <c r="E245" i="81"/>
  <c r="E78" i="84"/>
  <c r="P293" i="80"/>
  <c r="P176" i="80"/>
  <c r="P108" i="84"/>
  <c r="O245" i="81"/>
  <c r="E176" i="80"/>
  <c r="P154" i="80"/>
  <c r="E129" i="84"/>
  <c r="P76" i="84"/>
  <c r="E163" i="80"/>
  <c r="E76" i="84"/>
  <c r="P291" i="80"/>
  <c r="P174" i="80"/>
  <c r="P106" i="84"/>
  <c r="P238" i="80"/>
  <c r="E231" i="81"/>
  <c r="P139" i="84"/>
  <c r="D80" i="79"/>
  <c r="E106" i="84"/>
  <c r="P19" i="82"/>
  <c r="E278" i="81"/>
  <c r="E291" i="80"/>
  <c r="E139" i="84"/>
  <c r="E174" i="80"/>
  <c r="E64" i="84"/>
  <c r="P163" i="80"/>
  <c r="P40" i="82"/>
  <c r="E19" i="82"/>
  <c r="O231" i="81"/>
  <c r="E127" i="84"/>
  <c r="P52" i="84"/>
  <c r="O243" i="81"/>
  <c r="E243" i="81"/>
  <c r="E238" i="80"/>
  <c r="E40" i="84"/>
  <c r="E152" i="80"/>
  <c r="P40" i="84"/>
  <c r="E40" i="82"/>
  <c r="P152" i="80"/>
  <c r="E52" i="84"/>
  <c r="O278" i="81"/>
  <c r="AK221" i="119" a="1"/>
  <c r="I29" i="79"/>
  <c r="R203" i="81"/>
  <c r="S275" i="80"/>
  <c r="Q236" i="81" a="1"/>
  <c r="Q236" i="81" s="1"/>
  <c r="Q235" i="81" a="1"/>
  <c r="Q235" i="81" s="1"/>
  <c r="Q237" i="81" a="1"/>
  <c r="Q237" i="81" s="1"/>
  <c r="Q238" i="81" a="1"/>
  <c r="Q238" i="81" s="1"/>
  <c r="G99" i="80"/>
  <c r="G114" i="80" s="1" a="1"/>
  <c r="G114" i="80" s="1"/>
  <c r="G19" i="81"/>
  <c r="G29" i="81" s="1" a="1"/>
  <c r="G29" i="81" s="1"/>
  <c r="D21" i="107"/>
  <c r="G183" i="107" a="1"/>
  <c r="G183" i="107" s="1"/>
  <c r="G165" i="107" a="1"/>
  <c r="G165" i="107" s="1"/>
  <c r="G158" i="107" a="1"/>
  <c r="G158" i="107" s="1"/>
  <c r="G140" i="107" a="1"/>
  <c r="G140" i="107" s="1"/>
  <c r="G132" i="107" a="1"/>
  <c r="G132" i="107" s="1"/>
  <c r="G48" i="107" a="1"/>
  <c r="G48" i="107" s="1"/>
  <c r="G40" i="107" a="1"/>
  <c r="G40" i="107" s="1"/>
  <c r="G33" i="107" a="1"/>
  <c r="G33" i="107" s="1"/>
  <c r="I33" i="107" s="1" a="1"/>
  <c r="I33" i="107" s="1"/>
  <c r="H128" i="107" s="1"/>
  <c r="I127" i="107" s="1"/>
  <c r="K127" i="107" s="1" a="1"/>
  <c r="K127" i="107" s="1"/>
  <c r="G25" i="107" a="1"/>
  <c r="G25" i="107" s="1"/>
  <c r="I25" i="107" s="1" a="1"/>
  <c r="I25" i="107" s="1"/>
  <c r="H120" i="107" s="1"/>
  <c r="I120" i="107" s="1"/>
  <c r="K120" i="107" s="1" a="1"/>
  <c r="K120" i="107" s="1"/>
  <c r="G182" i="107" a="1"/>
  <c r="G182" i="107" s="1"/>
  <c r="G174" i="107" a="1"/>
  <c r="G174" i="107" s="1"/>
  <c r="G139" i="107" a="1"/>
  <c r="G139" i="107" s="1"/>
  <c r="G131" i="107" a="1"/>
  <c r="G131" i="107" s="1"/>
  <c r="G122" i="107" a="1"/>
  <c r="G122" i="107" s="1"/>
  <c r="G181" i="107" a="1"/>
  <c r="G181" i="107" s="1"/>
  <c r="G164" i="107" a="1"/>
  <c r="G164" i="107" s="1"/>
  <c r="G130" i="107" a="1"/>
  <c r="G130" i="107" s="1"/>
  <c r="G47" i="107" a="1"/>
  <c r="G47" i="107" s="1"/>
  <c r="G39" i="107" a="1"/>
  <c r="G39" i="107" s="1"/>
  <c r="I39" i="107" s="1" a="1"/>
  <c r="I39" i="107" s="1"/>
  <c r="H134" i="107" s="1"/>
  <c r="G31" i="107" a="1"/>
  <c r="G31" i="107" s="1"/>
  <c r="I31" i="107" s="1" a="1"/>
  <c r="I31" i="107" s="1"/>
  <c r="H126" i="107" s="1"/>
  <c r="I126" i="107" s="1"/>
  <c r="G24" i="107" a="1"/>
  <c r="G24" i="107" s="1"/>
  <c r="I24" i="107" s="1" a="1"/>
  <c r="I24" i="107" s="1"/>
  <c r="H119" i="107" s="1"/>
  <c r="I119" i="107" s="1"/>
  <c r="G180" i="107" a="1"/>
  <c r="G180" i="107" s="1"/>
  <c r="G173" i="107" a="1"/>
  <c r="G173" i="107" s="1"/>
  <c r="G129" i="107" a="1"/>
  <c r="G129" i="107" s="1"/>
  <c r="G121" i="107" a="1"/>
  <c r="G121" i="107" s="1"/>
  <c r="G172" i="107" a="1"/>
  <c r="G172" i="107" s="1"/>
  <c r="G163" i="107" a="1"/>
  <c r="G163" i="107" s="1"/>
  <c r="G137" i="107" a="1"/>
  <c r="G137" i="107" s="1"/>
  <c r="G128" i="107" a="1"/>
  <c r="G128" i="107" s="1"/>
  <c r="G54" i="107" a="1"/>
  <c r="G54" i="107" s="1"/>
  <c r="I54" i="107" s="1" a="1"/>
  <c r="I54" i="107" s="1"/>
  <c r="H149" i="107" s="1"/>
  <c r="G46" i="107" a="1"/>
  <c r="G46" i="107" s="1"/>
  <c r="I46" i="107" s="1" a="1"/>
  <c r="I46" i="107" s="1"/>
  <c r="H141" i="107" s="1"/>
  <c r="G38" i="107" a="1"/>
  <c r="G38" i="107" s="1"/>
  <c r="G30" i="107" a="1"/>
  <c r="G30" i="107" s="1"/>
  <c r="I30" i="107" s="1" a="1"/>
  <c r="I30" i="107" s="1"/>
  <c r="H125" i="107" s="1"/>
  <c r="G23" i="107" a="1"/>
  <c r="G23" i="107" s="1"/>
  <c r="I23" i="107" s="1" a="1"/>
  <c r="I23" i="107" s="1"/>
  <c r="H118" i="107" s="1"/>
  <c r="G171" i="107" a="1"/>
  <c r="G171" i="107" s="1"/>
  <c r="G149" i="107" a="1"/>
  <c r="G149" i="107" s="1"/>
  <c r="G120" i="107" a="1"/>
  <c r="G120" i="107" s="1"/>
  <c r="G178" i="107" a="1"/>
  <c r="G178" i="107" s="1"/>
  <c r="G170" i="107" a="1"/>
  <c r="G170" i="107" s="1"/>
  <c r="G162" i="107" a="1"/>
  <c r="G162" i="107" s="1"/>
  <c r="G148" i="107" a="1"/>
  <c r="G148" i="107" s="1"/>
  <c r="G136" i="107" a="1"/>
  <c r="G136" i="107" s="1"/>
  <c r="G53" i="107" a="1"/>
  <c r="G53" i="107" s="1"/>
  <c r="G45" i="107" a="1"/>
  <c r="G45" i="107" s="1"/>
  <c r="I45" i="107" s="1" a="1"/>
  <c r="I45" i="107" s="1"/>
  <c r="H140" i="107" s="1"/>
  <c r="G37" i="107" a="1"/>
  <c r="G37" i="107" s="1"/>
  <c r="I37" i="107" s="1" a="1"/>
  <c r="I37" i="107" s="1"/>
  <c r="H132" i="107" s="1"/>
  <c r="G29" i="107" a="1"/>
  <c r="G29" i="107" s="1"/>
  <c r="I29" i="107" s="1" a="1"/>
  <c r="I29" i="107" s="1"/>
  <c r="H124" i="107" s="1"/>
  <c r="G22" i="107" a="1"/>
  <c r="G22" i="107" s="1"/>
  <c r="I22" i="107" s="1" a="1"/>
  <c r="I22" i="107" s="1"/>
  <c r="H117" i="107" s="1"/>
  <c r="G190" i="107" a="1"/>
  <c r="G190" i="107" s="1"/>
  <c r="G169" i="107" a="1"/>
  <c r="G169" i="107" s="1"/>
  <c r="G147" i="107" a="1"/>
  <c r="G147" i="107" s="1"/>
  <c r="G126" i="107" a="1"/>
  <c r="G126" i="107" s="1"/>
  <c r="G189" i="107" a="1"/>
  <c r="G189" i="107" s="1"/>
  <c r="G161" i="107" a="1"/>
  <c r="G161" i="107" s="1"/>
  <c r="G146" i="107" a="1"/>
  <c r="G146" i="107" s="1"/>
  <c r="G135" i="107" a="1"/>
  <c r="G135" i="107" s="1"/>
  <c r="G119" i="107" a="1"/>
  <c r="G119" i="107" s="1"/>
  <c r="G52" i="107" a="1"/>
  <c r="G52" i="107" s="1"/>
  <c r="G44" i="107" a="1"/>
  <c r="G44" i="107" s="1"/>
  <c r="I44" i="107" s="1" a="1"/>
  <c r="I44" i="107" s="1"/>
  <c r="H139" i="107" s="1"/>
  <c r="G36" i="107" a="1"/>
  <c r="G36" i="107" s="1"/>
  <c r="I36" i="107" s="1" a="1"/>
  <c r="I36" i="107" s="1"/>
  <c r="H131" i="107" s="1"/>
  <c r="G28" i="107" a="1"/>
  <c r="G28" i="107" s="1"/>
  <c r="I28" i="107" s="1" a="1"/>
  <c r="I28" i="107" s="1"/>
  <c r="H123" i="107" s="1"/>
  <c r="G188" i="107" a="1"/>
  <c r="G188" i="107" s="1"/>
  <c r="G177" i="107" a="1"/>
  <c r="G177" i="107" s="1"/>
  <c r="G145" i="107" a="1"/>
  <c r="G145" i="107" s="1"/>
  <c r="G125" i="107" a="1"/>
  <c r="G125" i="107" s="1"/>
  <c r="G187" i="107" a="1"/>
  <c r="G187" i="107" s="1"/>
  <c r="G167" i="107" a="1"/>
  <c r="G167" i="107" s="1"/>
  <c r="G160" i="107" a="1"/>
  <c r="G160" i="107" s="1"/>
  <c r="G134" i="107" a="1"/>
  <c r="G134" i="107" s="1"/>
  <c r="G118" i="107" a="1"/>
  <c r="G118" i="107" s="1"/>
  <c r="G51" i="107" a="1"/>
  <c r="G51" i="107" s="1"/>
  <c r="I51" i="107" s="1" a="1"/>
  <c r="I51" i="107" s="1"/>
  <c r="H146" i="107" s="1"/>
  <c r="G42" i="107" a="1"/>
  <c r="G42" i="107" s="1"/>
  <c r="I42" i="107" s="1" a="1"/>
  <c r="I42" i="107" s="1"/>
  <c r="H137" i="107" s="1"/>
  <c r="G35" i="107" a="1"/>
  <c r="G35" i="107" s="1"/>
  <c r="I35" i="107" s="1" a="1"/>
  <c r="I35" i="107" s="1"/>
  <c r="H130" i="107" s="1"/>
  <c r="G27" i="107" a="1"/>
  <c r="G27" i="107" s="1"/>
  <c r="I27" i="107" s="1" a="1"/>
  <c r="I27" i="107" s="1"/>
  <c r="H122" i="107" s="1"/>
  <c r="I122" i="107" s="1"/>
  <c r="K122" i="107" s="1" a="1"/>
  <c r="K122" i="107" s="1"/>
  <c r="G186" i="107" a="1"/>
  <c r="G186" i="107" s="1"/>
  <c r="G176" i="107" a="1"/>
  <c r="G176" i="107" s="1"/>
  <c r="G143" i="107" a="1"/>
  <c r="G143" i="107" s="1"/>
  <c r="G124" i="107" a="1"/>
  <c r="G124" i="107" s="1"/>
  <c r="G166" i="107" a="1"/>
  <c r="G166" i="107" s="1"/>
  <c r="G159" i="107" a="1"/>
  <c r="G159" i="107" s="1"/>
  <c r="G142" i="107" a="1"/>
  <c r="G142" i="107" s="1"/>
  <c r="G133" i="107" a="1"/>
  <c r="G133" i="107" s="1"/>
  <c r="G50" i="107" a="1"/>
  <c r="G50" i="107" s="1"/>
  <c r="I50" i="107" s="1" a="1"/>
  <c r="I50" i="107" s="1"/>
  <c r="H145" i="107" s="1"/>
  <c r="G41" i="107" a="1"/>
  <c r="G41" i="107" s="1"/>
  <c r="I41" i="107" s="1" a="1"/>
  <c r="I41" i="107" s="1"/>
  <c r="H136" i="107" s="1"/>
  <c r="I136" i="107" s="1"/>
  <c r="K136" i="107" s="1" a="1"/>
  <c r="K136" i="107" s="1"/>
  <c r="G34" i="107" a="1"/>
  <c r="G34" i="107" s="1"/>
  <c r="I34" i="107" s="1" a="1"/>
  <c r="I34" i="107" s="1"/>
  <c r="H129" i="107" s="1"/>
  <c r="G26" i="107" a="1"/>
  <c r="G26" i="107" s="1"/>
  <c r="I26" i="107" s="1" a="1"/>
  <c r="I26" i="107" s="1"/>
  <c r="H121" i="107" s="1"/>
  <c r="G184" i="107" a="1"/>
  <c r="G184" i="107" s="1"/>
  <c r="G175" i="107" a="1"/>
  <c r="G175" i="107" s="1"/>
  <c r="G141" i="107" a="1"/>
  <c r="G141" i="107" s="1"/>
  <c r="G123" i="107" a="1"/>
  <c r="G123" i="107" s="1"/>
  <c r="G117" i="107" a="1"/>
  <c r="G117" i="107" s="1"/>
  <c r="J126" i="107" a="1"/>
  <c r="J126" i="107" s="1"/>
  <c r="J173" i="107" a="1"/>
  <c r="J173" i="107" s="1"/>
  <c r="R98" i="81"/>
  <c r="S104" i="80"/>
  <c r="O19" i="90"/>
  <c r="O24" i="90" s="1" a="1"/>
  <c r="O24" i="90" s="1"/>
  <c r="O80" i="90" s="1" a="1"/>
  <c r="O80" i="90" s="1"/>
  <c r="O115" i="90" s="1" a="1"/>
  <c r="O115" i="90" s="1"/>
  <c r="O132" i="90" s="1" a="1"/>
  <c r="O132" i="90" s="1"/>
  <c r="Q19" i="80"/>
  <c r="Q24" i="80" s="1" a="1"/>
  <c r="Q24" i="80" s="1"/>
  <c r="Q79" i="80" s="1" a="1"/>
  <c r="Q79" i="80" s="1"/>
  <c r="Q114" i="80" s="1" a="1"/>
  <c r="Q114" i="80" s="1"/>
  <c r="Q133" i="80" s="1" a="1"/>
  <c r="Q133" i="80" s="1"/>
  <c r="AE245" i="119" a="1"/>
  <c r="AE245" i="119" s="1"/>
  <c r="W242" i="119" a="1"/>
  <c r="W242" i="119" s="1"/>
  <c r="AE238" i="119" a="1"/>
  <c r="AE238" i="119" s="1"/>
  <c r="F238" i="119" s="1" a="1"/>
  <c r="F238" i="119" s="1"/>
  <c r="W244" i="119" a="1"/>
  <c r="W244" i="119" s="1"/>
  <c r="F244" i="119" s="1" a="1"/>
  <c r="F244" i="119" s="1"/>
  <c r="S244" i="119" a="1"/>
  <c r="S244" i="119" s="1"/>
  <c r="AA240" i="119" a="1"/>
  <c r="AA240" i="119" s="1"/>
  <c r="AA237" i="119" a="1"/>
  <c r="AA237" i="119" s="1"/>
  <c r="S240" i="119" a="1"/>
  <c r="S240" i="119" s="1"/>
  <c r="F240" i="119" s="1" a="1"/>
  <c r="F240" i="119" s="1"/>
  <c r="S246" i="119" a="1"/>
  <c r="S246" i="119" s="1"/>
  <c r="F246" i="119" s="1" a="1"/>
  <c r="F246" i="119" s="1"/>
  <c r="AA242" i="119" a="1"/>
  <c r="AA242" i="119" s="1"/>
  <c r="F242" i="119" s="1" a="1"/>
  <c r="F242" i="119" s="1"/>
  <c r="S239" i="119" a="1"/>
  <c r="S239" i="119" s="1"/>
  <c r="F239" i="119" s="1" a="1"/>
  <c r="F239" i="119" s="1"/>
  <c r="S237" i="119" a="1"/>
  <c r="S237" i="119" s="1"/>
  <c r="K35" i="104"/>
  <c r="J35" i="104"/>
  <c r="I35" i="104"/>
  <c r="H35" i="104"/>
  <c r="G35" i="104"/>
  <c r="P35" i="104" s="1" a="1"/>
  <c r="P35" i="104" s="1"/>
  <c r="E29" i="89"/>
  <c r="M170" i="90" s="1"/>
  <c r="M165" i="90"/>
  <c r="D171" i="81"/>
  <c r="D275" i="80"/>
  <c r="E59" i="107"/>
  <c r="H59" i="107" s="1" a="1"/>
  <c r="H59" i="107" s="1"/>
  <c r="H88" i="107" a="1"/>
  <c r="H88" i="107" s="1"/>
  <c r="H73" i="107" a="1"/>
  <c r="H73" i="107" s="1"/>
  <c r="H79" i="107" a="1"/>
  <c r="H79" i="107" s="1"/>
  <c r="H65" i="107" a="1"/>
  <c r="H65" i="107" s="1"/>
  <c r="H86" i="107" a="1"/>
  <c r="H86" i="107" s="1"/>
  <c r="I86" i="107" s="1" a="1"/>
  <c r="I86" i="107" s="1"/>
  <c r="H184" i="107" s="1"/>
  <c r="H72" i="107" a="1"/>
  <c r="H72" i="107" s="1"/>
  <c r="I72" i="107" s="1" a="1"/>
  <c r="I72" i="107" s="1"/>
  <c r="H170" i="107" s="1"/>
  <c r="H78" i="107" a="1"/>
  <c r="H78" i="107" s="1"/>
  <c r="H64" i="107" a="1"/>
  <c r="H64" i="107" s="1"/>
  <c r="H71" i="107" a="1"/>
  <c r="H71" i="107" s="1"/>
  <c r="H92" i="107" a="1"/>
  <c r="H92" i="107" s="1"/>
  <c r="H85" i="107" a="1"/>
  <c r="H85" i="107" s="1"/>
  <c r="H77" i="107" a="1"/>
  <c r="H77" i="107" s="1"/>
  <c r="H63" i="107" a="1"/>
  <c r="H63" i="107" s="1"/>
  <c r="I63" i="107" s="1" a="1"/>
  <c r="I63" i="107" s="1"/>
  <c r="H161" i="107" s="1"/>
  <c r="I161" i="107" s="1"/>
  <c r="K161" i="107" s="1" a="1"/>
  <c r="K161" i="107" s="1"/>
  <c r="H69" i="107" a="1"/>
  <c r="H69" i="107" s="1"/>
  <c r="H91" i="107" a="1"/>
  <c r="H91" i="107" s="1"/>
  <c r="H84" i="107" a="1"/>
  <c r="H84" i="107" s="1"/>
  <c r="H76" i="107" a="1"/>
  <c r="H76" i="107" s="1"/>
  <c r="H62" i="107" a="1"/>
  <c r="H62" i="107" s="1"/>
  <c r="I62" i="107" s="1" a="1"/>
  <c r="I62" i="107" s="1"/>
  <c r="H160" i="107" s="1"/>
  <c r="I160" i="107" s="1"/>
  <c r="K160" i="107" s="1" a="1"/>
  <c r="K160" i="107" s="1"/>
  <c r="H68" i="107" a="1"/>
  <c r="H68" i="107" s="1"/>
  <c r="H90" i="107" a="1"/>
  <c r="H90" i="107" s="1"/>
  <c r="H83" i="107" a="1"/>
  <c r="H83" i="107" s="1"/>
  <c r="H75" i="107" a="1"/>
  <c r="H75" i="107" s="1"/>
  <c r="H61" i="107" a="1"/>
  <c r="H61" i="107" s="1"/>
  <c r="H89" i="107" a="1"/>
  <c r="H89" i="107" s="1"/>
  <c r="H82" i="107" a="1"/>
  <c r="H82" i="107" s="1"/>
  <c r="H67" i="107" a="1"/>
  <c r="H67" i="107" s="1"/>
  <c r="H60" i="107" a="1"/>
  <c r="H60" i="107" s="1"/>
  <c r="H74" i="107" a="1"/>
  <c r="H74" i="107" s="1"/>
  <c r="H80" i="107" a="1"/>
  <c r="H80" i="107" s="1"/>
  <c r="H66" i="107" a="1"/>
  <c r="H66" i="107" s="1"/>
  <c r="H98" i="81"/>
  <c r="H104" i="80"/>
  <c r="H114" i="80" s="1" a="1"/>
  <c r="H114" i="80" s="1"/>
  <c r="P98" i="81"/>
  <c r="Q104" i="80"/>
  <c r="H28" i="104"/>
  <c r="G28" i="104"/>
  <c r="O28" i="104" s="1" a="1"/>
  <c r="O28" i="104" s="1"/>
  <c r="K28" i="104"/>
  <c r="Q28" i="104" s="1" a="1"/>
  <c r="Q28" i="104" s="1"/>
  <c r="J28" i="104"/>
  <c r="I28" i="104"/>
  <c r="S235" i="81" a="1"/>
  <c r="S235" i="81" s="1"/>
  <c r="S237" i="81" a="1"/>
  <c r="S237" i="81" s="1"/>
  <c r="S238" i="81" a="1"/>
  <c r="S238" i="81" s="1"/>
  <c r="S236" i="81" a="1"/>
  <c r="S236" i="81" s="1"/>
  <c r="H29" i="79"/>
  <c r="R285" i="80" s="1"/>
  <c r="Q171" i="81"/>
  <c r="R275" i="80"/>
  <c r="AD221" i="119" a="1"/>
  <c r="AD221" i="119" s="1"/>
  <c r="J144" i="107" a="1"/>
  <c r="J144" i="107" s="1"/>
  <c r="J136" i="107" a="1"/>
  <c r="J136" i="107" s="1"/>
  <c r="J164" i="107" a="1"/>
  <c r="J164" i="107" s="1"/>
  <c r="K29" i="104"/>
  <c r="Q29" i="104" s="1" a="1"/>
  <c r="Q29" i="104" s="1"/>
  <c r="J29" i="104"/>
  <c r="I29" i="104"/>
  <c r="H29" i="104"/>
  <c r="G29" i="104"/>
  <c r="O29" i="104" s="1" a="1"/>
  <c r="O29" i="104" s="1"/>
  <c r="F98" i="81"/>
  <c r="F104" i="80"/>
  <c r="Q233" i="81" a="1"/>
  <c r="Q233" i="81" s="1"/>
  <c r="Q231" i="81" a="1"/>
  <c r="Q231" i="81" s="1"/>
  <c r="Q232" i="81" a="1"/>
  <c r="Q232" i="81" s="1"/>
  <c r="Q234" i="81" a="1"/>
  <c r="Q234" i="81" s="1"/>
  <c r="R133" i="80" a="1"/>
  <c r="R133" i="80" s="1"/>
  <c r="Q50" i="81"/>
  <c r="Q126" i="81" s="1" a="1"/>
  <c r="Q126" i="81" s="1"/>
  <c r="F114" i="80" a="1"/>
  <c r="F114" i="80" s="1"/>
  <c r="F60" i="81"/>
  <c r="H60" i="81"/>
  <c r="E114" i="80" a="1"/>
  <c r="E114" i="80" s="1"/>
  <c r="E60" i="81"/>
  <c r="G60" i="81"/>
  <c r="O79" i="80" a="1"/>
  <c r="O79" i="80" s="1"/>
  <c r="O114" i="80" s="1" a="1"/>
  <c r="O114" i="80" s="1"/>
  <c r="D93" i="81"/>
  <c r="E483" i="119"/>
  <c r="E473" i="119"/>
  <c r="Q37" i="104" a="1"/>
  <c r="Q37" i="104" s="1"/>
  <c r="Q26" i="103" a="1"/>
  <c r="Q26" i="103" s="1"/>
  <c r="Q32" i="103" a="1"/>
  <c r="Q32" i="103" s="1"/>
  <c r="Q30" i="103" a="1"/>
  <c r="Q30" i="103" s="1"/>
  <c r="Q31" i="103" a="1"/>
  <c r="Q31" i="103" s="1"/>
  <c r="P26" i="103" a="1"/>
  <c r="P26" i="103" s="1"/>
  <c r="F124" i="119"/>
  <c r="G124" i="119" s="1" a="1"/>
  <c r="G124" i="119" s="1"/>
  <c r="F122" i="119"/>
  <c r="G122" i="119" s="1" a="1"/>
  <c r="G122" i="119" s="1"/>
  <c r="H370" i="119" a="1"/>
  <c r="H370" i="119" s="1"/>
  <c r="F128" i="119"/>
  <c r="G128" i="119" s="1" a="1"/>
  <c r="G128" i="119" s="1"/>
  <c r="J373" i="119" a="1"/>
  <c r="J373" i="119" s="1"/>
  <c r="H372" i="119" a="1"/>
  <c r="H372" i="119" s="1"/>
  <c r="E348" i="119"/>
  <c r="F126" i="119"/>
  <c r="I126" i="119" s="1" a="1"/>
  <c r="I126" i="119" s="1"/>
  <c r="F123" i="119"/>
  <c r="G123" i="119" s="1" a="1"/>
  <c r="G123" i="119" s="1"/>
  <c r="F127" i="119"/>
  <c r="I127" i="119" s="1" a="1"/>
  <c r="I127" i="119" s="1"/>
  <c r="F125" i="119"/>
  <c r="I125" i="119" s="1" a="1"/>
  <c r="I125" i="119" s="1"/>
  <c r="H374" i="119" a="1"/>
  <c r="H374" i="119" s="1"/>
  <c r="F121" i="119"/>
  <c r="G121" i="119" s="1" a="1"/>
  <c r="G121" i="119" s="1"/>
  <c r="F237" i="119" a="1"/>
  <c r="F237" i="119" s="1"/>
  <c r="E639" i="119"/>
  <c r="F120" i="119"/>
  <c r="G120" i="119" s="1" a="1"/>
  <c r="G120" i="119" s="1"/>
  <c r="J29" i="119" a="1"/>
  <c r="J29" i="119" s="1"/>
  <c r="E472" i="119"/>
  <c r="G281" i="119" a="1"/>
  <c r="G281" i="119" s="1"/>
  <c r="M25" i="119" a="1"/>
  <c r="M25" i="119" s="1"/>
  <c r="J32" i="119" a="1"/>
  <c r="J32" i="119" s="1"/>
  <c r="E621" i="119"/>
  <c r="G61" i="119" a="1"/>
  <c r="G61" i="119" s="1"/>
  <c r="E72" i="119" s="1"/>
  <c r="J61" i="119" a="1"/>
  <c r="J61" i="119" s="1"/>
  <c r="E73" i="119" s="1"/>
  <c r="F245" i="119" a="1"/>
  <c r="F245" i="119" s="1"/>
  <c r="H368" i="119" a="1"/>
  <c r="H368" i="119" s="1"/>
  <c r="I276" i="119" a="1"/>
  <c r="I276" i="119" s="1"/>
  <c r="G276" i="119" a="1"/>
  <c r="G276" i="119" s="1"/>
  <c r="E91" i="119"/>
  <c r="G42" i="119" a="1"/>
  <c r="G42" i="119" s="1"/>
  <c r="E53" i="119" s="1"/>
  <c r="J42" i="119" a="1"/>
  <c r="J42" i="119" s="1"/>
  <c r="E54" i="119" s="1"/>
  <c r="E502" i="119"/>
  <c r="E90" i="119"/>
  <c r="M27" i="119" a="1"/>
  <c r="M27" i="119" s="1"/>
  <c r="G274" i="119" a="1"/>
  <c r="G274" i="119" s="1"/>
  <c r="H375" i="119" a="1"/>
  <c r="H375" i="119" s="1"/>
  <c r="H367" i="119" a="1"/>
  <c r="H367" i="119" s="1"/>
  <c r="J367" i="119" a="1"/>
  <c r="J367" i="119" s="1"/>
  <c r="I278" i="119" a="1"/>
  <c r="I278" i="119" s="1"/>
  <c r="G278" i="119" a="1"/>
  <c r="G278" i="119" s="1"/>
  <c r="H455" i="119" a="1"/>
  <c r="H455" i="119" s="1"/>
  <c r="E459" i="119" s="1"/>
  <c r="J455" i="119" a="1"/>
  <c r="J455" i="119" s="1"/>
  <c r="E460" i="119" s="1"/>
  <c r="M23" i="119" a="1"/>
  <c r="M23" i="119" s="1"/>
  <c r="J23" i="119" a="1"/>
  <c r="J23" i="119" s="1"/>
  <c r="I272" i="119" a="1"/>
  <c r="I272" i="119" s="1"/>
  <c r="F119" i="119"/>
  <c r="G119" i="119" s="1" a="1"/>
  <c r="G119" i="119" s="1"/>
  <c r="F243" i="119" a="1"/>
  <c r="F243" i="119" s="1"/>
  <c r="E411" i="119"/>
  <c r="E166" i="119"/>
  <c r="J28" i="119" a="1"/>
  <c r="J28" i="119" s="1"/>
  <c r="H430" i="119" a="1"/>
  <c r="H430" i="119" s="1"/>
  <c r="I119" i="119" a="1"/>
  <c r="I119" i="119" s="1"/>
  <c r="F241" i="119" a="1"/>
  <c r="F241" i="119" s="1"/>
  <c r="J30" i="119" a="1"/>
  <c r="J30" i="119" s="1"/>
  <c r="G279" i="119" a="1"/>
  <c r="G279" i="119" s="1"/>
  <c r="I279" i="119" a="1"/>
  <c r="I279" i="119" s="1"/>
  <c r="H437" i="119" a="1"/>
  <c r="H437" i="119" s="1"/>
  <c r="J437" i="119" a="1"/>
  <c r="J437" i="119" s="1"/>
  <c r="E442" i="119" s="1"/>
  <c r="Q39" i="104" a="1"/>
  <c r="Q39" i="104" s="1"/>
  <c r="I132" i="107"/>
  <c r="K132" i="107" s="1" a="1"/>
  <c r="K132" i="107" s="1"/>
  <c r="E21" i="110" a="1"/>
  <c r="E21" i="110" s="1"/>
  <c r="I79" i="107" a="1"/>
  <c r="I79" i="107" s="1"/>
  <c r="H177" i="107" s="1"/>
  <c r="I177" i="107" s="1"/>
  <c r="O21" i="110" a="1"/>
  <c r="O21" i="110" s="1"/>
  <c r="I71" i="107" a="1"/>
  <c r="I71" i="107" s="1"/>
  <c r="H169" i="107" s="1"/>
  <c r="I117" i="107"/>
  <c r="K117" i="107" s="1" a="1"/>
  <c r="K117" i="107" s="1"/>
  <c r="I124" i="107"/>
  <c r="K124" i="107" s="1" a="1"/>
  <c r="K124" i="107" s="1"/>
  <c r="K119" i="107" a="1"/>
  <c r="K119" i="107" s="1"/>
  <c r="K126" i="107" a="1"/>
  <c r="K126" i="107" s="1"/>
  <c r="I85" i="107" a="1"/>
  <c r="I85" i="107" s="1"/>
  <c r="H183" i="107" s="1"/>
  <c r="I64" i="107" a="1"/>
  <c r="I64" i="107" s="1"/>
  <c r="H162" i="107" s="1"/>
  <c r="I162" i="107" s="1"/>
  <c r="K162" i="107" s="1" a="1"/>
  <c r="K162" i="107" s="1"/>
  <c r="I77" i="107" a="1"/>
  <c r="I77" i="107" s="1"/>
  <c r="H175" i="107" s="1"/>
  <c r="I175" i="107" s="1"/>
  <c r="K175" i="107" s="1" a="1"/>
  <c r="K175" i="107" s="1"/>
  <c r="I48" i="107" a="1"/>
  <c r="I48" i="107" s="1"/>
  <c r="H143" i="107" s="1"/>
  <c r="I40" i="107" a="1"/>
  <c r="I40" i="107" s="1"/>
  <c r="H135" i="107" s="1"/>
  <c r="I135" i="107" s="1"/>
  <c r="K135" i="107" s="1" a="1"/>
  <c r="K135" i="107" s="1"/>
  <c r="I78" i="107" a="1"/>
  <c r="I78" i="107" s="1"/>
  <c r="H176" i="107" s="1"/>
  <c r="I176" i="107" s="1"/>
  <c r="K176" i="107" s="1" a="1"/>
  <c r="K176" i="107" s="1"/>
  <c r="I69" i="107" a="1"/>
  <c r="I69" i="107" s="1"/>
  <c r="H167" i="107" s="1"/>
  <c r="I167" i="107" s="1"/>
  <c r="K167" i="107" s="1" a="1"/>
  <c r="K167" i="107" s="1"/>
  <c r="I137" i="107"/>
  <c r="K137" i="107" s="1" a="1"/>
  <c r="K137" i="107" s="1"/>
  <c r="P26" i="104" a="1"/>
  <c r="P26" i="104" s="1"/>
  <c r="O26" i="104" a="1"/>
  <c r="O26" i="104" s="1"/>
  <c r="N26" i="104" a="1"/>
  <c r="N26" i="104" s="1"/>
  <c r="O36" i="104" a="1"/>
  <c r="O36" i="104" s="1"/>
  <c r="N36" i="104" a="1"/>
  <c r="N36" i="104" s="1"/>
  <c r="P36" i="104" a="1"/>
  <c r="P36" i="104" s="1"/>
  <c r="P40" i="104" a="1"/>
  <c r="P40" i="104" s="1"/>
  <c r="O40" i="104" a="1"/>
  <c r="O40" i="104" s="1"/>
  <c r="N40" i="104" a="1"/>
  <c r="N40" i="104" s="1"/>
  <c r="N35" i="104" a="1"/>
  <c r="N35" i="104" s="1"/>
  <c r="Q40" i="104" a="1"/>
  <c r="Q40" i="104" s="1"/>
  <c r="Q33" i="104" a="1"/>
  <c r="Q33" i="104" s="1"/>
  <c r="N29" i="104" a="1"/>
  <c r="N29" i="104" s="1"/>
  <c r="Q35" i="104" a="1"/>
  <c r="Q35" i="104" s="1"/>
  <c r="P39" i="104" a="1"/>
  <c r="P39" i="104" s="1"/>
  <c r="O39" i="104" a="1"/>
  <c r="O39" i="104" s="1"/>
  <c r="N39" i="104" a="1"/>
  <c r="N39" i="104" s="1"/>
  <c r="P28" i="104" a="1"/>
  <c r="P28" i="104" s="1"/>
  <c r="Q26" i="104" a="1"/>
  <c r="Q26" i="104" s="1"/>
  <c r="P33" i="104" a="1"/>
  <c r="P33" i="104" s="1"/>
  <c r="O33" i="104" a="1"/>
  <c r="O33" i="104" s="1"/>
  <c r="N33" i="104" a="1"/>
  <c r="N33" i="104" s="1"/>
  <c r="P30" i="104" a="1"/>
  <c r="P30" i="104" s="1"/>
  <c r="O30" i="104" a="1"/>
  <c r="O30" i="104" s="1"/>
  <c r="N30" i="104" a="1"/>
  <c r="N30" i="104" s="1"/>
  <c r="Q30" i="104" a="1"/>
  <c r="Q30" i="104" s="1"/>
  <c r="P37" i="104" a="1"/>
  <c r="P37" i="104" s="1"/>
  <c r="O37" i="104" a="1"/>
  <c r="O37" i="104" s="1"/>
  <c r="N37" i="104" a="1"/>
  <c r="N37" i="104" s="1"/>
  <c r="Q36" i="104" a="1"/>
  <c r="Q36" i="104" s="1"/>
  <c r="O37" i="103" a="1"/>
  <c r="O37" i="103" s="1"/>
  <c r="N37" i="103" a="1"/>
  <c r="N37" i="103" s="1"/>
  <c r="Q37" i="103" a="1"/>
  <c r="Q37" i="103" s="1"/>
  <c r="P37" i="103" a="1"/>
  <c r="P37" i="103" s="1"/>
  <c r="Q38" i="103" a="1"/>
  <c r="Q38" i="103" s="1"/>
  <c r="P38" i="103" a="1"/>
  <c r="P38" i="103" s="1"/>
  <c r="O38" i="103" a="1"/>
  <c r="O38" i="103" s="1"/>
  <c r="N38" i="103" a="1"/>
  <c r="N38" i="103" s="1"/>
  <c r="P28" i="103" a="1"/>
  <c r="P28" i="103" s="1"/>
  <c r="O28" i="103" a="1"/>
  <c r="O28" i="103" s="1"/>
  <c r="N28" i="103" a="1"/>
  <c r="N28" i="103" s="1"/>
  <c r="Q28" i="103" a="1"/>
  <c r="Q28" i="103" s="1"/>
  <c r="P30" i="103" a="1"/>
  <c r="P30" i="103" s="1"/>
  <c r="O30" i="103" a="1"/>
  <c r="O30" i="103" s="1"/>
  <c r="N30" i="103" a="1"/>
  <c r="N30" i="103" s="1"/>
  <c r="P29" i="103" a="1"/>
  <c r="P29" i="103" s="1"/>
  <c r="O29" i="103" a="1"/>
  <c r="O29" i="103" s="1"/>
  <c r="N29" i="103" a="1"/>
  <c r="N29" i="103" s="1"/>
  <c r="Q29" i="103" a="1"/>
  <c r="Q29" i="103" s="1"/>
  <c r="N35" i="103" a="1"/>
  <c r="N35" i="103" s="1"/>
  <c r="O35" i="103" a="1"/>
  <c r="O35" i="103" s="1"/>
  <c r="Q25" i="103" a="1"/>
  <c r="Q25" i="103" s="1"/>
  <c r="P25" i="103" a="1"/>
  <c r="P25" i="103" s="1"/>
  <c r="O25" i="103" a="1"/>
  <c r="O25" i="103" s="1"/>
  <c r="N25" i="103" a="1"/>
  <c r="N25" i="103" s="1"/>
  <c r="P35" i="103" a="1"/>
  <c r="P35" i="103" s="1"/>
  <c r="P32" i="103" a="1"/>
  <c r="P32" i="103" s="1"/>
  <c r="P31" i="103" a="1"/>
  <c r="P31" i="103" s="1"/>
  <c r="O31" i="103" a="1"/>
  <c r="O31" i="103" s="1"/>
  <c r="N31" i="103" a="1"/>
  <c r="N31" i="103" s="1"/>
  <c r="P33" i="103" a="1"/>
  <c r="P33" i="103" s="1"/>
  <c r="E51" i="103" s="1"/>
  <c r="O33" i="103" a="1"/>
  <c r="O33" i="103" s="1"/>
  <c r="E50" i="103" s="1"/>
  <c r="N33" i="103" a="1"/>
  <c r="N33" i="103" s="1"/>
  <c r="E49" i="103" s="1"/>
  <c r="Q33" i="103" a="1"/>
  <c r="Q33" i="103" s="1"/>
  <c r="E52" i="103" s="1"/>
  <c r="Q39" i="103" a="1"/>
  <c r="Q39" i="103" s="1"/>
  <c r="P39" i="103" a="1"/>
  <c r="P39" i="103" s="1"/>
  <c r="O39" i="103" a="1"/>
  <c r="O39" i="103" s="1"/>
  <c r="N39" i="103" a="1"/>
  <c r="N39" i="103" s="1"/>
  <c r="N32" i="103" a="1"/>
  <c r="N32" i="103" s="1"/>
  <c r="N26" i="103" a="1"/>
  <c r="N26" i="103" s="1"/>
  <c r="Q34" i="103" a="1"/>
  <c r="Q34" i="103" s="1"/>
  <c r="E58" i="103" s="1"/>
  <c r="P34" i="103" a="1"/>
  <c r="P34" i="103" s="1"/>
  <c r="O34" i="103" a="1"/>
  <c r="O34" i="103" s="1"/>
  <c r="N34" i="103" a="1"/>
  <c r="N34" i="103" s="1"/>
  <c r="V56" i="92" a="1"/>
  <c r="V56" i="92" s="1"/>
  <c r="T55" i="92"/>
  <c r="S55" i="92" a="1"/>
  <c r="S55" i="92" s="1"/>
  <c r="R55" i="92" a="1"/>
  <c r="R55" i="92" s="1"/>
  <c r="V40" i="84"/>
  <c r="K40" i="84"/>
  <c r="K19" i="82"/>
  <c r="V19" i="82"/>
  <c r="D79" i="80" a="1"/>
  <c r="D79" i="80" s="1"/>
  <c r="V152" i="80"/>
  <c r="K151" i="80"/>
  <c r="F68" i="13"/>
  <c r="F78" i="13" s="1"/>
  <c r="O45" i="92" l="1" a="1"/>
  <c r="G178" i="80" a="1"/>
  <c r="G178" i="80" s="1"/>
  <c r="H178" i="80" a="1"/>
  <c r="H178" i="80" s="1"/>
  <c r="I178" i="80" a="1"/>
  <c r="I178" i="80" s="1"/>
  <c r="J178" i="80" a="1"/>
  <c r="J178" i="80" s="1"/>
  <c r="F156" i="80"/>
  <c r="F178" i="80" s="1" a="1"/>
  <c r="F178" i="80" s="1"/>
  <c r="I90" i="107" a="1"/>
  <c r="I90" i="107" s="1"/>
  <c r="H188" i="107" s="1"/>
  <c r="AG221" i="119"/>
  <c r="AI221" i="119" s="1" a="1"/>
  <c r="AI221" i="119" s="1"/>
  <c r="AI224" i="119" a="1"/>
  <c r="AI224" i="119" s="1"/>
  <c r="AI226" i="119" a="1"/>
  <c r="AI226" i="119" s="1"/>
  <c r="AI228" i="119" a="1"/>
  <c r="AI228" i="119" s="1"/>
  <c r="AI230" i="119" a="1"/>
  <c r="AI230" i="119" s="1"/>
  <c r="AI223" i="119" a="1"/>
  <c r="AI223" i="119" s="1"/>
  <c r="AI225" i="119" a="1"/>
  <c r="AI225" i="119" s="1"/>
  <c r="AI227" i="119" a="1"/>
  <c r="AI227" i="119" s="1"/>
  <c r="AI229" i="119" a="1"/>
  <c r="AI229" i="119" s="1"/>
  <c r="AI222" i="119" a="1"/>
  <c r="AI222" i="119" s="1"/>
  <c r="P208" i="81"/>
  <c r="Q285" i="80"/>
  <c r="T179" i="80" a="1"/>
  <c r="T179" i="80" s="1"/>
  <c r="S179" i="80" a="1"/>
  <c r="S179" i="80" s="1"/>
  <c r="Q157" i="80"/>
  <c r="Q179" i="80" s="1" a="1"/>
  <c r="Q179" i="80" s="1"/>
  <c r="R179" i="80" a="1"/>
  <c r="R179" i="80" s="1"/>
  <c r="U179" i="80" a="1"/>
  <c r="U179" i="80" s="1"/>
  <c r="P25" i="104" a="1"/>
  <c r="P25" i="104" s="1"/>
  <c r="E45" i="104" s="1"/>
  <c r="O25" i="104" a="1"/>
  <c r="O25" i="104" s="1"/>
  <c r="N25" i="104" a="1"/>
  <c r="N25" i="104" s="1"/>
  <c r="G275" i="119" a="1"/>
  <c r="G275" i="119" s="1"/>
  <c r="O35" i="104" a="1"/>
  <c r="O35" i="104" s="1"/>
  <c r="I125" i="107"/>
  <c r="K125" i="107" s="1" a="1"/>
  <c r="K125" i="107" s="1"/>
  <c r="I134" i="107"/>
  <c r="K134" i="107" s="1" a="1"/>
  <c r="K134" i="107" s="1"/>
  <c r="R208" i="81"/>
  <c r="S285" i="80"/>
  <c r="O170" i="90"/>
  <c r="F170" i="90"/>
  <c r="G177" i="80" a="1"/>
  <c r="G177" i="80" s="1"/>
  <c r="F155" i="80"/>
  <c r="F177" i="80" s="1" a="1"/>
  <c r="F177" i="80" s="1"/>
  <c r="H177" i="80" a="1"/>
  <c r="H177" i="80" s="1"/>
  <c r="I177" i="80" a="1"/>
  <c r="I177" i="80" s="1"/>
  <c r="J177" i="80" a="1"/>
  <c r="J177" i="80" s="1"/>
  <c r="I65" i="107" a="1"/>
  <c r="I65" i="107" s="1"/>
  <c r="H163" i="107" s="1"/>
  <c r="I163" i="107" s="1"/>
  <c r="K163" i="107" s="1" a="1"/>
  <c r="K163" i="107" s="1"/>
  <c r="G138" i="119" a="1"/>
  <c r="G138" i="119" s="1"/>
  <c r="I138" i="119" a="1"/>
  <c r="I138" i="119" s="1"/>
  <c r="E142" i="119" s="1"/>
  <c r="P32" i="104" a="1"/>
  <c r="P32" i="104" s="1"/>
  <c r="I118" i="107"/>
  <c r="K118" i="107" s="1" a="1"/>
  <c r="K118" i="107" s="1"/>
  <c r="N28" i="104" a="1"/>
  <c r="N28" i="104" s="1"/>
  <c r="I123" i="107"/>
  <c r="K123" i="107" s="1" a="1"/>
  <c r="K123" i="107" s="1"/>
  <c r="I38" i="107" a="1"/>
  <c r="I38" i="107" s="1"/>
  <c r="H133" i="107" s="1"/>
  <c r="I133" i="107" s="1"/>
  <c r="K133" i="107" s="1" a="1"/>
  <c r="K133" i="107" s="1"/>
  <c r="I47" i="107" a="1"/>
  <c r="I47" i="107" s="1"/>
  <c r="H142" i="107" s="1"/>
  <c r="AK221" i="119"/>
  <c r="AM221" i="119" s="1" a="1"/>
  <c r="AM221" i="119" s="1"/>
  <c r="AM226" i="119" a="1"/>
  <c r="AM226" i="119" s="1"/>
  <c r="AM228" i="119" a="1"/>
  <c r="AM228" i="119" s="1"/>
  <c r="AM230" i="119" a="1"/>
  <c r="AM230" i="119" s="1"/>
  <c r="AM223" i="119" a="1"/>
  <c r="AM223" i="119" s="1"/>
  <c r="AM225" i="119" a="1"/>
  <c r="AM225" i="119" s="1"/>
  <c r="AM227" i="119" a="1"/>
  <c r="AM227" i="119" s="1"/>
  <c r="AM229" i="119" a="1"/>
  <c r="AM229" i="119" s="1"/>
  <c r="AM222" i="119" a="1"/>
  <c r="AM222" i="119" s="1"/>
  <c r="AM224" i="119" a="1"/>
  <c r="AM224" i="119" s="1"/>
  <c r="I76" i="107" a="1"/>
  <c r="I76" i="107" s="1"/>
  <c r="H174" i="107" s="1"/>
  <c r="I174" i="107" s="1"/>
  <c r="K174" i="107" s="1" a="1"/>
  <c r="K174" i="107" s="1"/>
  <c r="Q221" i="119"/>
  <c r="S221" i="119" s="1" a="1"/>
  <c r="S221" i="119" s="1"/>
  <c r="S227" i="119" a="1"/>
  <c r="S227" i="119" s="1"/>
  <c r="S229" i="119" a="1"/>
  <c r="S229" i="119" s="1"/>
  <c r="S222" i="119" a="1"/>
  <c r="S222" i="119" s="1"/>
  <c r="S224" i="119" a="1"/>
  <c r="S224" i="119" s="1"/>
  <c r="S226" i="119" a="1"/>
  <c r="S226" i="119" s="1"/>
  <c r="S228" i="119" a="1"/>
  <c r="S228" i="119" s="1"/>
  <c r="S230" i="119" a="1"/>
  <c r="S230" i="119" s="1"/>
  <c r="S223" i="119" a="1"/>
  <c r="S223" i="119" s="1"/>
  <c r="F223" i="119" s="1" a="1"/>
  <c r="F223" i="119" s="1"/>
  <c r="S225" i="119" a="1"/>
  <c r="S225" i="119" s="1"/>
  <c r="G139" i="119" a="1"/>
  <c r="G139" i="119" s="1"/>
  <c r="I139" i="119" a="1"/>
  <c r="I139" i="119" s="1"/>
  <c r="F180" i="90" a="1"/>
  <c r="F180" i="90" s="1"/>
  <c r="N170" i="90"/>
  <c r="E170" i="90"/>
  <c r="P170" i="90"/>
  <c r="G170" i="90"/>
  <c r="G277" i="119" a="1"/>
  <c r="G277" i="119" s="1"/>
  <c r="G280" i="119" a="1"/>
  <c r="G280" i="119" s="1"/>
  <c r="P50" i="81"/>
  <c r="P126" i="81" s="1" a="1"/>
  <c r="P126" i="81" s="1"/>
  <c r="J206" i="80" a="1"/>
  <c r="J206" i="80" s="1"/>
  <c r="F200" i="80"/>
  <c r="F206" i="80" s="1" a="1"/>
  <c r="F206" i="80" s="1"/>
  <c r="I206" i="80" a="1"/>
  <c r="I206" i="80" s="1"/>
  <c r="G206" i="80" a="1"/>
  <c r="G206" i="80" s="1"/>
  <c r="H206" i="80" a="1"/>
  <c r="H206" i="80" s="1"/>
  <c r="I84" i="107" a="1"/>
  <c r="I84" i="107" s="1"/>
  <c r="H182" i="107" s="1"/>
  <c r="I73" i="107" a="1"/>
  <c r="I73" i="107" s="1"/>
  <c r="H171" i="107" s="1"/>
  <c r="R175" i="80" a="1"/>
  <c r="R175" i="80" s="1"/>
  <c r="U175" i="80" a="1"/>
  <c r="U175" i="80" s="1"/>
  <c r="Q153" i="80"/>
  <c r="Q175" i="80" s="1" a="1"/>
  <c r="Q175" i="80" s="1"/>
  <c r="T175" i="80" a="1"/>
  <c r="T175" i="80" s="1"/>
  <c r="S175" i="80" a="1"/>
  <c r="S175" i="80" s="1"/>
  <c r="N38" i="104" a="1"/>
  <c r="N38" i="104" s="1"/>
  <c r="O38" i="104" a="1"/>
  <c r="O38" i="104" s="1"/>
  <c r="P38" i="104" a="1"/>
  <c r="P38" i="104" s="1"/>
  <c r="N31" i="104" a="1"/>
  <c r="N31" i="104" s="1"/>
  <c r="O31" i="104" a="1"/>
  <c r="O31" i="104" s="1"/>
  <c r="P31" i="104" a="1"/>
  <c r="P31" i="104" s="1"/>
  <c r="I91" i="107" a="1"/>
  <c r="I91" i="107" s="1"/>
  <c r="H189" i="107" s="1"/>
  <c r="I88" i="107" a="1"/>
  <c r="I88" i="107" s="1"/>
  <c r="H186" i="107" s="1"/>
  <c r="I185" i="107" s="1"/>
  <c r="K185" i="107" s="1" a="1"/>
  <c r="K185" i="107" s="1"/>
  <c r="I174" i="80" a="1"/>
  <c r="I174" i="80" s="1"/>
  <c r="J174" i="80" a="1"/>
  <c r="J174" i="80" s="1"/>
  <c r="G174" i="80" a="1"/>
  <c r="G174" i="80" s="1"/>
  <c r="F152" i="80"/>
  <c r="F174" i="80" s="1" a="1"/>
  <c r="F174" i="80" s="1"/>
  <c r="H174" i="80" a="1"/>
  <c r="H174" i="80" s="1"/>
  <c r="U221" i="119"/>
  <c r="W221" i="119" s="1" a="1"/>
  <c r="W221" i="119" s="1"/>
  <c r="W229" i="119" a="1"/>
  <c r="W229" i="119" s="1"/>
  <c r="W222" i="119" a="1"/>
  <c r="W222" i="119" s="1"/>
  <c r="W224" i="119" a="1"/>
  <c r="W224" i="119" s="1"/>
  <c r="W226" i="119" a="1"/>
  <c r="W226" i="119" s="1"/>
  <c r="W228" i="119" a="1"/>
  <c r="W228" i="119" s="1"/>
  <c r="W230" i="119" a="1"/>
  <c r="W230" i="119" s="1"/>
  <c r="W223" i="119" a="1"/>
  <c r="W223" i="119" s="1"/>
  <c r="W225" i="119" a="1"/>
  <c r="W225" i="119" s="1"/>
  <c r="W227" i="119" a="1"/>
  <c r="W227" i="119" s="1"/>
  <c r="T178" i="80" a="1"/>
  <c r="T178" i="80" s="1"/>
  <c r="S178" i="80" a="1"/>
  <c r="S178" i="80" s="1"/>
  <c r="Q156" i="80"/>
  <c r="Q178" i="80" s="1" a="1"/>
  <c r="Q178" i="80" s="1"/>
  <c r="R178" i="80" a="1"/>
  <c r="R178" i="80" s="1"/>
  <c r="U178" i="80" a="1"/>
  <c r="U178" i="80" s="1"/>
  <c r="I121" i="107"/>
  <c r="K121" i="107" s="1" a="1"/>
  <c r="K121" i="107" s="1"/>
  <c r="I52" i="107" a="1"/>
  <c r="I52" i="107" s="1"/>
  <c r="H147" i="107" s="1"/>
  <c r="I144" i="107" s="1"/>
  <c r="K144" i="107" s="1" a="1"/>
  <c r="K144" i="107" s="1"/>
  <c r="I53" i="107" a="1"/>
  <c r="I53" i="107" s="1"/>
  <c r="H148" i="107" s="1"/>
  <c r="I74" i="107" a="1"/>
  <c r="I74" i="107" s="1"/>
  <c r="H172" i="107" s="1"/>
  <c r="I66" i="107" a="1"/>
  <c r="I66" i="107" s="1"/>
  <c r="H164" i="107" s="1"/>
  <c r="I164" i="107" s="1"/>
  <c r="K164" i="107" s="1" a="1"/>
  <c r="K164" i="107" s="1"/>
  <c r="G205" i="80" a="1"/>
  <c r="G205" i="80" s="1"/>
  <c r="I205" i="80" a="1"/>
  <c r="I205" i="80" s="1"/>
  <c r="F199" i="80"/>
  <c r="J205" i="80" a="1"/>
  <c r="J205" i="80" s="1"/>
  <c r="H205" i="80" a="1"/>
  <c r="H205" i="80" s="1"/>
  <c r="M80" i="90" a="1"/>
  <c r="M80" i="90" s="1"/>
  <c r="M115" i="90" s="1" a="1"/>
  <c r="M115" i="90" s="1"/>
  <c r="M132" i="90" s="1" a="1"/>
  <c r="M132" i="90" s="1"/>
  <c r="M180" i="90" s="1" a="1"/>
  <c r="M180" i="90" s="1"/>
  <c r="D80" i="90" a="1"/>
  <c r="D80" i="90" s="1"/>
  <c r="D115" i="90" s="1" a="1"/>
  <c r="D115" i="90" s="1"/>
  <c r="D132" i="90" s="1" a="1"/>
  <c r="D132" i="90" s="1"/>
  <c r="D180" i="90" s="1" a="1"/>
  <c r="D180" i="90" s="1"/>
  <c r="I271" i="119" a="1"/>
  <c r="I271" i="119" s="1"/>
  <c r="E642" i="119"/>
  <c r="G157" i="107" a="1"/>
  <c r="G157" i="107" s="1"/>
  <c r="G116" i="107" a="1"/>
  <c r="G116" i="107" s="1"/>
  <c r="I116" i="107" s="1"/>
  <c r="K116" i="107" s="1" a="1"/>
  <c r="K116" i="107" s="1"/>
  <c r="E151" i="107" s="1"/>
  <c r="G21" i="107" a="1"/>
  <c r="G21" i="107" s="1"/>
  <c r="I21" i="107" s="1" a="1"/>
  <c r="I21" i="107" s="1"/>
  <c r="H116" i="107" s="1"/>
  <c r="J179" i="80" a="1"/>
  <c r="J179" i="80" s="1"/>
  <c r="I179" i="80" a="1"/>
  <c r="I179" i="80" s="1"/>
  <c r="H179" i="80" a="1"/>
  <c r="H179" i="80" s="1"/>
  <c r="G179" i="80" a="1"/>
  <c r="G179" i="80" s="1"/>
  <c r="F157" i="80"/>
  <c r="F179" i="80" s="1" a="1"/>
  <c r="F179" i="80" s="1"/>
  <c r="I89" i="107" a="1"/>
  <c r="I89" i="107" s="1"/>
  <c r="H187" i="107" s="1"/>
  <c r="I80" i="107" a="1"/>
  <c r="I80" i="107" s="1"/>
  <c r="H178" i="107" s="1"/>
  <c r="I178" i="107" s="1"/>
  <c r="K178" i="107" s="1" a="1"/>
  <c r="K178" i="107" s="1"/>
  <c r="G176" i="80" a="1"/>
  <c r="G176" i="80" s="1"/>
  <c r="F154" i="80"/>
  <c r="F176" i="80" s="1" a="1"/>
  <c r="F176" i="80" s="1"/>
  <c r="H176" i="80" a="1"/>
  <c r="H176" i="80" s="1"/>
  <c r="J176" i="80" a="1"/>
  <c r="J176" i="80" s="1"/>
  <c r="I176" i="80" a="1"/>
  <c r="I176" i="80" s="1"/>
  <c r="S177" i="80" a="1"/>
  <c r="S177" i="80" s="1"/>
  <c r="R177" i="80" a="1"/>
  <c r="R177" i="80" s="1"/>
  <c r="Q155" i="80"/>
  <c r="Q177" i="80" s="1" a="1"/>
  <c r="Q177" i="80" s="1"/>
  <c r="T177" i="80" a="1"/>
  <c r="T177" i="80" s="1"/>
  <c r="U177" i="80" a="1"/>
  <c r="U177" i="80" s="1"/>
  <c r="F151" i="80"/>
  <c r="F173" i="80" s="1" a="1"/>
  <c r="F173" i="80" s="1"/>
  <c r="H173" i="80" a="1"/>
  <c r="H173" i="80" s="1"/>
  <c r="I173" i="80" a="1"/>
  <c r="I173" i="80" s="1"/>
  <c r="J173" i="80" a="1"/>
  <c r="J173" i="80" s="1"/>
  <c r="G173" i="80" a="1"/>
  <c r="G173" i="80" s="1"/>
  <c r="I60" i="107" a="1"/>
  <c r="I60" i="107" s="1"/>
  <c r="H158" i="107" s="1"/>
  <c r="I158" i="107" s="1"/>
  <c r="K158" i="107" s="1" a="1"/>
  <c r="K158" i="107" s="1"/>
  <c r="G59" i="107" a="1"/>
  <c r="G59" i="107" s="1"/>
  <c r="I59" i="107" s="1" a="1"/>
  <c r="I59" i="107" s="1"/>
  <c r="H157" i="107" s="1"/>
  <c r="R173" i="80" a="1"/>
  <c r="R173" i="80" s="1"/>
  <c r="T173" i="80" a="1"/>
  <c r="T173" i="80" s="1"/>
  <c r="U173" i="80" a="1"/>
  <c r="U173" i="80" s="1"/>
  <c r="Q151" i="80"/>
  <c r="Q173" i="80" s="1" a="1"/>
  <c r="Q173" i="80" s="1"/>
  <c r="S173" i="80" a="1"/>
  <c r="S173" i="80" s="1"/>
  <c r="N34" i="104" a="1"/>
  <c r="N34" i="104" s="1"/>
  <c r="E49" i="104" s="1"/>
  <c r="P34" i="104" a="1"/>
  <c r="P34" i="104" s="1"/>
  <c r="O34" i="104" a="1"/>
  <c r="O34" i="104" s="1"/>
  <c r="S206" i="80" a="1"/>
  <c r="S206" i="80" s="1"/>
  <c r="T206" i="80" a="1"/>
  <c r="T206" i="80" s="1"/>
  <c r="R206" i="80" a="1"/>
  <c r="R206" i="80" s="1"/>
  <c r="U206" i="80" a="1"/>
  <c r="U206" i="80" s="1"/>
  <c r="Q200" i="80"/>
  <c r="Q38" i="104" a="1"/>
  <c r="Q38" i="104" s="1"/>
  <c r="E52" i="104" s="1"/>
  <c r="I67" i="107" a="1"/>
  <c r="I67" i="107" s="1"/>
  <c r="H165" i="107" s="1"/>
  <c r="I165" i="107" s="1"/>
  <c r="K165" i="107" s="1" a="1"/>
  <c r="K165" i="107" s="1"/>
  <c r="P29" i="104" a="1"/>
  <c r="P29" i="104" s="1"/>
  <c r="G273" i="119" a="1"/>
  <c r="G273" i="119" s="1"/>
  <c r="O180" i="90" a="1"/>
  <c r="O180" i="90" s="1"/>
  <c r="I82" i="107" a="1"/>
  <c r="I82" i="107" s="1"/>
  <c r="H180" i="107" s="1"/>
  <c r="I92" i="107" a="1"/>
  <c r="I92" i="107" s="1"/>
  <c r="H190" i="107" s="1"/>
  <c r="M50" i="90" a="1"/>
  <c r="M50" i="90" s="1"/>
  <c r="I61" i="107" a="1"/>
  <c r="I61" i="107" s="1"/>
  <c r="H159" i="107" s="1"/>
  <c r="I159" i="107" s="1"/>
  <c r="K159" i="107" s="1" a="1"/>
  <c r="K159" i="107" s="1"/>
  <c r="S114" i="80" a="1"/>
  <c r="S114" i="80" s="1"/>
  <c r="Q25" i="104" a="1"/>
  <c r="Q25" i="104" s="1"/>
  <c r="E46" i="104" s="1"/>
  <c r="Y221" i="119"/>
  <c r="AA221" i="119" s="1" a="1"/>
  <c r="AA221" i="119" s="1"/>
  <c r="AA229" i="119" a="1"/>
  <c r="AA229" i="119" s="1"/>
  <c r="AA222" i="119" a="1"/>
  <c r="AA222" i="119" s="1"/>
  <c r="AA224" i="119" a="1"/>
  <c r="AA224" i="119" s="1"/>
  <c r="AA226" i="119" a="1"/>
  <c r="AA226" i="119" s="1"/>
  <c r="AA228" i="119" a="1"/>
  <c r="AA228" i="119" s="1"/>
  <c r="AA230" i="119" a="1"/>
  <c r="AA230" i="119" s="1"/>
  <c r="AA223" i="119" a="1"/>
  <c r="AA223" i="119" s="1"/>
  <c r="AA225" i="119" a="1"/>
  <c r="AA225" i="119" s="1"/>
  <c r="AA227" i="119" a="1"/>
  <c r="AA227" i="119" s="1"/>
  <c r="P114" i="80" a="1"/>
  <c r="P114" i="80" s="1"/>
  <c r="K177" i="107" a="1"/>
  <c r="K177" i="107" s="1"/>
  <c r="P65" i="81" a="1"/>
  <c r="P65" i="81" s="1"/>
  <c r="P103" i="81" s="1" a="1"/>
  <c r="P103" i="81" s="1"/>
  <c r="P146" i="81" s="1" a="1"/>
  <c r="P146" i="81" s="1"/>
  <c r="P176" i="81" s="1" a="1"/>
  <c r="P176" i="81" s="1"/>
  <c r="I68" i="107" a="1"/>
  <c r="I68" i="107" s="1"/>
  <c r="H166" i="107" s="1"/>
  <c r="I166" i="107" s="1"/>
  <c r="K166" i="107" s="1" a="1"/>
  <c r="K166" i="107" s="1"/>
  <c r="F153" i="80"/>
  <c r="F175" i="80" s="1" a="1"/>
  <c r="F175" i="80" s="1"/>
  <c r="G175" i="80" a="1"/>
  <c r="G175" i="80" s="1"/>
  <c r="I175" i="80" a="1"/>
  <c r="I175" i="80" s="1"/>
  <c r="H175" i="80" a="1"/>
  <c r="H175" i="80" s="1"/>
  <c r="J175" i="80" a="1"/>
  <c r="J175" i="80" s="1"/>
  <c r="Q199" i="80"/>
  <c r="U205" i="80" a="1"/>
  <c r="U205" i="80" s="1"/>
  <c r="T205" i="80" a="1"/>
  <c r="T205" i="80" s="1"/>
  <c r="S205" i="80" a="1"/>
  <c r="S205" i="80" s="1"/>
  <c r="R205" i="80" a="1"/>
  <c r="R205" i="80" s="1"/>
  <c r="O27" i="104" a="1"/>
  <c r="O27" i="104" s="1"/>
  <c r="N27" i="104" a="1"/>
  <c r="N27" i="104" s="1"/>
  <c r="P27" i="104" a="1"/>
  <c r="P27" i="104" s="1"/>
  <c r="Q170" i="90"/>
  <c r="Q180" i="90" s="1" a="1"/>
  <c r="Q180" i="90" s="1"/>
  <c r="H170" i="90"/>
  <c r="N180" i="90" a="1"/>
  <c r="N180" i="90" s="1"/>
  <c r="I138" i="107"/>
  <c r="K138" i="107" s="1" a="1"/>
  <c r="K138" i="107" s="1"/>
  <c r="I75" i="107" a="1"/>
  <c r="I75" i="107" s="1"/>
  <c r="H173" i="107" s="1"/>
  <c r="I173" i="107" s="1"/>
  <c r="K173" i="107" s="1" a="1"/>
  <c r="K173" i="107" s="1"/>
  <c r="U174" i="80" a="1"/>
  <c r="U174" i="80" s="1"/>
  <c r="Q152" i="80"/>
  <c r="Q174" i="80" s="1" a="1"/>
  <c r="Q174" i="80" s="1"/>
  <c r="T174" i="80" a="1"/>
  <c r="T174" i="80" s="1"/>
  <c r="R174" i="80" a="1"/>
  <c r="R174" i="80" s="1"/>
  <c r="S174" i="80" a="1"/>
  <c r="S174" i="80" s="1"/>
  <c r="P180" i="90" a="1"/>
  <c r="P180" i="90" s="1"/>
  <c r="F270" i="119" a="1"/>
  <c r="F270" i="119" s="1"/>
  <c r="E270" i="119"/>
  <c r="G270" i="119" s="1" a="1"/>
  <c r="G270" i="119" s="1"/>
  <c r="E283" i="119" s="1"/>
  <c r="I83" i="107" a="1"/>
  <c r="I83" i="107" s="1"/>
  <c r="H181" i="107" s="1"/>
  <c r="I179" i="107" s="1"/>
  <c r="K179" i="107" s="1" a="1"/>
  <c r="K179" i="107" s="1"/>
  <c r="Q154" i="80"/>
  <c r="Q176" i="80" s="1" a="1"/>
  <c r="Q176" i="80" s="1"/>
  <c r="S176" i="80" a="1"/>
  <c r="S176" i="80" s="1"/>
  <c r="T176" i="80" a="1"/>
  <c r="T176" i="80" s="1"/>
  <c r="R176" i="80" a="1"/>
  <c r="R176" i="80" s="1"/>
  <c r="U176" i="80" a="1"/>
  <c r="U176" i="80" s="1"/>
  <c r="AC221" i="119"/>
  <c r="AE221" i="119" s="1" a="1"/>
  <c r="AE221" i="119" s="1"/>
  <c r="AE224" i="119" a="1"/>
  <c r="AE224" i="119" s="1"/>
  <c r="AE226" i="119" a="1"/>
  <c r="AE226" i="119" s="1"/>
  <c r="AE228" i="119" a="1"/>
  <c r="AE228" i="119" s="1"/>
  <c r="AE230" i="119" a="1"/>
  <c r="AE230" i="119" s="1"/>
  <c r="AE223" i="119" a="1"/>
  <c r="AE223" i="119" s="1"/>
  <c r="AE225" i="119" a="1"/>
  <c r="AE225" i="119" s="1"/>
  <c r="AE227" i="119" a="1"/>
  <c r="AE227" i="119" s="1"/>
  <c r="AE229" i="119" a="1"/>
  <c r="AE229" i="119" s="1"/>
  <c r="AE222" i="119" a="1"/>
  <c r="AE222" i="119" s="1"/>
  <c r="H180" i="90" a="1"/>
  <c r="H180" i="90" s="1"/>
  <c r="Q65" i="81" a="1"/>
  <c r="Q65" i="81" s="1"/>
  <c r="Q103" i="81" s="1" a="1"/>
  <c r="Q103" i="81" s="1"/>
  <c r="Q146" i="81" s="1" a="1"/>
  <c r="Q146" i="81" s="1"/>
  <c r="Q176" i="81" s="1" a="1"/>
  <c r="Q176" i="81" s="1"/>
  <c r="R19" i="85" s="1"/>
  <c r="T31" i="85" s="1" a="1"/>
  <c r="T31" i="85" s="1"/>
  <c r="G133" i="80" a="1"/>
  <c r="G133" i="80" s="1"/>
  <c r="G50" i="81"/>
  <c r="E133" i="80" a="1"/>
  <c r="E133" i="80" s="1"/>
  <c r="E50" i="81"/>
  <c r="H133" i="80" a="1"/>
  <c r="H133" i="80" s="1"/>
  <c r="H50" i="81"/>
  <c r="F133" i="80" a="1"/>
  <c r="F133" i="80" s="1"/>
  <c r="F50" i="81"/>
  <c r="T33" i="110"/>
  <c r="O25" i="111"/>
  <c r="J33" i="110"/>
  <c r="E25" i="111"/>
  <c r="D114" i="80" a="1"/>
  <c r="D114" i="80" s="1"/>
  <c r="D60" i="81"/>
  <c r="O133" i="80" a="1"/>
  <c r="O133" i="80" s="1"/>
  <c r="N50" i="81"/>
  <c r="I128" i="119" a="1"/>
  <c r="I128" i="119" s="1"/>
  <c r="I122" i="119" a="1"/>
  <c r="I122" i="119" s="1"/>
  <c r="G125" i="119" a="1"/>
  <c r="G125" i="119" s="1"/>
  <c r="I124" i="119" a="1"/>
  <c r="I124" i="119" s="1"/>
  <c r="E56" i="103"/>
  <c r="V55" i="92" a="1"/>
  <c r="V55" i="92" s="1"/>
  <c r="G126" i="119" a="1"/>
  <c r="G126" i="119" s="1"/>
  <c r="E379" i="119"/>
  <c r="E35" i="119"/>
  <c r="E94" i="119" s="1"/>
  <c r="G127" i="119" a="1"/>
  <c r="G127" i="119" s="1"/>
  <c r="I123" i="119" a="1"/>
  <c r="I123" i="119" s="1"/>
  <c r="E441" i="119"/>
  <c r="E34" i="119"/>
  <c r="E93" i="119" s="1"/>
  <c r="E378" i="119"/>
  <c r="I168" i="107"/>
  <c r="K168" i="107" s="1" a="1"/>
  <c r="K168" i="107" s="1"/>
  <c r="E44" i="104"/>
  <c r="I157" i="107"/>
  <c r="K157" i="107" s="1" a="1"/>
  <c r="K157" i="107" s="1"/>
  <c r="E44" i="103"/>
  <c r="E46" i="103"/>
  <c r="E43" i="104"/>
  <c r="E50" i="104"/>
  <c r="E43" i="103"/>
  <c r="E51" i="104"/>
  <c r="E45" i="103"/>
  <c r="E55" i="103"/>
  <c r="E57" i="103"/>
  <c r="E63" i="103"/>
  <c r="E64" i="103"/>
  <c r="E61" i="103"/>
  <c r="E62" i="103"/>
  <c r="I16" i="77"/>
  <c r="I15" i="77"/>
  <c r="I14" i="77"/>
  <c r="I13" i="77"/>
  <c r="I12" i="77"/>
  <c r="I11" i="77"/>
  <c r="I10" i="77"/>
  <c r="I9" i="77"/>
  <c r="I8" i="77"/>
  <c r="I7" i="77"/>
  <c r="E22" i="72" s="1"/>
  <c r="P133" i="80" l="1" a="1"/>
  <c r="P133" i="80" s="1"/>
  <c r="O50" i="81"/>
  <c r="P213" i="81" a="1"/>
  <c r="P213" i="81" s="1"/>
  <c r="F229" i="119" a="1"/>
  <c r="F229" i="119" s="1"/>
  <c r="O45" i="92"/>
  <c r="W49" i="92"/>
  <c r="W48" i="92"/>
  <c r="R49" i="92" a="1"/>
  <c r="R49" i="92" s="1"/>
  <c r="R46" i="92" a="1"/>
  <c r="R46" i="92" s="1"/>
  <c r="V49" i="92" a="1"/>
  <c r="V49" i="92" s="1"/>
  <c r="S47" i="92" a="1"/>
  <c r="S47" i="92" s="1"/>
  <c r="R48" i="92" a="1"/>
  <c r="R48" i="92" s="1"/>
  <c r="S49" i="92" a="1"/>
  <c r="S49" i="92" s="1"/>
  <c r="V48" i="92" a="1"/>
  <c r="V48" i="92" s="1"/>
  <c r="T49" i="92"/>
  <c r="R47" i="92" a="1"/>
  <c r="R47" i="92" s="1"/>
  <c r="T46" i="92"/>
  <c r="V46" i="92" s="1" a="1"/>
  <c r="V46" i="92" s="1"/>
  <c r="S48" i="92" a="1"/>
  <c r="S48" i="92" s="1"/>
  <c r="T48" i="92"/>
  <c r="T47" i="92"/>
  <c r="V47" i="92" s="1" a="1"/>
  <c r="V47" i="92" s="1"/>
  <c r="S46" i="92" a="1"/>
  <c r="S46" i="92" s="1"/>
  <c r="Q205" i="80" a="1"/>
  <c r="Q205" i="80" s="1"/>
  <c r="F205" i="80" a="1"/>
  <c r="F205" i="80" s="1"/>
  <c r="F227" i="119" a="1"/>
  <c r="F227" i="119" s="1"/>
  <c r="I270" i="119" a="1"/>
  <c r="I270" i="119" s="1"/>
  <c r="E284" i="119" s="1"/>
  <c r="F221" i="119" a="1"/>
  <c r="F221" i="119" s="1"/>
  <c r="F225" i="119" a="1"/>
  <c r="F225" i="119" s="1"/>
  <c r="F230" i="119" a="1"/>
  <c r="F230" i="119" s="1"/>
  <c r="E141" i="119"/>
  <c r="F228" i="119" a="1"/>
  <c r="F228" i="119" s="1"/>
  <c r="Q206" i="80" a="1"/>
  <c r="Q206" i="80" s="1"/>
  <c r="E182" i="90"/>
  <c r="G184" i="90" s="1"/>
  <c r="F226" i="119" a="1"/>
  <c r="F226" i="119" s="1"/>
  <c r="N182" i="90"/>
  <c r="P184" i="90" s="1"/>
  <c r="F224" i="119" a="1"/>
  <c r="F224" i="119" s="1"/>
  <c r="S133" i="80" a="1"/>
  <c r="S133" i="80" s="1"/>
  <c r="R50" i="81"/>
  <c r="F222" i="119" a="1"/>
  <c r="F222" i="119" s="1"/>
  <c r="S246" i="81" a="1"/>
  <c r="S246" i="81" s="1"/>
  <c r="T43" i="84" s="1"/>
  <c r="S244" i="81" a="1"/>
  <c r="S244" i="81" s="1"/>
  <c r="S243" i="81" a="1"/>
  <c r="S243" i="81" s="1"/>
  <c r="S250" i="81" a="1"/>
  <c r="S250" i="81" s="1"/>
  <c r="T26" i="82" s="1"/>
  <c r="T47" i="82" s="1" a="1"/>
  <c r="T47" i="82" s="1"/>
  <c r="S247" i="81" a="1"/>
  <c r="S247" i="81" s="1"/>
  <c r="S249" i="81" a="1"/>
  <c r="S249" i="81" s="1"/>
  <c r="S248" i="81" a="1"/>
  <c r="S248" i="81" s="1"/>
  <c r="T45" i="84" s="1"/>
  <c r="S245" i="81" a="1"/>
  <c r="S245" i="81" s="1"/>
  <c r="T42" i="84" s="1"/>
  <c r="Q213" i="81" a="1"/>
  <c r="Q213" i="81" s="1"/>
  <c r="E126" i="81" a="1"/>
  <c r="E126" i="81" s="1"/>
  <c r="E65" i="81" a="1"/>
  <c r="E65" i="81" s="1"/>
  <c r="E103" i="81" s="1" a="1"/>
  <c r="E103" i="81" s="1"/>
  <c r="H126" i="81" a="1"/>
  <c r="H126" i="81" s="1"/>
  <c r="H65" i="81" a="1"/>
  <c r="H65" i="81" s="1"/>
  <c r="H103" i="81" s="1" a="1"/>
  <c r="H103" i="81" s="1"/>
  <c r="F126" i="81" a="1"/>
  <c r="F126" i="81" s="1"/>
  <c r="F65" i="81" a="1"/>
  <c r="F65" i="81" s="1"/>
  <c r="F103" i="81" s="1" a="1"/>
  <c r="F103" i="81" s="1"/>
  <c r="G65" i="81" a="1"/>
  <c r="G65" i="81" s="1"/>
  <c r="G103" i="81" s="1" a="1"/>
  <c r="G103" i="81" s="1"/>
  <c r="G126" i="81" a="1"/>
  <c r="G126" i="81" s="1"/>
  <c r="T47" i="84"/>
  <c r="T24" i="83"/>
  <c r="T22" i="82"/>
  <c r="T43" i="82" s="1" a="1"/>
  <c r="T43" i="82" s="1"/>
  <c r="T23" i="83"/>
  <c r="N126" i="81" a="1"/>
  <c r="N126" i="81" s="1"/>
  <c r="N65" i="81" a="1"/>
  <c r="N65" i="81" s="1"/>
  <c r="N103" i="81" s="1" a="1"/>
  <c r="N103" i="81" s="1"/>
  <c r="T25" i="82"/>
  <c r="T46" i="82" s="1" a="1"/>
  <c r="T46" i="82" s="1"/>
  <c r="D133" i="80" a="1"/>
  <c r="D133" i="80" s="1"/>
  <c r="D50" i="81"/>
  <c r="T23" i="87"/>
  <c r="T19" i="86"/>
  <c r="T24" i="86" s="1" a="1"/>
  <c r="T24" i="86" s="1"/>
  <c r="R245" i="81" a="1"/>
  <c r="R245" i="81" s="1"/>
  <c r="Q19" i="85"/>
  <c r="S31" i="85" s="1" a="1"/>
  <c r="S31" i="85" s="1"/>
  <c r="E131" i="119"/>
  <c r="E145" i="119" s="1"/>
  <c r="E130" i="119"/>
  <c r="E144" i="119" s="1"/>
  <c r="E70" i="103"/>
  <c r="I515" i="119" s="1"/>
  <c r="E56" i="104"/>
  <c r="E192" i="107"/>
  <c r="E588" i="119" s="1"/>
  <c r="E55" i="104"/>
  <c r="E57" i="104"/>
  <c r="E68" i="103"/>
  <c r="E58" i="104"/>
  <c r="I516" i="119" s="1"/>
  <c r="E67" i="103"/>
  <c r="E69" i="103"/>
  <c r="R246" i="81" a="1"/>
  <c r="R246" i="81" s="1"/>
  <c r="R247" i="81" a="1"/>
  <c r="R247" i="81" s="1"/>
  <c r="R249" i="81" a="1"/>
  <c r="R249" i="81" s="1"/>
  <c r="R248" i="81" a="1"/>
  <c r="R248" i="81" s="1"/>
  <c r="R244" i="81" a="1"/>
  <c r="R244" i="81" s="1"/>
  <c r="R250" i="81" a="1"/>
  <c r="R250" i="81" s="1"/>
  <c r="R243" i="81" a="1"/>
  <c r="R243" i="81" s="1"/>
  <c r="O126" i="81" l="1" a="1"/>
  <c r="O126" i="81" s="1"/>
  <c r="O65" i="81" a="1"/>
  <c r="O65" i="81" s="1"/>
  <c r="O103" i="81" s="1" a="1"/>
  <c r="O103" i="81" s="1"/>
  <c r="T19" i="82"/>
  <c r="T40" i="82" s="1" a="1"/>
  <c r="T40" i="82" s="1"/>
  <c r="R126" i="81" a="1"/>
  <c r="R126" i="81" s="1"/>
  <c r="R65" i="81" a="1"/>
  <c r="R65" i="81" s="1"/>
  <c r="R103" i="81" s="1" a="1"/>
  <c r="R103" i="81" s="1"/>
  <c r="R146" i="81" s="1" a="1"/>
  <c r="R146" i="81" s="1"/>
  <c r="T41" i="84"/>
  <c r="T107" i="84" s="1" a="1"/>
  <c r="T107" i="84" s="1"/>
  <c r="T40" i="84"/>
  <c r="T139" i="84" s="1" a="1"/>
  <c r="T139" i="84" s="1"/>
  <c r="S45" i="92" a="1"/>
  <c r="S45" i="92" s="1"/>
  <c r="T45" i="92"/>
  <c r="R45" i="92" a="1"/>
  <c r="R45" i="92" s="1"/>
  <c r="T20" i="82"/>
  <c r="T41" i="82" s="1" a="1"/>
  <c r="T41" i="82" s="1"/>
  <c r="T46" i="84"/>
  <c r="T145" i="84" s="1" a="1"/>
  <c r="T145" i="84" s="1"/>
  <c r="T21" i="82"/>
  <c r="T42" i="82" s="1" a="1"/>
  <c r="T42" i="82" s="1"/>
  <c r="G146" i="81" a="1"/>
  <c r="G146" i="81" s="1"/>
  <c r="G176" i="81" s="1" a="1"/>
  <c r="G176" i="81" s="1"/>
  <c r="F146" i="81" a="1"/>
  <c r="F146" i="81" s="1"/>
  <c r="F176" i="81" s="1" a="1"/>
  <c r="F176" i="81" s="1"/>
  <c r="T44" i="84"/>
  <c r="T110" i="84" s="1" a="1"/>
  <c r="T110" i="84" s="1"/>
  <c r="T23" i="82"/>
  <c r="T44" i="82" s="1" a="1"/>
  <c r="T44" i="82" s="1"/>
  <c r="T24" i="82"/>
  <c r="T45" i="82" s="1" a="1"/>
  <c r="T45" i="82" s="1"/>
  <c r="N146" i="81" a="1"/>
  <c r="N146" i="81" s="1"/>
  <c r="N213" i="81" s="1" a="1"/>
  <c r="N213" i="81" s="1"/>
  <c r="H146" i="81" a="1"/>
  <c r="H146" i="81" s="1"/>
  <c r="E146" i="81" a="1"/>
  <c r="E146" i="81" s="1"/>
  <c r="S23" i="82"/>
  <c r="S44" i="82" s="1" a="1"/>
  <c r="S44" i="82" s="1"/>
  <c r="S44" i="84"/>
  <c r="S40" i="84"/>
  <c r="S19" i="82"/>
  <c r="S40" i="82" s="1" a="1"/>
  <c r="S40" i="82" s="1"/>
  <c r="S47" i="84"/>
  <c r="S26" i="82"/>
  <c r="S47" i="82" s="1" a="1"/>
  <c r="S47" i="82" s="1"/>
  <c r="S24" i="83"/>
  <c r="S41" i="84"/>
  <c r="S20" i="82"/>
  <c r="S41" i="82" s="1" a="1"/>
  <c r="S41" i="82" s="1"/>
  <c r="S22" i="82"/>
  <c r="S43" i="82" s="1" a="1"/>
  <c r="S43" i="82" s="1"/>
  <c r="S23" i="83"/>
  <c r="S43" i="84"/>
  <c r="S45" i="84"/>
  <c r="S24" i="82"/>
  <c r="S45" i="82" s="1" a="1"/>
  <c r="S45" i="82" s="1"/>
  <c r="T81" i="84" a="1"/>
  <c r="T81" i="84" s="1"/>
  <c r="T144" i="84" a="1"/>
  <c r="T144" i="84" s="1"/>
  <c r="T111" i="84" a="1"/>
  <c r="T111" i="84" s="1"/>
  <c r="D65" i="81" a="1"/>
  <c r="D65" i="81" s="1"/>
  <c r="D103" i="81" s="1" a="1"/>
  <c r="D103" i="81" s="1"/>
  <c r="D126" i="81" a="1"/>
  <c r="D126" i="81" s="1"/>
  <c r="T112" i="84" a="1"/>
  <c r="T112" i="84" s="1"/>
  <c r="T82" i="84" a="1"/>
  <c r="T82" i="84" s="1"/>
  <c r="S21" i="82"/>
  <c r="S42" i="82" s="1" a="1"/>
  <c r="S42" i="82" s="1"/>
  <c r="S42" i="84"/>
  <c r="S46" i="84"/>
  <c r="S25" i="82"/>
  <c r="S46" i="82" s="1" a="1"/>
  <c r="S46" i="82" s="1"/>
  <c r="T108" i="84" a="1"/>
  <c r="T108" i="84" s="1"/>
  <c r="T141" i="84" a="1"/>
  <c r="T141" i="84" s="1"/>
  <c r="T78" i="84" a="1"/>
  <c r="T78" i="84" s="1"/>
  <c r="S19" i="86"/>
  <c r="S24" i="86" s="1" a="1"/>
  <c r="S24" i="86" s="1"/>
  <c r="S23" i="87"/>
  <c r="E518" i="119" a="1"/>
  <c r="E518" i="119" s="1"/>
  <c r="F7" i="13" a="1"/>
  <c r="F7" i="13" s="1"/>
  <c r="E7" i="13" a="1"/>
  <c r="E7" i="13" s="1"/>
  <c r="T106" i="84" l="1" a="1"/>
  <c r="T106" i="84" s="1"/>
  <c r="T140" i="84" a="1"/>
  <c r="T140" i="84" s="1"/>
  <c r="T76" i="84" a="1"/>
  <c r="T76" i="84" s="1"/>
  <c r="G213" i="81" a="1"/>
  <c r="G213" i="81" s="1"/>
  <c r="O146" i="81" a="1"/>
  <c r="O146" i="81" s="1"/>
  <c r="T77" i="84" a="1"/>
  <c r="T77" i="84" s="1"/>
  <c r="F213" i="81" a="1"/>
  <c r="F213" i="81" s="1"/>
  <c r="H247" i="81" s="1" a="1"/>
  <c r="H247" i="81" s="1"/>
  <c r="V45" i="92" a="1"/>
  <c r="V45" i="92" s="1"/>
  <c r="R213" i="81" a="1"/>
  <c r="R213" i="81" s="1"/>
  <c r="R176" i="81" a="1"/>
  <c r="R176" i="81" s="1"/>
  <c r="T143" i="84" a="1"/>
  <c r="T143" i="84" s="1"/>
  <c r="N176" i="81" a="1"/>
  <c r="N176" i="81" s="1"/>
  <c r="P248" i="81" s="1" a="1"/>
  <c r="P248" i="81" s="1"/>
  <c r="T80" i="84" a="1"/>
  <c r="T80" i="84" s="1"/>
  <c r="I243" i="81" a="1"/>
  <c r="I243" i="81" s="1"/>
  <c r="I249" i="81" a="1"/>
  <c r="I249" i="81" s="1"/>
  <c r="I248" i="81" a="1"/>
  <c r="I248" i="81" s="1"/>
  <c r="I250" i="81" a="1"/>
  <c r="I250" i="81" s="1"/>
  <c r="I244" i="81" a="1"/>
  <c r="I244" i="81" s="1"/>
  <c r="G19" i="85"/>
  <c r="I31" i="85" s="1" a="1"/>
  <c r="I31" i="85" s="1"/>
  <c r="I246" i="81" a="1"/>
  <c r="I246" i="81" s="1"/>
  <c r="I245" i="81" a="1"/>
  <c r="I245" i="81" s="1"/>
  <c r="I247" i="81" a="1"/>
  <c r="I247" i="81" s="1"/>
  <c r="H176" i="81" a="1"/>
  <c r="H176" i="81" s="1"/>
  <c r="H213" i="81" a="1"/>
  <c r="H213" i="81" s="1"/>
  <c r="E176" i="81" a="1"/>
  <c r="E176" i="81" s="1"/>
  <c r="E213" i="81" a="1"/>
  <c r="E213" i="81" s="1"/>
  <c r="H245" i="81" a="1"/>
  <c r="H245" i="81" s="1"/>
  <c r="H248" i="81" a="1"/>
  <c r="H248" i="81" s="1"/>
  <c r="D146" i="81" a="1"/>
  <c r="D146" i="81" s="1"/>
  <c r="D213" i="81" s="1" a="1"/>
  <c r="D213" i="81" s="1"/>
  <c r="S141" i="84" a="1"/>
  <c r="S141" i="84" s="1"/>
  <c r="S108" i="84" a="1"/>
  <c r="S108" i="84" s="1"/>
  <c r="S78" i="84" a="1"/>
  <c r="S78" i="84" s="1"/>
  <c r="P244" i="81" a="1"/>
  <c r="P244" i="81" s="1"/>
  <c r="P246" i="81" a="1"/>
  <c r="P246" i="81" s="1"/>
  <c r="O19" i="85"/>
  <c r="Q31" i="85" s="1" a="1"/>
  <c r="Q31" i="85" s="1"/>
  <c r="P249" i="81" a="1"/>
  <c r="P249" i="81" s="1"/>
  <c r="P243" i="81" a="1"/>
  <c r="P243" i="81" s="1"/>
  <c r="P247" i="81" a="1"/>
  <c r="P247" i="81" s="1"/>
  <c r="P250" i="81" a="1"/>
  <c r="P250" i="81" s="1"/>
  <c r="S76" i="84" a="1"/>
  <c r="S76" i="84" s="1"/>
  <c r="S139" i="84" a="1"/>
  <c r="S139" i="84" s="1"/>
  <c r="S106" i="84" a="1"/>
  <c r="S106" i="84" s="1"/>
  <c r="S111" i="84" a="1"/>
  <c r="S111" i="84" s="1"/>
  <c r="S81" i="84" a="1"/>
  <c r="S81" i="84" s="1"/>
  <c r="S144" i="84" a="1"/>
  <c r="S144" i="84" s="1"/>
  <c r="S110" i="84" a="1"/>
  <c r="S110" i="84" s="1"/>
  <c r="S80" i="84" a="1"/>
  <c r="S80" i="84" s="1"/>
  <c r="S143" i="84" a="1"/>
  <c r="S143" i="84" s="1"/>
  <c r="S145" i="84" a="1"/>
  <c r="S145" i="84" s="1"/>
  <c r="S82" i="84" a="1"/>
  <c r="S82" i="84" s="1"/>
  <c r="S112" i="84" a="1"/>
  <c r="S112" i="84" s="1"/>
  <c r="S107" i="84" a="1"/>
  <c r="S107" i="84" s="1"/>
  <c r="S77" i="84" a="1"/>
  <c r="S77" i="84" s="1"/>
  <c r="S140" i="84" a="1"/>
  <c r="S140" i="84" s="1"/>
  <c r="E10" i="76" a="1"/>
  <c r="E10" i="76" s="1"/>
  <c r="E9" i="76" a="1"/>
  <c r="E9" i="76" s="1"/>
  <c r="T244" i="81" l="1" a="1"/>
  <c r="T244" i="81" s="1"/>
  <c r="T245" i="81" a="1"/>
  <c r="T245" i="81" s="1"/>
  <c r="T243" i="81" a="1"/>
  <c r="T243" i="81" s="1"/>
  <c r="T249" i="81" a="1"/>
  <c r="T249" i="81" s="1"/>
  <c r="T246" i="81" a="1"/>
  <c r="T246" i="81" s="1"/>
  <c r="T250" i="81" a="1"/>
  <c r="T250" i="81" s="1"/>
  <c r="S19" i="85"/>
  <c r="U31" i="85" s="1" a="1"/>
  <c r="U31" i="85" s="1"/>
  <c r="T247" i="81" a="1"/>
  <c r="T247" i="81" s="1"/>
  <c r="T248" i="81" a="1"/>
  <c r="T248" i="81" s="1"/>
  <c r="H246" i="81" a="1"/>
  <c r="H246" i="81" s="1"/>
  <c r="H22" i="82" s="1"/>
  <c r="H43" i="82" s="1" a="1"/>
  <c r="H43" i="82" s="1"/>
  <c r="H243" i="81" a="1"/>
  <c r="H243" i="81" s="1"/>
  <c r="H40" i="84" s="1"/>
  <c r="O176" i="81" a="1"/>
  <c r="O176" i="81" s="1"/>
  <c r="O213" i="81" a="1"/>
  <c r="O213" i="81" s="1"/>
  <c r="H249" i="81" a="1"/>
  <c r="H249" i="81" s="1"/>
  <c r="I128" i="96"/>
  <c r="I18" i="97"/>
  <c r="J53" i="96"/>
  <c r="I60" i="97"/>
  <c r="S83" i="92"/>
  <c r="I54" i="92"/>
  <c r="F29" i="91"/>
  <c r="G29" i="91" s="1"/>
  <c r="G12" i="91"/>
  <c r="F44" i="91"/>
  <c r="G44" i="91" s="1"/>
  <c r="H54" i="91"/>
  <c r="F28" i="91"/>
  <c r="G28" i="91" s="1"/>
  <c r="F27" i="91"/>
  <c r="G27" i="91" s="1"/>
  <c r="F26" i="91"/>
  <c r="G26" i="91" s="1"/>
  <c r="F25" i="91"/>
  <c r="G16" i="91"/>
  <c r="I16" i="91" s="1"/>
  <c r="F43" i="91"/>
  <c r="G43" i="91" s="1"/>
  <c r="G15" i="91"/>
  <c r="I15" i="91" s="1"/>
  <c r="G14" i="91"/>
  <c r="I14" i="91" s="1"/>
  <c r="F33" i="91"/>
  <c r="G33" i="91" s="1"/>
  <c r="H56" i="91"/>
  <c r="F30" i="91"/>
  <c r="G30" i="91" s="1"/>
  <c r="F42" i="91"/>
  <c r="G42" i="91" s="1"/>
  <c r="G13" i="91"/>
  <c r="I13" i="91" s="1"/>
  <c r="G21" i="91"/>
  <c r="I21" i="91" s="1"/>
  <c r="G19" i="91"/>
  <c r="I19" i="91" s="1"/>
  <c r="F34" i="91"/>
  <c r="G34" i="91" s="1"/>
  <c r="F32" i="91"/>
  <c r="G32" i="91" s="1"/>
  <c r="F31" i="91"/>
  <c r="G31" i="91" s="1"/>
  <c r="H55" i="91"/>
  <c r="G20" i="91"/>
  <c r="I20" i="91" s="1"/>
  <c r="G18" i="91"/>
  <c r="I18" i="91" s="1"/>
  <c r="G17" i="91"/>
  <c r="I17" i="91" s="1"/>
  <c r="H244" i="81" a="1"/>
  <c r="H244" i="81" s="1"/>
  <c r="H250" i="81" a="1"/>
  <c r="H250" i="81" s="1"/>
  <c r="H24" i="83" s="1"/>
  <c r="F19" i="85"/>
  <c r="H31" i="85" s="1" a="1"/>
  <c r="H31" i="85" s="1"/>
  <c r="H19" i="86" s="1"/>
  <c r="H24" i="86" s="1" a="1"/>
  <c r="H24" i="86" s="1"/>
  <c r="D176" i="81" a="1"/>
  <c r="D176" i="81" s="1"/>
  <c r="D19" i="85" s="1"/>
  <c r="F31" i="85" s="1" a="1"/>
  <c r="F31" i="85" s="1"/>
  <c r="P245" i="81" a="1"/>
  <c r="P245" i="81" s="1"/>
  <c r="Q42" i="84" s="1"/>
  <c r="E19" i="85"/>
  <c r="G31" i="85" s="1" a="1"/>
  <c r="G31" i="85" s="1"/>
  <c r="G246" i="81" a="1"/>
  <c r="G246" i="81" s="1"/>
  <c r="G243" i="81" a="1"/>
  <c r="G243" i="81" s="1"/>
  <c r="G249" i="81" a="1"/>
  <c r="G249" i="81" s="1"/>
  <c r="G250" i="81" a="1"/>
  <c r="G250" i="81" s="1"/>
  <c r="G247" i="81" a="1"/>
  <c r="G247" i="81" s="1"/>
  <c r="G244" i="81" a="1"/>
  <c r="G244" i="81" s="1"/>
  <c r="G248" i="81" a="1"/>
  <c r="G248" i="81" s="1"/>
  <c r="G245" i="81" a="1"/>
  <c r="G245" i="81" s="1"/>
  <c r="J244" i="81" a="1"/>
  <c r="J244" i="81" s="1"/>
  <c r="J247" i="81" a="1"/>
  <c r="J247" i="81" s="1"/>
  <c r="J248" i="81" a="1"/>
  <c r="J248" i="81" s="1"/>
  <c r="J249" i="81" a="1"/>
  <c r="J249" i="81" s="1"/>
  <c r="J250" i="81" a="1"/>
  <c r="J250" i="81" s="1"/>
  <c r="J245" i="81" a="1"/>
  <c r="J245" i="81" s="1"/>
  <c r="J246" i="81" a="1"/>
  <c r="J246" i="81" s="1"/>
  <c r="J243" i="81" a="1"/>
  <c r="J243" i="81" s="1"/>
  <c r="H19" i="85"/>
  <c r="J31" i="85" s="1" a="1"/>
  <c r="J31" i="85" s="1"/>
  <c r="I44" i="84"/>
  <c r="I23" i="82"/>
  <c r="I44" i="82" s="1" a="1"/>
  <c r="I44" i="82" s="1"/>
  <c r="H45" i="84"/>
  <c r="H24" i="82"/>
  <c r="H45" i="82" s="1" a="1"/>
  <c r="H45" i="82" s="1"/>
  <c r="I42" i="84"/>
  <c r="I21" i="82"/>
  <c r="I42" i="82" s="1" a="1"/>
  <c r="I42" i="82" s="1"/>
  <c r="I26" i="82"/>
  <c r="I47" i="82" s="1" a="1"/>
  <c r="I47" i="82" s="1"/>
  <c r="I24" i="83"/>
  <c r="I47" i="84"/>
  <c r="H20" i="82"/>
  <c r="H41" i="82" s="1" a="1"/>
  <c r="H41" i="82" s="1"/>
  <c r="H41" i="84"/>
  <c r="I45" i="84"/>
  <c r="I24" i="82"/>
  <c r="I45" i="82" s="1" a="1"/>
  <c r="I45" i="82" s="1"/>
  <c r="H21" i="82"/>
  <c r="H42" i="82" s="1" a="1"/>
  <c r="H42" i="82" s="1"/>
  <c r="H42" i="84"/>
  <c r="H25" i="82"/>
  <c r="H46" i="82" s="1" a="1"/>
  <c r="H46" i="82" s="1"/>
  <c r="H46" i="84"/>
  <c r="I20" i="82"/>
  <c r="I41" i="82" s="1" a="1"/>
  <c r="I41" i="82" s="1"/>
  <c r="I41" i="84"/>
  <c r="H23" i="82"/>
  <c r="H44" i="82" s="1" a="1"/>
  <c r="H44" i="82" s="1"/>
  <c r="H44" i="84"/>
  <c r="I25" i="82"/>
  <c r="I46" i="82" s="1" a="1"/>
  <c r="I46" i="82" s="1"/>
  <c r="I46" i="84"/>
  <c r="I43" i="84"/>
  <c r="I22" i="82"/>
  <c r="I43" i="82" s="1" a="1"/>
  <c r="I43" i="82" s="1"/>
  <c r="I23" i="83"/>
  <c r="I23" i="87"/>
  <c r="I19" i="86"/>
  <c r="I24" i="86" s="1" a="1"/>
  <c r="I24" i="86" s="1"/>
  <c r="H47" i="84"/>
  <c r="H26" i="82"/>
  <c r="H47" i="82" s="1" a="1"/>
  <c r="H47" i="82" s="1"/>
  <c r="I19" i="82"/>
  <c r="I40" i="82" s="1" a="1"/>
  <c r="I40" i="82" s="1"/>
  <c r="I40" i="84"/>
  <c r="Q23" i="87"/>
  <c r="Q19" i="86"/>
  <c r="Q24" i="86" s="1" a="1"/>
  <c r="Q24" i="86" s="1"/>
  <c r="Q23" i="83"/>
  <c r="Q43" i="84"/>
  <c r="Q22" i="82"/>
  <c r="Q43" i="82" s="1" a="1"/>
  <c r="Q43" i="82" s="1"/>
  <c r="Q44" i="84"/>
  <c r="Q23" i="82"/>
  <c r="Q44" i="82" s="1" a="1"/>
  <c r="Q44" i="82" s="1"/>
  <c r="Q24" i="82"/>
  <c r="Q45" i="82" s="1" a="1"/>
  <c r="Q45" i="82" s="1"/>
  <c r="Q45" i="84"/>
  <c r="Q26" i="82"/>
  <c r="Q47" i="82" s="1" a="1"/>
  <c r="Q47" i="82" s="1"/>
  <c r="Q24" i="83"/>
  <c r="Q47" i="84"/>
  <c r="Q46" i="84"/>
  <c r="Q25" i="82"/>
  <c r="Q46" i="82" s="1" a="1"/>
  <c r="Q46" i="82" s="1"/>
  <c r="Q19" i="82"/>
  <c r="Q40" i="82" s="1" a="1"/>
  <c r="Q40" i="82" s="1"/>
  <c r="Q40" i="84"/>
  <c r="F246" i="81" a="1"/>
  <c r="F246" i="81" s="1"/>
  <c r="F244" i="81" a="1"/>
  <c r="F244" i="81" s="1"/>
  <c r="F248" i="81" a="1"/>
  <c r="F248" i="81" s="1"/>
  <c r="F245" i="81" a="1"/>
  <c r="F245" i="81" s="1"/>
  <c r="Q41" i="84"/>
  <c r="Q20" i="82"/>
  <c r="Q41" i="82" s="1" a="1"/>
  <c r="Q41" i="82" s="1"/>
  <c r="F69" i="13"/>
  <c r="G81" i="13"/>
  <c r="G82" i="13" s="1"/>
  <c r="G79" i="13"/>
  <c r="G80" i="13" s="1"/>
  <c r="U23" i="82" l="1"/>
  <c r="U44" i="82" s="1" a="1"/>
  <c r="U44" i="82" s="1"/>
  <c r="U44" i="84"/>
  <c r="H43" i="84"/>
  <c r="G25" i="91"/>
  <c r="E237" i="119" s="1" a="1"/>
  <c r="P55" i="92" a="1"/>
  <c r="F247" i="81" a="1"/>
  <c r="F247" i="81" s="1"/>
  <c r="F44" i="84" s="1"/>
  <c r="U23" i="87"/>
  <c r="U19" i="86"/>
  <c r="U24" i="86" s="1" a="1"/>
  <c r="U24" i="86" s="1"/>
  <c r="F250" i="81" a="1"/>
  <c r="F250" i="81" s="1"/>
  <c r="F243" i="81" a="1"/>
  <c r="F243" i="81" s="1"/>
  <c r="P45" i="92" a="1"/>
  <c r="I12" i="91"/>
  <c r="Q21" i="82"/>
  <c r="Q42" i="82" s="1" a="1"/>
  <c r="Q42" i="82" s="1"/>
  <c r="F249" i="81" a="1"/>
  <c r="F249" i="81" s="1"/>
  <c r="F25" i="82" s="1"/>
  <c r="F46" i="82" s="1" a="1"/>
  <c r="F46" i="82" s="1"/>
  <c r="H23" i="83"/>
  <c r="H23" i="87"/>
  <c r="Q250" i="81" a="1"/>
  <c r="Q250" i="81" s="1"/>
  <c r="Q245" i="81" a="1"/>
  <c r="Q245" i="81" s="1"/>
  <c r="P19" i="85"/>
  <c r="R31" i="85" s="1" a="1"/>
  <c r="R31" i="85" s="1"/>
  <c r="Q248" i="81" a="1"/>
  <c r="Q248" i="81" s="1"/>
  <c r="Q243" i="81" a="1"/>
  <c r="Q243" i="81" s="1"/>
  <c r="Q244" i="81" a="1"/>
  <c r="Q244" i="81" s="1"/>
  <c r="Q247" i="81" a="1"/>
  <c r="Q247" i="81" s="1"/>
  <c r="Q246" i="81" a="1"/>
  <c r="Q246" i="81" s="1"/>
  <c r="Q249" i="81" a="1"/>
  <c r="Q249" i="81" s="1"/>
  <c r="I54" i="91"/>
  <c r="F20" i="94" a="1"/>
  <c r="F20" i="94" s="1"/>
  <c r="J54" i="91"/>
  <c r="G20" i="94" a="1"/>
  <c r="I56" i="91"/>
  <c r="J56" i="91"/>
  <c r="U26" i="82"/>
  <c r="U47" i="82" s="1" a="1"/>
  <c r="U47" i="82" s="1"/>
  <c r="U24" i="83"/>
  <c r="U47" i="84"/>
  <c r="E305" i="119" a="1"/>
  <c r="E305" i="119" s="1"/>
  <c r="E25" i="95" a="1"/>
  <c r="H19" i="82"/>
  <c r="H40" i="82" s="1" a="1"/>
  <c r="H40" i="82" s="1"/>
  <c r="U46" i="84"/>
  <c r="U25" i="82"/>
  <c r="U46" i="82" s="1" a="1"/>
  <c r="U46" i="82" s="1"/>
  <c r="U22" i="82"/>
  <c r="U43" i="82" s="1" a="1"/>
  <c r="U43" i="82" s="1"/>
  <c r="U43" i="84"/>
  <c r="U23" i="83"/>
  <c r="U19" i="82"/>
  <c r="U40" i="82" s="1" a="1"/>
  <c r="U40" i="82" s="1"/>
  <c r="U40" i="84"/>
  <c r="U24" i="82"/>
  <c r="U45" i="82" s="1" a="1"/>
  <c r="U45" i="82" s="1"/>
  <c r="U45" i="84"/>
  <c r="U21" i="82"/>
  <c r="U42" i="82" s="1" a="1"/>
  <c r="U42" i="82" s="1"/>
  <c r="U42" i="84"/>
  <c r="I55" i="91"/>
  <c r="J55" i="91"/>
  <c r="U20" i="82"/>
  <c r="U41" i="82" s="1" a="1"/>
  <c r="U41" i="82" s="1"/>
  <c r="U41" i="84"/>
  <c r="J44" i="84"/>
  <c r="J23" i="82"/>
  <c r="J44" i="82" s="1" a="1"/>
  <c r="J44" i="82" s="1"/>
  <c r="J20" i="82"/>
  <c r="J41" i="82" s="1" a="1"/>
  <c r="J41" i="82" s="1"/>
  <c r="J41" i="84"/>
  <c r="H111" i="84" a="1"/>
  <c r="H111" i="84" s="1"/>
  <c r="H144" i="84" a="1"/>
  <c r="H144" i="84" s="1"/>
  <c r="H81" i="84" a="1"/>
  <c r="H81" i="84" s="1"/>
  <c r="G20" i="82"/>
  <c r="G41" i="82" s="1" a="1"/>
  <c r="G41" i="82" s="1"/>
  <c r="G41" i="84"/>
  <c r="I143" i="84" a="1"/>
  <c r="I143" i="84" s="1"/>
  <c r="I110" i="84" a="1"/>
  <c r="I110" i="84" s="1"/>
  <c r="I80" i="84" a="1"/>
  <c r="I80" i="84" s="1"/>
  <c r="G23" i="82"/>
  <c r="G44" i="82" s="1" a="1"/>
  <c r="G44" i="82" s="1"/>
  <c r="G44" i="84"/>
  <c r="G26" i="82"/>
  <c r="G47" i="82" s="1" a="1"/>
  <c r="G47" i="82" s="1"/>
  <c r="G24" i="83"/>
  <c r="G47" i="84"/>
  <c r="G21" i="82"/>
  <c r="G42" i="82" s="1" a="1"/>
  <c r="G42" i="82" s="1"/>
  <c r="G42" i="84"/>
  <c r="J43" i="84"/>
  <c r="J22" i="82"/>
  <c r="J43" i="82" s="1" a="1"/>
  <c r="J43" i="82" s="1"/>
  <c r="J23" i="83"/>
  <c r="G22" i="82"/>
  <c r="G43" i="82" s="1" a="1"/>
  <c r="G43" i="82" s="1"/>
  <c r="G43" i="84"/>
  <c r="G23" i="83"/>
  <c r="G45" i="84"/>
  <c r="G24" i="82"/>
  <c r="G45" i="82" s="1" a="1"/>
  <c r="G45" i="82" s="1"/>
  <c r="J23" i="87"/>
  <c r="J19" i="86"/>
  <c r="J24" i="86" s="1" a="1"/>
  <c r="J24" i="86" s="1"/>
  <c r="I76" i="84" a="1"/>
  <c r="I76" i="84" s="1"/>
  <c r="I106" i="84" a="1"/>
  <c r="I106" i="84" s="1"/>
  <c r="I139" i="84" a="1"/>
  <c r="I139" i="84" s="1"/>
  <c r="I145" i="84" a="1"/>
  <c r="I145" i="84" s="1"/>
  <c r="I112" i="84" a="1"/>
  <c r="I112" i="84" s="1"/>
  <c r="I82" i="84" a="1"/>
  <c r="I82" i="84" s="1"/>
  <c r="J40" i="84"/>
  <c r="J19" i="82"/>
  <c r="J40" i="82" s="1" a="1"/>
  <c r="J40" i="82" s="1"/>
  <c r="G19" i="82"/>
  <c r="G40" i="82" s="1" a="1"/>
  <c r="G40" i="82" s="1"/>
  <c r="G40" i="84"/>
  <c r="J21" i="82"/>
  <c r="J42" i="82" s="1" a="1"/>
  <c r="J42" i="82" s="1"/>
  <c r="J42" i="84"/>
  <c r="G19" i="86"/>
  <c r="G24" i="86" s="1" a="1"/>
  <c r="G24" i="86" s="1"/>
  <c r="G23" i="87"/>
  <c r="I77" i="84" a="1"/>
  <c r="I77" i="84" s="1"/>
  <c r="I140" i="84" a="1"/>
  <c r="I140" i="84" s="1"/>
  <c r="I107" i="84" a="1"/>
  <c r="I107" i="84" s="1"/>
  <c r="H110" i="84" a="1"/>
  <c r="H110" i="84" s="1"/>
  <c r="H143" i="84" a="1"/>
  <c r="H143" i="84" s="1"/>
  <c r="H80" i="84" a="1"/>
  <c r="H80" i="84" s="1"/>
  <c r="J25" i="82"/>
  <c r="J46" i="82" s="1" a="1"/>
  <c r="J46" i="82" s="1"/>
  <c r="J46" i="84"/>
  <c r="H112" i="84" a="1"/>
  <c r="H112" i="84" s="1"/>
  <c r="H82" i="84" a="1"/>
  <c r="H82" i="84" s="1"/>
  <c r="H145" i="84" a="1"/>
  <c r="H145" i="84" s="1"/>
  <c r="H78" i="84" a="1"/>
  <c r="H78" i="84" s="1"/>
  <c r="H108" i="84" a="1"/>
  <c r="H108" i="84" s="1"/>
  <c r="H141" i="84" a="1"/>
  <c r="H141" i="84" s="1"/>
  <c r="H106" i="84" a="1"/>
  <c r="H106" i="84" s="1"/>
  <c r="H139" i="84" a="1"/>
  <c r="H139" i="84" s="1"/>
  <c r="H76" i="84" a="1"/>
  <c r="H76" i="84" s="1"/>
  <c r="G46" i="84"/>
  <c r="G25" i="82"/>
  <c r="G46" i="82" s="1" a="1"/>
  <c r="G46" i="82" s="1"/>
  <c r="I144" i="84" a="1"/>
  <c r="I144" i="84" s="1"/>
  <c r="I81" i="84" a="1"/>
  <c r="I81" i="84" s="1"/>
  <c r="I111" i="84" a="1"/>
  <c r="I111" i="84" s="1"/>
  <c r="J24" i="83"/>
  <c r="J47" i="84"/>
  <c r="J26" i="82"/>
  <c r="J47" i="82" s="1" a="1"/>
  <c r="J47" i="82" s="1"/>
  <c r="H140" i="84" a="1"/>
  <c r="H140" i="84" s="1"/>
  <c r="H107" i="84" a="1"/>
  <c r="H107" i="84" s="1"/>
  <c r="H77" i="84" a="1"/>
  <c r="H77" i="84" s="1"/>
  <c r="I78" i="84" a="1"/>
  <c r="I78" i="84" s="1"/>
  <c r="I141" i="84" a="1"/>
  <c r="I141" i="84" s="1"/>
  <c r="I108" i="84" a="1"/>
  <c r="I108" i="84" s="1"/>
  <c r="J45" i="84"/>
  <c r="J24" i="82"/>
  <c r="J45" i="82" s="1" a="1"/>
  <c r="J45" i="82" s="1"/>
  <c r="Q76" i="84" a="1"/>
  <c r="Q76" i="84" s="1"/>
  <c r="Q106" i="84" a="1"/>
  <c r="Q106" i="84" s="1"/>
  <c r="Q139" i="84" a="1"/>
  <c r="Q139" i="84" s="1"/>
  <c r="Q80" i="84" a="1"/>
  <c r="Q80" i="84" s="1"/>
  <c r="Q143" i="84" a="1"/>
  <c r="Q143" i="84" s="1"/>
  <c r="Q110" i="84" a="1"/>
  <c r="Q110" i="84" s="1"/>
  <c r="Q140" i="84" a="1"/>
  <c r="Q140" i="84" s="1"/>
  <c r="Q77" i="84" a="1"/>
  <c r="Q77" i="84" s="1"/>
  <c r="Q107" i="84" a="1"/>
  <c r="Q107" i="84" s="1"/>
  <c r="F40" i="84"/>
  <c r="F19" i="82"/>
  <c r="F40" i="82" s="1" a="1"/>
  <c r="F40" i="82" s="1"/>
  <c r="Q145" i="84" a="1"/>
  <c r="Q145" i="84" s="1"/>
  <c r="Q82" i="84" a="1"/>
  <c r="Q82" i="84" s="1"/>
  <c r="Q112" i="84" a="1"/>
  <c r="Q112" i="84" s="1"/>
  <c r="Q108" i="84" a="1"/>
  <c r="Q108" i="84" s="1"/>
  <c r="Q141" i="84" a="1"/>
  <c r="Q141" i="84" s="1"/>
  <c r="Q78" i="84" a="1"/>
  <c r="Q78" i="84" s="1"/>
  <c r="F42" i="84"/>
  <c r="F21" i="82"/>
  <c r="F42" i="82" s="1" a="1"/>
  <c r="F42" i="82" s="1"/>
  <c r="F24" i="83"/>
  <c r="F47" i="84"/>
  <c r="F26" i="82"/>
  <c r="F47" i="82" s="1" a="1"/>
  <c r="F47" i="82" s="1"/>
  <c r="F41" i="84"/>
  <c r="F20" i="82"/>
  <c r="F41" i="82" s="1" a="1"/>
  <c r="F41" i="82" s="1"/>
  <c r="F23" i="83"/>
  <c r="F43" i="84"/>
  <c r="F22" i="82"/>
  <c r="F43" i="82" s="1" a="1"/>
  <c r="F43" i="82" s="1"/>
  <c r="F45" i="84"/>
  <c r="F24" i="82"/>
  <c r="F45" i="82" s="1" a="1"/>
  <c r="F45" i="82" s="1"/>
  <c r="F19" i="86"/>
  <c r="F24" i="86" s="1" a="1"/>
  <c r="F24" i="86" s="1"/>
  <c r="F23" i="87"/>
  <c r="Q144" i="84" a="1"/>
  <c r="Q144" i="84" s="1"/>
  <c r="Q81" i="84" a="1"/>
  <c r="Q81" i="84" s="1"/>
  <c r="Q111" i="84" a="1"/>
  <c r="Q111" i="84" s="1"/>
  <c r="F70" i="13"/>
  <c r="G69" i="13"/>
  <c r="G71" i="13"/>
  <c r="G67" i="13"/>
  <c r="F79" i="13"/>
  <c r="F80" i="13"/>
  <c r="E29" i="13" a="1"/>
  <c r="E29" i="13" s="1"/>
  <c r="H29" i="13" s="1"/>
  <c r="E28" i="13" a="1"/>
  <c r="E28" i="13" s="1"/>
  <c r="E27" i="13" a="1"/>
  <c r="E27" i="13" s="1"/>
  <c r="F27" i="13" s="1"/>
  <c r="E26" i="13" a="1"/>
  <c r="E26" i="13" s="1"/>
  <c r="H26" i="13" s="1"/>
  <c r="E25" i="13" a="1"/>
  <c r="E25" i="13" s="1"/>
  <c r="F25" i="13" s="1"/>
  <c r="E24" i="13" a="1"/>
  <c r="E24" i="13" s="1"/>
  <c r="E23" i="13" a="1"/>
  <c r="E23" i="13" s="1"/>
  <c r="H23" i="13" s="1"/>
  <c r="D40" i="13" a="1"/>
  <c r="D51" i="13" a="1"/>
  <c r="F81" i="13"/>
  <c r="D36" i="13" a="1"/>
  <c r="D36"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8"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222"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I223" i="80" s="1"/>
  <c r="D7" i="74" a="1"/>
  <c r="D7" i="74" s="1"/>
  <c r="D5" i="74" a="1"/>
  <c r="D5" i="74" s="1"/>
  <c r="E20" i="72"/>
  <c r="W57" i="92" l="1"/>
  <c r="W56" i="92"/>
  <c r="R24" i="83"/>
  <c r="R47" i="84"/>
  <c r="R26" i="82"/>
  <c r="R47" i="82" s="1" a="1"/>
  <c r="R47" i="82" s="1"/>
  <c r="U77" i="84" a="1"/>
  <c r="U77" i="84" s="1"/>
  <c r="U107" i="84" a="1"/>
  <c r="U107" i="84" s="1"/>
  <c r="U140" i="84" a="1"/>
  <c r="U140" i="84" s="1"/>
  <c r="G20" i="94"/>
  <c r="I20" i="94" s="1" a="1"/>
  <c r="I20" i="94" s="1"/>
  <c r="I22" i="94" a="1"/>
  <c r="I22" i="94" s="1"/>
  <c r="I21" i="94" a="1"/>
  <c r="I21" i="94" s="1"/>
  <c r="E231" i="80" a="1"/>
  <c r="E231" i="80" s="1"/>
  <c r="E228" i="80" a="1"/>
  <c r="E228" i="80" s="1"/>
  <c r="E229" i="80" a="1"/>
  <c r="E229" i="80" s="1"/>
  <c r="E230" i="80" a="1"/>
  <c r="E230" i="80" s="1"/>
  <c r="P228" i="80" a="1"/>
  <c r="P228" i="80" s="1"/>
  <c r="E232" i="80" a="1"/>
  <c r="E232" i="80" s="1"/>
  <c r="G8" i="88"/>
  <c r="I49" i="120"/>
  <c r="I62" i="82"/>
  <c r="I39" i="86"/>
  <c r="D170" i="74"/>
  <c r="J37" i="111"/>
  <c r="I125" i="96"/>
  <c r="U144" i="84" a="1"/>
  <c r="U144" i="84" s="1"/>
  <c r="U81" i="84" a="1"/>
  <c r="U81" i="84" s="1"/>
  <c r="U111" i="84" a="1"/>
  <c r="U111" i="84" s="1"/>
  <c r="U82" i="84" a="1"/>
  <c r="U82" i="84" s="1"/>
  <c r="U112" i="84" a="1"/>
  <c r="U112" i="84" s="1"/>
  <c r="U145" i="84" a="1"/>
  <c r="U145" i="84" s="1"/>
  <c r="P55" i="92"/>
  <c r="U59" i="92"/>
  <c r="Q57" i="92"/>
  <c r="Q56" i="92"/>
  <c r="Q59" i="92"/>
  <c r="Q58" i="92"/>
  <c r="U57" i="92"/>
  <c r="U58" i="92"/>
  <c r="U56" i="92"/>
  <c r="R25" i="82"/>
  <c r="R46" i="82" s="1" a="1"/>
  <c r="R46" i="82" s="1"/>
  <c r="R46" i="84"/>
  <c r="J238" i="119" a="1"/>
  <c r="J238" i="119" s="1"/>
  <c r="J245" i="119" a="1"/>
  <c r="J245" i="119" s="1"/>
  <c r="J244" i="119" a="1"/>
  <c r="J244" i="119" s="1"/>
  <c r="J240" i="119" a="1"/>
  <c r="J240" i="119" s="1"/>
  <c r="J242" i="119" a="1"/>
  <c r="J242" i="119" s="1"/>
  <c r="J239" i="119" a="1"/>
  <c r="J239" i="119" s="1"/>
  <c r="J241" i="119" a="1"/>
  <c r="J241" i="119" s="1"/>
  <c r="J246" i="119" a="1"/>
  <c r="J246" i="119" s="1"/>
  <c r="J243" i="119" a="1"/>
  <c r="J243" i="119" s="1"/>
  <c r="E237" i="119"/>
  <c r="H245" i="119" a="1"/>
  <c r="H245" i="119" s="1"/>
  <c r="K241" i="119" a="1"/>
  <c r="K241" i="119" s="1"/>
  <c r="K240" i="119" a="1"/>
  <c r="K240" i="119" s="1"/>
  <c r="K238" i="119" a="1"/>
  <c r="K238" i="119" s="1"/>
  <c r="K242" i="119" a="1"/>
  <c r="K242" i="119" s="1"/>
  <c r="K245" i="119" a="1"/>
  <c r="K245" i="119" s="1"/>
  <c r="H241" i="119" a="1"/>
  <c r="H241" i="119" s="1"/>
  <c r="H243" i="119" a="1"/>
  <c r="H243" i="119" s="1"/>
  <c r="K246" i="119" a="1"/>
  <c r="K246" i="119" s="1"/>
  <c r="H240" i="119" a="1"/>
  <c r="H240" i="119" s="1"/>
  <c r="H244" i="119" a="1"/>
  <c r="H244" i="119" s="1"/>
  <c r="H246" i="119" a="1"/>
  <c r="H246" i="119" s="1"/>
  <c r="K244" i="119" a="1"/>
  <c r="K244" i="119" s="1"/>
  <c r="H242" i="119" a="1"/>
  <c r="H242" i="119" s="1"/>
  <c r="H239" i="119" a="1"/>
  <c r="H239" i="119" s="1"/>
  <c r="H238" i="119" a="1"/>
  <c r="H238" i="119" s="1"/>
  <c r="K243" i="119" a="1"/>
  <c r="K243" i="119" s="1"/>
  <c r="K239" i="119" a="1"/>
  <c r="K239" i="119" s="1"/>
  <c r="G242" i="119" a="1"/>
  <c r="G242" i="119" s="1"/>
  <c r="G244" i="119" a="1"/>
  <c r="G244" i="119" s="1"/>
  <c r="G239" i="119" a="1"/>
  <c r="G239" i="119" s="1"/>
  <c r="G246" i="119" a="1"/>
  <c r="G246" i="119" s="1"/>
  <c r="G243" i="119" a="1"/>
  <c r="G243" i="119" s="1"/>
  <c r="G245" i="119" a="1"/>
  <c r="G245" i="119" s="1"/>
  <c r="G238" i="119" a="1"/>
  <c r="G238" i="119" s="1"/>
  <c r="G240" i="119" a="1"/>
  <c r="G240" i="119" s="1"/>
  <c r="G241" i="119" a="1"/>
  <c r="G241" i="119" s="1"/>
  <c r="P230" i="80"/>
  <c r="P229" i="80"/>
  <c r="P231" i="80"/>
  <c r="P232" i="80"/>
  <c r="D4" i="13"/>
  <c r="D28" i="89"/>
  <c r="D28" i="79"/>
  <c r="D10" i="89"/>
  <c r="D25" i="89"/>
  <c r="D25" i="79"/>
  <c r="E30" i="99"/>
  <c r="D24" i="89"/>
  <c r="D24" i="79"/>
  <c r="D10" i="79"/>
  <c r="D29" i="89"/>
  <c r="D29" i="79"/>
  <c r="U108" i="84" a="1"/>
  <c r="U108" i="84" s="1"/>
  <c r="U141" i="84" a="1"/>
  <c r="U141" i="84" s="1"/>
  <c r="U78" i="84" a="1"/>
  <c r="U78" i="84" s="1"/>
  <c r="E25" i="95"/>
  <c r="R43" i="84"/>
  <c r="R22" i="82"/>
  <c r="R43" i="82" s="1" a="1"/>
  <c r="R43" i="82" s="1"/>
  <c r="R23" i="83"/>
  <c r="E24" i="93" a="1"/>
  <c r="E24" i="93" s="1"/>
  <c r="G24" i="93" s="1" a="1"/>
  <c r="G24" i="93" s="1"/>
  <c r="E26" i="93" a="1"/>
  <c r="E26" i="93" s="1"/>
  <c r="G26" i="93" s="1" a="1"/>
  <c r="G26" i="93" s="1"/>
  <c r="E221" i="119" a="1"/>
  <c r="E32" i="92" a="1"/>
  <c r="E32" i="92" s="1"/>
  <c r="G32" i="92" s="1" a="1"/>
  <c r="G32" i="92" s="1"/>
  <c r="E19" i="93" a="1"/>
  <c r="E19" i="93" s="1"/>
  <c r="G19" i="93" s="1" a="1"/>
  <c r="G19" i="93" s="1"/>
  <c r="E20" i="92" a="1"/>
  <c r="E20" i="92" s="1"/>
  <c r="G20" i="92" s="1" a="1"/>
  <c r="G20" i="92" s="1"/>
  <c r="E37" i="93" a="1"/>
  <c r="E37" i="93" s="1"/>
  <c r="G37" i="93" s="1" a="1"/>
  <c r="G37" i="93" s="1"/>
  <c r="E32" i="93" a="1"/>
  <c r="E32" i="93" s="1"/>
  <c r="G32" i="93" s="1" a="1"/>
  <c r="G32" i="93" s="1"/>
  <c r="E34" i="92" a="1"/>
  <c r="E34" i="92" s="1"/>
  <c r="G34" i="92" s="1" a="1"/>
  <c r="G34" i="92" s="1"/>
  <c r="E25" i="92" a="1"/>
  <c r="E25" i="92" s="1"/>
  <c r="G25" i="92" s="1" a="1"/>
  <c r="G25" i="92" s="1"/>
  <c r="E36" i="92" a="1"/>
  <c r="E36" i="92" s="1"/>
  <c r="G36" i="92" s="1" a="1"/>
  <c r="G36" i="92" s="1"/>
  <c r="E27" i="92" a="1"/>
  <c r="E27" i="92" s="1"/>
  <c r="G27" i="92" s="1" a="1"/>
  <c r="G27" i="92" s="1"/>
  <c r="E35" i="93" a="1"/>
  <c r="E35" i="93" s="1"/>
  <c r="G35" i="93" s="1" a="1"/>
  <c r="G35" i="93" s="1"/>
  <c r="E29" i="92" a="1"/>
  <c r="E29" i="92" s="1"/>
  <c r="G29" i="92" s="1" a="1"/>
  <c r="G29" i="92" s="1"/>
  <c r="E30" i="93" a="1"/>
  <c r="E30" i="93" s="1"/>
  <c r="G30" i="93" s="1" a="1"/>
  <c r="G30" i="93" s="1"/>
  <c r="E31" i="92" a="1"/>
  <c r="E31" i="92" s="1"/>
  <c r="G31" i="92" s="1" a="1"/>
  <c r="G31" i="92" s="1"/>
  <c r="E25" i="93" a="1"/>
  <c r="E25" i="93" s="1"/>
  <c r="G25" i="93" s="1" a="1"/>
  <c r="G25" i="93" s="1"/>
  <c r="E28" i="93" a="1"/>
  <c r="E28" i="93" s="1"/>
  <c r="G28" i="93" s="1" a="1"/>
  <c r="G28" i="93" s="1"/>
  <c r="E23" i="93" a="1"/>
  <c r="E23" i="93" s="1"/>
  <c r="G23" i="93" s="1" a="1"/>
  <c r="G23" i="93" s="1"/>
  <c r="E24" i="92" a="1"/>
  <c r="E24" i="92" s="1"/>
  <c r="G24" i="92" s="1" a="1"/>
  <c r="G24" i="92" s="1"/>
  <c r="E30" i="92" a="1"/>
  <c r="E30" i="92" s="1"/>
  <c r="G30" i="92" s="1" a="1"/>
  <c r="G30" i="92" s="1"/>
  <c r="E34" i="93" a="1"/>
  <c r="E34" i="93" s="1"/>
  <c r="G34" i="93" s="1" a="1"/>
  <c r="G34" i="93" s="1"/>
  <c r="E22" i="92" a="1"/>
  <c r="E22" i="92" s="1"/>
  <c r="G22" i="92" s="1" a="1"/>
  <c r="G22" i="92" s="1"/>
  <c r="E33" i="92" a="1"/>
  <c r="E33" i="92" s="1"/>
  <c r="G33" i="92" s="1" a="1"/>
  <c r="G33" i="92" s="1"/>
  <c r="E27" i="93" a="1"/>
  <c r="E27" i="93" s="1"/>
  <c r="G27" i="93" s="1" a="1"/>
  <c r="G27" i="93" s="1"/>
  <c r="E35" i="92" a="1"/>
  <c r="E35" i="92" s="1"/>
  <c r="G35" i="92" s="1" a="1"/>
  <c r="G35" i="92" s="1"/>
  <c r="E26" i="92" a="1"/>
  <c r="E26" i="92" s="1"/>
  <c r="G26" i="92" s="1" a="1"/>
  <c r="G26" i="92" s="1"/>
  <c r="E20" i="93" a="1"/>
  <c r="E20" i="93" s="1"/>
  <c r="G20" i="93" s="1" a="1"/>
  <c r="G20" i="93" s="1"/>
  <c r="E36" i="93" a="1"/>
  <c r="E36" i="93" s="1"/>
  <c r="G36" i="93" s="1" a="1"/>
  <c r="G36" i="93" s="1"/>
  <c r="E28" i="92" a="1"/>
  <c r="E28" i="92" s="1"/>
  <c r="G28" i="92" s="1" a="1"/>
  <c r="G28" i="92" s="1"/>
  <c r="E19" i="92" a="1"/>
  <c r="E19" i="92" s="1"/>
  <c r="G19" i="92" s="1" a="1"/>
  <c r="G19" i="92" s="1"/>
  <c r="E37" i="92" a="1"/>
  <c r="E37" i="92" s="1"/>
  <c r="G37" i="92" s="1" a="1"/>
  <c r="G37" i="92" s="1"/>
  <c r="E23" i="92" a="1"/>
  <c r="E23" i="92" s="1"/>
  <c r="G23" i="92" s="1" a="1"/>
  <c r="G23" i="92" s="1"/>
  <c r="E31" i="93" a="1"/>
  <c r="E31" i="93" s="1"/>
  <c r="G31" i="93" s="1" a="1"/>
  <c r="G31" i="93" s="1"/>
  <c r="E33" i="93" a="1"/>
  <c r="E33" i="93" s="1"/>
  <c r="G33" i="93" s="1" a="1"/>
  <c r="G33" i="93" s="1"/>
  <c r="E22" i="93" a="1"/>
  <c r="E22" i="93" s="1"/>
  <c r="G22" i="93" s="1" a="1"/>
  <c r="G22" i="93" s="1"/>
  <c r="E21" i="93" a="1"/>
  <c r="E21" i="93" s="1"/>
  <c r="G21" i="93" s="1" a="1"/>
  <c r="G21" i="93" s="1"/>
  <c r="E21" i="92" a="1"/>
  <c r="E21" i="92" s="1"/>
  <c r="G21" i="92" s="1" a="1"/>
  <c r="G21" i="92" s="1"/>
  <c r="E29" i="93" a="1"/>
  <c r="E29" i="93" s="1"/>
  <c r="G29" i="93" s="1" a="1"/>
  <c r="G29" i="93" s="1"/>
  <c r="D164" i="74"/>
  <c r="J15" i="111"/>
  <c r="F46" i="84"/>
  <c r="U139" i="84" a="1"/>
  <c r="U139" i="84" s="1"/>
  <c r="U76" i="84" a="1"/>
  <c r="U76" i="84" s="1"/>
  <c r="U106" i="84" a="1"/>
  <c r="U106" i="84" s="1"/>
  <c r="H305" i="119" a="1"/>
  <c r="H305" i="119" s="1"/>
  <c r="G305" i="119" a="1"/>
  <c r="G305" i="119" s="1"/>
  <c r="F305" i="119" a="1"/>
  <c r="R23" i="82"/>
  <c r="R44" i="82" s="1" a="1"/>
  <c r="R44" i="82" s="1"/>
  <c r="R44" i="84"/>
  <c r="P45" i="92"/>
  <c r="U48" i="92"/>
  <c r="U49" i="92"/>
  <c r="U46" i="92"/>
  <c r="Q47" i="92"/>
  <c r="Q49" i="92"/>
  <c r="Q48" i="92"/>
  <c r="Q46" i="92"/>
  <c r="U47" i="92"/>
  <c r="S79" i="92"/>
  <c r="I51" i="92"/>
  <c r="J45" i="87"/>
  <c r="I264" i="81"/>
  <c r="J45" i="85"/>
  <c r="J35" i="110"/>
  <c r="I44" i="83"/>
  <c r="R41" i="84"/>
  <c r="R20" i="82"/>
  <c r="R41" i="82" s="1" a="1"/>
  <c r="R41" i="82" s="1"/>
  <c r="H25" i="111"/>
  <c r="I56" i="97"/>
  <c r="I14" i="97"/>
  <c r="I14" i="87"/>
  <c r="H28" i="87" s="1" a="1"/>
  <c r="H28" i="87" s="1"/>
  <c r="I68" i="120"/>
  <c r="J14" i="83"/>
  <c r="F29" i="83" s="1" a="1"/>
  <c r="F29" i="83" s="1"/>
  <c r="F30" i="83" a="1"/>
  <c r="F30" i="83" s="1"/>
  <c r="W45" i="92"/>
  <c r="R40" i="84"/>
  <c r="R19" i="82"/>
  <c r="R40" i="82" s="1" a="1"/>
  <c r="R40" i="82" s="1"/>
  <c r="G48" i="86"/>
  <c r="R71" i="82"/>
  <c r="G71" i="82"/>
  <c r="O576" i="119"/>
  <c r="G82" i="96"/>
  <c r="G576" i="119"/>
  <c r="Q51" i="111"/>
  <c r="Q290" i="81"/>
  <c r="G51" i="111"/>
  <c r="G149" i="96"/>
  <c r="R50" i="87"/>
  <c r="R56" i="85"/>
  <c r="G290" i="81"/>
  <c r="G50" i="87"/>
  <c r="G56" i="85"/>
  <c r="Q43" i="110"/>
  <c r="R303" i="80"/>
  <c r="P185" i="90"/>
  <c r="N187" i="90" s="1" a="1"/>
  <c r="N187" i="90" s="1"/>
  <c r="R55" i="83"/>
  <c r="G303" i="80"/>
  <c r="G53" i="94"/>
  <c r="P111" i="92"/>
  <c r="G185" i="90"/>
  <c r="E187" i="90" s="1" a="1"/>
  <c r="E187" i="90" s="1"/>
  <c r="G55" i="83"/>
  <c r="R48" i="86"/>
  <c r="G43" i="110"/>
  <c r="G97" i="97"/>
  <c r="G83" i="92"/>
  <c r="F23" i="82"/>
  <c r="F44" i="82" s="1" a="1"/>
  <c r="F44" i="82" s="1"/>
  <c r="E49" i="82" s="1"/>
  <c r="I61" i="82" s="1"/>
  <c r="W46" i="92"/>
  <c r="J50" i="96"/>
  <c r="R24" i="82"/>
  <c r="R45" i="82" s="1" a="1"/>
  <c r="R45" i="82" s="1"/>
  <c r="Q283" i="81" a="1"/>
  <c r="Q283" i="81" s="1"/>
  <c r="R45" i="84"/>
  <c r="U80" i="84" a="1"/>
  <c r="U80" i="84" s="1"/>
  <c r="U110" i="84" a="1"/>
  <c r="U110" i="84" s="1"/>
  <c r="U143" i="84" a="1"/>
  <c r="U143" i="84" s="1"/>
  <c r="W47" i="92"/>
  <c r="R19" i="86"/>
  <c r="R24" i="86" s="1" a="1"/>
  <c r="R24" i="86" s="1"/>
  <c r="P26" i="86" s="1"/>
  <c r="S38" i="86" s="1"/>
  <c r="R23" i="87"/>
  <c r="W55" i="92"/>
  <c r="I50" i="92"/>
  <c r="R21" i="82"/>
  <c r="R42" i="82" s="1" a="1"/>
  <c r="R42" i="82" s="1"/>
  <c r="R42" i="84"/>
  <c r="J145" i="84" a="1"/>
  <c r="J145" i="84" s="1"/>
  <c r="J82" i="84" a="1"/>
  <c r="J82" i="84" s="1"/>
  <c r="J112" i="84" a="1"/>
  <c r="J112" i="84" s="1"/>
  <c r="J81" i="84" a="1"/>
  <c r="J81" i="84" s="1"/>
  <c r="J111" i="84" a="1"/>
  <c r="J111" i="84" s="1"/>
  <c r="J144" i="84" a="1"/>
  <c r="J144" i="84" s="1"/>
  <c r="J108" i="84" a="1"/>
  <c r="J108" i="84" s="1"/>
  <c r="J78" i="84" a="1"/>
  <c r="J78" i="84" s="1"/>
  <c r="J141" i="84" a="1"/>
  <c r="J141" i="84" s="1"/>
  <c r="G110" i="84" a="1"/>
  <c r="G110" i="84" s="1"/>
  <c r="G80" i="84" a="1"/>
  <c r="G80" i="84" s="1"/>
  <c r="G143" i="84" a="1"/>
  <c r="G143" i="84" s="1"/>
  <c r="J77" i="84" a="1"/>
  <c r="J77" i="84" s="1"/>
  <c r="J107" i="84" a="1"/>
  <c r="J107" i="84" s="1"/>
  <c r="J140" i="84" a="1"/>
  <c r="J140" i="84" s="1"/>
  <c r="G106" i="84" a="1"/>
  <c r="G106" i="84" s="1"/>
  <c r="G139" i="84" a="1"/>
  <c r="G139" i="84" s="1"/>
  <c r="G76" i="84" a="1"/>
  <c r="G76" i="84" s="1"/>
  <c r="J143" i="84" a="1"/>
  <c r="J143" i="84" s="1"/>
  <c r="J80" i="84" a="1"/>
  <c r="J80" i="84" s="1"/>
  <c r="J110" i="84" a="1"/>
  <c r="J110" i="84" s="1"/>
  <c r="G78" i="84" a="1"/>
  <c r="G78" i="84" s="1"/>
  <c r="G141" i="84" a="1"/>
  <c r="G141" i="84" s="1"/>
  <c r="G108" i="84" a="1"/>
  <c r="G108" i="84" s="1"/>
  <c r="G82" i="84" a="1"/>
  <c r="G82" i="84" s="1"/>
  <c r="G112" i="84" a="1"/>
  <c r="G112" i="84" s="1"/>
  <c r="G145" i="84" a="1"/>
  <c r="G145" i="84" s="1"/>
  <c r="E26" i="86"/>
  <c r="I38" i="86" s="1"/>
  <c r="G111" i="84" a="1"/>
  <c r="G111" i="84" s="1"/>
  <c r="G81" i="84" a="1"/>
  <c r="G81" i="84" s="1"/>
  <c r="G144" i="84" a="1"/>
  <c r="G144" i="84" s="1"/>
  <c r="G107" i="84" a="1"/>
  <c r="G107" i="84" s="1"/>
  <c r="G77" i="84" a="1"/>
  <c r="G77" i="84" s="1"/>
  <c r="G140" i="84" a="1"/>
  <c r="G140" i="84" s="1"/>
  <c r="J76" i="84" a="1"/>
  <c r="J76" i="84" s="1"/>
  <c r="J106" i="84" a="1"/>
  <c r="J106" i="84" s="1"/>
  <c r="J139" i="84" a="1"/>
  <c r="J139" i="84" s="1"/>
  <c r="F140" i="84" a="1"/>
  <c r="F140" i="84" s="1"/>
  <c r="F77" i="84" a="1"/>
  <c r="F77" i="84" s="1"/>
  <c r="F107" i="84" a="1"/>
  <c r="F107" i="84" s="1"/>
  <c r="F106" i="84" a="1"/>
  <c r="F106" i="84" s="1"/>
  <c r="F139" i="84" a="1"/>
  <c r="F139" i="84" s="1"/>
  <c r="F76" i="84" a="1"/>
  <c r="F76" i="84" s="1"/>
  <c r="F141" i="84" a="1"/>
  <c r="F141" i="84" s="1"/>
  <c r="F108" i="84" a="1"/>
  <c r="F108" i="84" s="1"/>
  <c r="F78" i="84" a="1"/>
  <c r="F78" i="84" s="1"/>
  <c r="F111" i="84" a="1"/>
  <c r="F111" i="84" s="1"/>
  <c r="F81" i="84" a="1"/>
  <c r="F81" i="84" s="1"/>
  <c r="F144" i="84" a="1"/>
  <c r="F144" i="84" s="1"/>
  <c r="F50" i="83" a="1"/>
  <c r="F50" i="83" s="1"/>
  <c r="F59" i="84"/>
  <c r="F83" i="84" s="1" a="1"/>
  <c r="F83" i="84" s="1"/>
  <c r="F145" i="84" a="1"/>
  <c r="F145" i="84" s="1"/>
  <c r="F112" i="84" a="1"/>
  <c r="F112" i="84" s="1"/>
  <c r="F82" i="84" a="1"/>
  <c r="F82" i="84" s="1"/>
  <c r="F143" i="84" a="1"/>
  <c r="F143" i="84" s="1"/>
  <c r="F110" i="84" a="1"/>
  <c r="F110" i="84" s="1"/>
  <c r="F80" i="84" a="1"/>
  <c r="F80" i="84" s="1"/>
  <c r="E52" i="13"/>
  <c r="E53" i="13"/>
  <c r="D40" i="13"/>
  <c r="F42" i="13"/>
  <c r="E42" i="13"/>
  <c r="H7" i="13" a="1"/>
  <c r="H7" i="13" s="1"/>
  <c r="G68" i="13"/>
  <c r="H28" i="13" a="1"/>
  <c r="H28" i="13" s="1"/>
  <c r="E22" i="75"/>
  <c r="H24" i="13" a="1"/>
  <c r="H24" i="13" s="1"/>
  <c r="I7" i="13" a="1"/>
  <c r="I7" i="13" s="1"/>
  <c r="I25" i="13" a="1"/>
  <c r="I25" i="13" s="1"/>
  <c r="F23" i="13"/>
  <c r="I23" i="13" s="1"/>
  <c r="I27" i="13" a="1"/>
  <c r="I27" i="13" s="1"/>
  <c r="F29" i="13"/>
  <c r="I29" i="13" s="1"/>
  <c r="D51" i="13"/>
  <c r="E51" i="13" s="1"/>
  <c r="F24" i="13"/>
  <c r="I24" i="13" s="1" a="1"/>
  <c r="I24" i="13" s="1"/>
  <c r="G70" i="13"/>
  <c r="F72" i="13"/>
  <c r="F82" i="13" s="1"/>
  <c r="H27" i="13" a="1"/>
  <c r="H27" i="13" s="1"/>
  <c r="F26" i="13"/>
  <c r="I26" i="13" s="1"/>
  <c r="F28" i="13"/>
  <c r="I28" i="13" s="1" a="1"/>
  <c r="I28" i="13" s="1"/>
  <c r="H25" i="13" a="1"/>
  <c r="H25" i="13" s="1"/>
  <c r="E19" i="75"/>
  <c r="E20" i="75"/>
  <c r="E21" i="75" s="1"/>
  <c r="H54" i="74"/>
  <c r="H51" i="74"/>
  <c r="H49" i="74"/>
  <c r="G72" i="13"/>
  <c r="H53" i="74"/>
  <c r="H48" i="74"/>
  <c r="I20" i="95" s="1"/>
  <c r="H52" i="74"/>
  <c r="H50" i="74"/>
  <c r="J51" i="96" s="1"/>
  <c r="F49" i="83" l="1" a="1"/>
  <c r="F49" i="83" s="1"/>
  <c r="F55" i="84"/>
  <c r="F109" i="84" s="1" a="1"/>
  <c r="F109" i="84" s="1"/>
  <c r="H29" i="95" a="1"/>
  <c r="H29" i="95" s="1"/>
  <c r="H28" i="95" a="1"/>
  <c r="H28" i="95" s="1"/>
  <c r="H27" i="95" a="1"/>
  <c r="H27" i="95" s="1"/>
  <c r="H26" i="95" a="1"/>
  <c r="H26" i="95" s="1"/>
  <c r="S281" i="81" a="1"/>
  <c r="S281" i="81" s="1"/>
  <c r="S285" i="81" a="1"/>
  <c r="S285" i="81" s="1"/>
  <c r="S280" i="81" a="1"/>
  <c r="S280" i="81" s="1"/>
  <c r="S278" i="81" a="1"/>
  <c r="S278" i="81" s="1"/>
  <c r="R285" i="81" a="1"/>
  <c r="R285" i="81" s="1"/>
  <c r="R279" i="81" a="1"/>
  <c r="R279" i="81" s="1"/>
  <c r="R283" i="81" a="1"/>
  <c r="R283" i="81" s="1"/>
  <c r="S279" i="81" a="1"/>
  <c r="S279" i="81" s="1"/>
  <c r="S284" i="81" a="1"/>
  <c r="S284" i="81" s="1"/>
  <c r="S282" i="81" a="1"/>
  <c r="S282" i="81" s="1"/>
  <c r="R282" i="81" a="1"/>
  <c r="R282" i="81" s="1"/>
  <c r="R280" i="81" a="1"/>
  <c r="R280" i="81" s="1"/>
  <c r="R284" i="81" a="1"/>
  <c r="R284" i="81" s="1"/>
  <c r="R281" i="81" a="1"/>
  <c r="R281" i="81" s="1"/>
  <c r="S283" i="81" a="1"/>
  <c r="S283" i="81" s="1"/>
  <c r="R278" i="81" a="1"/>
  <c r="R278" i="81" s="1"/>
  <c r="P282" i="81" a="1"/>
  <c r="P282" i="81" s="1"/>
  <c r="I281" i="81" a="1"/>
  <c r="I281" i="81" s="1"/>
  <c r="I285" i="81" a="1"/>
  <c r="I285" i="81" s="1"/>
  <c r="I282" i="81" a="1"/>
  <c r="I282" i="81" s="1"/>
  <c r="H280" i="81" a="1"/>
  <c r="H280" i="81" s="1"/>
  <c r="P278" i="81" a="1"/>
  <c r="P278" i="81" s="1"/>
  <c r="P285" i="81" a="1"/>
  <c r="P285" i="81" s="1"/>
  <c r="H285" i="81" a="1"/>
  <c r="H285" i="81" s="1"/>
  <c r="H284" i="81" a="1"/>
  <c r="H284" i="81" s="1"/>
  <c r="P279" i="81" a="1"/>
  <c r="P279" i="81" s="1"/>
  <c r="I279" i="81" a="1"/>
  <c r="I279" i="81" s="1"/>
  <c r="H283" i="81" a="1"/>
  <c r="H283" i="81" s="1"/>
  <c r="H279" i="81" a="1"/>
  <c r="H279" i="81" s="1"/>
  <c r="H282" i="81" a="1"/>
  <c r="H282" i="81" s="1"/>
  <c r="P284" i="81" a="1"/>
  <c r="P284" i="81" s="1"/>
  <c r="I284" i="81" a="1"/>
  <c r="I284" i="81" s="1"/>
  <c r="I278" i="81" a="1"/>
  <c r="I278" i="81" s="1"/>
  <c r="I283" i="81" a="1"/>
  <c r="I283" i="81" s="1"/>
  <c r="P283" i="81" a="1"/>
  <c r="P283" i="81" s="1"/>
  <c r="I280" i="81" a="1"/>
  <c r="I280" i="81" s="1"/>
  <c r="P281" i="81" a="1"/>
  <c r="P281" i="81" s="1"/>
  <c r="T281" i="81" a="1"/>
  <c r="T281" i="81" s="1"/>
  <c r="F280" i="81" a="1"/>
  <c r="F280" i="81" s="1"/>
  <c r="H278" i="81" a="1"/>
  <c r="H278" i="81" s="1"/>
  <c r="J283" i="81" a="1"/>
  <c r="J283" i="81" s="1"/>
  <c r="F278" i="81" a="1"/>
  <c r="F278" i="81" s="1"/>
  <c r="T285" i="81" a="1"/>
  <c r="T285" i="81" s="1"/>
  <c r="J279" i="81" a="1"/>
  <c r="J279" i="81" s="1"/>
  <c r="G282" i="81" a="1"/>
  <c r="G282" i="81" s="1"/>
  <c r="G281" i="81" a="1"/>
  <c r="G281" i="81" s="1"/>
  <c r="J284" i="81" a="1"/>
  <c r="J284" i="81" s="1"/>
  <c r="F285" i="81" a="1"/>
  <c r="F285" i="81" s="1"/>
  <c r="T282" i="81" a="1"/>
  <c r="T282" i="81" s="1"/>
  <c r="H281" i="81" a="1"/>
  <c r="H281" i="81" s="1"/>
  <c r="F283" i="81" a="1"/>
  <c r="F283" i="81" s="1"/>
  <c r="T278" i="81" a="1"/>
  <c r="T278" i="81" s="1"/>
  <c r="P280" i="81" a="1"/>
  <c r="P280" i="81" s="1"/>
  <c r="T280" i="81" a="1"/>
  <c r="T280" i="81" s="1"/>
  <c r="G285" i="81" a="1"/>
  <c r="G285" i="81" s="1"/>
  <c r="J278" i="81" a="1"/>
  <c r="J278" i="81" s="1"/>
  <c r="J285" i="81" a="1"/>
  <c r="J285" i="81" s="1"/>
  <c r="F279" i="81" a="1"/>
  <c r="F279" i="81" s="1"/>
  <c r="T283" i="81" a="1"/>
  <c r="T283" i="81" s="1"/>
  <c r="T284" i="81" a="1"/>
  <c r="T284" i="81" s="1"/>
  <c r="G280" i="81" a="1"/>
  <c r="G280" i="81" s="1"/>
  <c r="G283" i="81" a="1"/>
  <c r="G283" i="81" s="1"/>
  <c r="T279" i="81" a="1"/>
  <c r="T279" i="81" s="1"/>
  <c r="G279" i="81" a="1"/>
  <c r="G279" i="81" s="1"/>
  <c r="G278" i="81" a="1"/>
  <c r="G278" i="81" s="1"/>
  <c r="J280" i="81" a="1"/>
  <c r="J280" i="81" s="1"/>
  <c r="F281" i="81" a="1"/>
  <c r="F281" i="81" s="1"/>
  <c r="J282" i="81" a="1"/>
  <c r="J282" i="81" s="1"/>
  <c r="J281" i="81" a="1"/>
  <c r="J281" i="81" s="1"/>
  <c r="G284" i="81" a="1"/>
  <c r="G284" i="81" s="1"/>
  <c r="E62" i="92" a="1"/>
  <c r="E62" i="92" s="1"/>
  <c r="E25" i="97"/>
  <c r="F25" i="97" s="1" a="1"/>
  <c r="F25" i="97" s="1"/>
  <c r="E21" i="96"/>
  <c r="H21" i="96" s="1" a="1"/>
  <c r="H21" i="96" s="1"/>
  <c r="E61" i="96" s="1"/>
  <c r="F61" i="96" s="1" a="1"/>
  <c r="F61" i="96" s="1"/>
  <c r="E74" i="92" a="1"/>
  <c r="E74" i="92" s="1"/>
  <c r="E37" i="97"/>
  <c r="F37" i="97" s="1" a="1"/>
  <c r="F37" i="97" s="1"/>
  <c r="E33" i="96"/>
  <c r="H33" i="96" s="1" a="1"/>
  <c r="H33" i="96" s="1"/>
  <c r="E73" i="96" s="1"/>
  <c r="F73" i="96" s="1" a="1"/>
  <c r="F73" i="96" s="1"/>
  <c r="E66" i="92" a="1"/>
  <c r="E66" i="92" s="1"/>
  <c r="E25" i="96"/>
  <c r="H25" i="96" s="1" a="1"/>
  <c r="H25" i="96" s="1"/>
  <c r="E65" i="96" s="1"/>
  <c r="F65" i="96" s="1" a="1"/>
  <c r="F65" i="96" s="1"/>
  <c r="E29" i="97"/>
  <c r="F29" i="97" s="1" a="1"/>
  <c r="F29" i="97" s="1"/>
  <c r="J37" i="110"/>
  <c r="J34" i="110" s="1" a="1"/>
  <c r="J34" i="110" s="1"/>
  <c r="J17" i="120"/>
  <c r="J14" i="120" s="1"/>
  <c r="K48" i="94"/>
  <c r="K45" i="94" s="1"/>
  <c r="J46" i="85"/>
  <c r="J44" i="85" s="1"/>
  <c r="F72" i="97" a="1"/>
  <c r="F72" i="97" s="1"/>
  <c r="F69" i="97" a="1"/>
  <c r="F69" i="97" s="1"/>
  <c r="F73" i="97" a="1"/>
  <c r="F73" i="97" s="1"/>
  <c r="F71" i="97" a="1"/>
  <c r="F71" i="97" s="1"/>
  <c r="F70" i="97" a="1"/>
  <c r="F70" i="97" s="1"/>
  <c r="F75" i="97" a="1"/>
  <c r="F75" i="97" s="1"/>
  <c r="F74" i="97" a="1"/>
  <c r="F74" i="97" s="1"/>
  <c r="F68" i="97" a="1"/>
  <c r="F68" i="97" s="1"/>
  <c r="I129" i="96"/>
  <c r="I53" i="120"/>
  <c r="I66" i="82"/>
  <c r="J54" i="96"/>
  <c r="S84" i="92"/>
  <c r="S78" i="92" s="1" a="1"/>
  <c r="S78" i="92" s="1"/>
  <c r="I43" i="86"/>
  <c r="I55" i="92"/>
  <c r="I51" i="93"/>
  <c r="E73" i="93" s="1" a="1"/>
  <c r="E73" i="93" s="1"/>
  <c r="R110" i="84" a="1"/>
  <c r="R110" i="84" s="1"/>
  <c r="R143" i="84" a="1"/>
  <c r="R143" i="84" s="1"/>
  <c r="R80" i="84" a="1"/>
  <c r="R80" i="84" s="1"/>
  <c r="T30" i="83" a="1"/>
  <c r="T30" i="83" s="1"/>
  <c r="T29" i="83" a="1"/>
  <c r="T29" i="83" s="1"/>
  <c r="S29" i="83" a="1"/>
  <c r="S29" i="83" s="1"/>
  <c r="S30" i="83" a="1"/>
  <c r="S30" i="83" s="1"/>
  <c r="H30" i="83" a="1"/>
  <c r="H30" i="83" s="1"/>
  <c r="I30" i="83" a="1"/>
  <c r="I30" i="83" s="1"/>
  <c r="Q29" i="83" a="1"/>
  <c r="Q29" i="83" s="1"/>
  <c r="Q30" i="83" a="1"/>
  <c r="Q30" i="83" s="1"/>
  <c r="I29" i="83" a="1"/>
  <c r="I29" i="83" s="1"/>
  <c r="K46" i="94"/>
  <c r="I63" i="82"/>
  <c r="E68" i="82" s="1" a="1"/>
  <c r="E68" i="82" s="1"/>
  <c r="E60" i="93" a="1"/>
  <c r="E60" i="93" s="1"/>
  <c r="E22" i="96"/>
  <c r="H22" i="96" s="1" a="1"/>
  <c r="H22" i="96" s="1"/>
  <c r="E62" i="96" s="1"/>
  <c r="F62" i="96" s="1" a="1"/>
  <c r="F62" i="96" s="1"/>
  <c r="E63" i="92" a="1"/>
  <c r="E63" i="92" s="1"/>
  <c r="E26" i="97"/>
  <c r="F26" i="97" s="1" a="1"/>
  <c r="F26" i="97" s="1"/>
  <c r="E75" i="92" a="1"/>
  <c r="E75" i="92" s="1"/>
  <c r="E34" i="96"/>
  <c r="H34" i="96" s="1" a="1"/>
  <c r="H34" i="96" s="1"/>
  <c r="E74" i="96" s="1"/>
  <c r="F74" i="96" s="1" a="1"/>
  <c r="F74" i="96" s="1"/>
  <c r="E38" i="97"/>
  <c r="F38" i="97" s="1" a="1"/>
  <c r="F38" i="97" s="1"/>
  <c r="U28" i="87" a="1"/>
  <c r="U28" i="87" s="1"/>
  <c r="R78" i="84" a="1"/>
  <c r="R78" i="84" s="1"/>
  <c r="R108" i="84" a="1"/>
  <c r="R108" i="84" s="1"/>
  <c r="R141" i="84" a="1"/>
  <c r="R141" i="84" s="1"/>
  <c r="R144" i="84" a="1"/>
  <c r="R144" i="84" s="1"/>
  <c r="R111" i="84" a="1"/>
  <c r="R111" i="84" s="1"/>
  <c r="R81" i="84" a="1"/>
  <c r="R81" i="84" s="1"/>
  <c r="E74" i="120" a="1"/>
  <c r="E74" i="120" s="1"/>
  <c r="J86" i="120" s="1"/>
  <c r="E90" i="120" s="1" a="1"/>
  <c r="E90" i="120" s="1"/>
  <c r="J571" i="119" s="1"/>
  <c r="O74" i="120" a="1"/>
  <c r="O74" i="120" s="1"/>
  <c r="T86" i="120" s="1"/>
  <c r="Q282" i="81" a="1"/>
  <c r="Q282" i="81" s="1"/>
  <c r="E61" i="93" a="1"/>
  <c r="E61" i="93" s="1"/>
  <c r="H25" i="95" a="1"/>
  <c r="H25" i="95" s="1"/>
  <c r="Q55" i="92"/>
  <c r="U55" i="92"/>
  <c r="J92" i="97"/>
  <c r="F305" i="119"/>
  <c r="J314" i="119" a="1"/>
  <c r="J314" i="119" s="1"/>
  <c r="I307" i="119" a="1"/>
  <c r="I307" i="119" s="1"/>
  <c r="I313" i="119" a="1"/>
  <c r="I313" i="119" s="1"/>
  <c r="I311" i="119" a="1"/>
  <c r="I311" i="119" s="1"/>
  <c r="J309" i="119" a="1"/>
  <c r="J309" i="119" s="1"/>
  <c r="J306" i="119" a="1"/>
  <c r="J306" i="119" s="1"/>
  <c r="J313" i="119" a="1"/>
  <c r="J313" i="119" s="1"/>
  <c r="J308" i="119" a="1"/>
  <c r="J308" i="119" s="1"/>
  <c r="I308" i="119" a="1"/>
  <c r="I308" i="119" s="1"/>
  <c r="J311" i="119" a="1"/>
  <c r="J311" i="119" s="1"/>
  <c r="J312" i="119" a="1"/>
  <c r="J312" i="119" s="1"/>
  <c r="I314" i="119" a="1"/>
  <c r="I314" i="119" s="1"/>
  <c r="I309" i="119" a="1"/>
  <c r="I309" i="119" s="1"/>
  <c r="I306" i="119" a="1"/>
  <c r="I306" i="119" s="1"/>
  <c r="J310" i="119" a="1"/>
  <c r="J310" i="119" s="1"/>
  <c r="I310" i="119" a="1"/>
  <c r="I310" i="119" s="1"/>
  <c r="J307" i="119" a="1"/>
  <c r="J307" i="119" s="1"/>
  <c r="I312" i="119" a="1"/>
  <c r="I312" i="119" s="1"/>
  <c r="E71" i="92" a="1"/>
  <c r="E71" i="92" s="1"/>
  <c r="E30" i="96"/>
  <c r="H30" i="96" s="1" a="1"/>
  <c r="H30" i="96" s="1"/>
  <c r="E70" i="96" s="1"/>
  <c r="F70" i="96" s="1" a="1"/>
  <c r="F70" i="96" s="1"/>
  <c r="E34" i="97"/>
  <c r="F34" i="97" s="1" a="1"/>
  <c r="F34" i="97" s="1"/>
  <c r="H241" i="80" a="1"/>
  <c r="H241" i="80" s="1"/>
  <c r="H294" i="80" s="1" a="1"/>
  <c r="H294" i="80" s="1"/>
  <c r="J245" i="80" a="1"/>
  <c r="J245" i="80" s="1"/>
  <c r="J298" i="80" s="1" a="1"/>
  <c r="J298" i="80" s="1"/>
  <c r="I245" i="80" a="1"/>
  <c r="I245" i="80" s="1"/>
  <c r="I298" i="80" s="1" a="1"/>
  <c r="I298" i="80" s="1"/>
  <c r="J241" i="80" a="1"/>
  <c r="J241" i="80" s="1"/>
  <c r="J294" i="80" s="1" a="1"/>
  <c r="J294" i="80" s="1"/>
  <c r="G241" i="80" a="1"/>
  <c r="G241" i="80" s="1"/>
  <c r="G294" i="80" s="1" a="1"/>
  <c r="G294" i="80" s="1"/>
  <c r="G245" i="80" a="1"/>
  <c r="G245" i="80" s="1"/>
  <c r="G298" i="80" s="1" a="1"/>
  <c r="G298" i="80" s="1"/>
  <c r="H245" i="80" a="1"/>
  <c r="H245" i="80" s="1"/>
  <c r="H298" i="80" s="1" a="1"/>
  <c r="H298" i="80" s="1"/>
  <c r="I241" i="80" a="1"/>
  <c r="I241" i="80" s="1"/>
  <c r="I294" i="80" s="1" a="1"/>
  <c r="I294" i="80" s="1"/>
  <c r="F241" i="80" a="1"/>
  <c r="F241" i="80" s="1"/>
  <c r="F294" i="80" s="1" a="1"/>
  <c r="F294" i="80" s="1"/>
  <c r="F245" i="80" a="1"/>
  <c r="F245" i="80" s="1"/>
  <c r="F298" i="80" s="1" a="1"/>
  <c r="F298" i="80" s="1"/>
  <c r="Q280" i="81" a="1"/>
  <c r="Q280" i="81" s="1"/>
  <c r="J15" i="120"/>
  <c r="I40" i="86"/>
  <c r="E65" i="92" a="1"/>
  <c r="E65" i="92" s="1"/>
  <c r="E24" i="96"/>
  <c r="H24" i="96" s="1" a="1"/>
  <c r="H24" i="96" s="1"/>
  <c r="E64" i="96" s="1"/>
  <c r="F64" i="96" s="1" a="1"/>
  <c r="F64" i="96" s="1"/>
  <c r="E28" i="97"/>
  <c r="F28" i="97" s="1" a="1"/>
  <c r="F28" i="97" s="1"/>
  <c r="E61" i="92" a="1"/>
  <c r="E61" i="92" s="1"/>
  <c r="E24" i="97"/>
  <c r="F24" i="97" s="1" a="1"/>
  <c r="F24" i="97" s="1"/>
  <c r="E20" i="96"/>
  <c r="H20" i="96" s="1" a="1"/>
  <c r="H20" i="96" s="1"/>
  <c r="E60" i="96" s="1"/>
  <c r="F60" i="96" s="1" a="1"/>
  <c r="F60" i="96" s="1"/>
  <c r="R112" i="84" a="1"/>
  <c r="R112" i="84" s="1"/>
  <c r="R145" i="84" a="1"/>
  <c r="R145" i="84" s="1"/>
  <c r="R82" i="84" a="1"/>
  <c r="R82" i="84" s="1"/>
  <c r="S237" i="80" a="1"/>
  <c r="S237" i="80" s="1"/>
  <c r="S290" i="80" s="1" a="1"/>
  <c r="S290" i="80" s="1"/>
  <c r="T237" i="80" a="1"/>
  <c r="T237" i="80" s="1"/>
  <c r="T290" i="80" s="1" a="1"/>
  <c r="T290" i="80" s="1"/>
  <c r="Q237" i="80" a="1"/>
  <c r="Q237" i="80" s="1"/>
  <c r="Q290" i="80" s="1" a="1"/>
  <c r="Q290" i="80" s="1"/>
  <c r="U237" i="80" a="1"/>
  <c r="U237" i="80" s="1"/>
  <c r="U290" i="80" s="1" a="1"/>
  <c r="U290" i="80" s="1"/>
  <c r="R237" i="80" a="1"/>
  <c r="R237" i="80" s="1"/>
  <c r="R290" i="80" s="1" a="1"/>
  <c r="R290" i="80" s="1"/>
  <c r="T245" i="80" a="1"/>
  <c r="T245" i="80" s="1"/>
  <c r="T298" i="80" s="1" a="1"/>
  <c r="T298" i="80" s="1"/>
  <c r="S245" i="80" a="1"/>
  <c r="S245" i="80" s="1"/>
  <c r="S298" i="80" s="1" a="1"/>
  <c r="S298" i="80" s="1"/>
  <c r="Q245" i="80" a="1"/>
  <c r="Q245" i="80" s="1"/>
  <c r="Q298" i="80" s="1" a="1"/>
  <c r="Q298" i="80" s="1"/>
  <c r="S241" i="80" a="1"/>
  <c r="S241" i="80" s="1"/>
  <c r="S294" i="80" s="1" a="1"/>
  <c r="S294" i="80" s="1"/>
  <c r="T241" i="80" a="1"/>
  <c r="T241" i="80" s="1"/>
  <c r="T294" i="80" s="1" a="1"/>
  <c r="T294" i="80" s="1"/>
  <c r="Q241" i="80" a="1"/>
  <c r="Q241" i="80" s="1"/>
  <c r="Q294" i="80" s="1" a="1"/>
  <c r="Q294" i="80" s="1"/>
  <c r="R245" i="80" a="1"/>
  <c r="R245" i="80" s="1"/>
  <c r="R298" i="80" s="1" a="1"/>
  <c r="R298" i="80" s="1"/>
  <c r="R241" i="80" a="1"/>
  <c r="R241" i="80" s="1"/>
  <c r="R294" i="80" s="1" a="1"/>
  <c r="R294" i="80" s="1"/>
  <c r="U245" i="80" a="1"/>
  <c r="U245" i="80" s="1"/>
  <c r="U298" i="80" s="1" a="1"/>
  <c r="U298" i="80" s="1"/>
  <c r="U241" i="80" a="1"/>
  <c r="U241" i="80" s="1"/>
  <c r="U294" i="80" s="1" a="1"/>
  <c r="U294" i="80" s="1"/>
  <c r="Q284" i="81" a="1"/>
  <c r="Q284" i="81" s="1"/>
  <c r="G243" i="80" a="1"/>
  <c r="G243" i="80" s="1"/>
  <c r="G296" i="80" s="1" a="1"/>
  <c r="G296" i="80" s="1"/>
  <c r="I239" i="80" a="1"/>
  <c r="I239" i="80" s="1"/>
  <c r="I292" i="80" s="1" a="1"/>
  <c r="I292" i="80" s="1"/>
  <c r="H239" i="80" a="1"/>
  <c r="H239" i="80" s="1"/>
  <c r="H292" i="80" s="1" a="1"/>
  <c r="H292" i="80" s="1"/>
  <c r="G239" i="80" a="1"/>
  <c r="G239" i="80" s="1"/>
  <c r="G292" i="80" s="1" a="1"/>
  <c r="G292" i="80" s="1"/>
  <c r="J243" i="80" a="1"/>
  <c r="J243" i="80" s="1"/>
  <c r="J296" i="80" s="1" a="1"/>
  <c r="J296" i="80" s="1"/>
  <c r="J239" i="80" a="1"/>
  <c r="J239" i="80" s="1"/>
  <c r="J292" i="80" s="1" a="1"/>
  <c r="J292" i="80" s="1"/>
  <c r="H243" i="80" a="1"/>
  <c r="H243" i="80" s="1"/>
  <c r="H296" i="80" s="1" a="1"/>
  <c r="H296" i="80" s="1"/>
  <c r="I243" i="80" a="1"/>
  <c r="I243" i="80" s="1"/>
  <c r="I296" i="80" s="1" a="1"/>
  <c r="I296" i="80" s="1"/>
  <c r="F243" i="80" a="1"/>
  <c r="F243" i="80" s="1"/>
  <c r="F296" i="80" s="1" a="1"/>
  <c r="F296" i="80" s="1"/>
  <c r="F239" i="80" a="1"/>
  <c r="F239" i="80" s="1"/>
  <c r="F292" i="80" s="1" a="1"/>
  <c r="F292" i="80" s="1"/>
  <c r="E73" i="92" a="1"/>
  <c r="E73" i="92" s="1"/>
  <c r="E36" i="97"/>
  <c r="F36" i="97" s="1" a="1"/>
  <c r="F36" i="97" s="1"/>
  <c r="E32" i="96"/>
  <c r="H32" i="96" s="1" a="1"/>
  <c r="H32" i="96" s="1"/>
  <c r="E72" i="96" s="1"/>
  <c r="F72" i="96" s="1" a="1"/>
  <c r="F72" i="96" s="1"/>
  <c r="F284" i="81" a="1"/>
  <c r="F284" i="81" s="1"/>
  <c r="Q240" i="80" a="1"/>
  <c r="Q240" i="80" s="1"/>
  <c r="Q293" i="80" s="1" a="1"/>
  <c r="Q293" i="80" s="1"/>
  <c r="T240" i="80" a="1"/>
  <c r="T240" i="80" s="1"/>
  <c r="T293" i="80" s="1" a="1"/>
  <c r="T293" i="80" s="1"/>
  <c r="S240" i="80" a="1"/>
  <c r="S240" i="80" s="1"/>
  <c r="S293" i="80" s="1" a="1"/>
  <c r="S293" i="80" s="1"/>
  <c r="S244" i="80" a="1"/>
  <c r="S244" i="80" s="1"/>
  <c r="S297" i="80" s="1" a="1"/>
  <c r="S297" i="80" s="1"/>
  <c r="T244" i="80" a="1"/>
  <c r="T244" i="80" s="1"/>
  <c r="T297" i="80" s="1" a="1"/>
  <c r="T297" i="80" s="1"/>
  <c r="Q244" i="80" a="1"/>
  <c r="Q244" i="80" s="1"/>
  <c r="Q297" i="80" s="1" a="1"/>
  <c r="Q297" i="80" s="1"/>
  <c r="R240" i="80" a="1"/>
  <c r="R240" i="80" s="1"/>
  <c r="R293" i="80" s="1" a="1"/>
  <c r="R293" i="80" s="1"/>
  <c r="U244" i="80" a="1"/>
  <c r="U244" i="80" s="1"/>
  <c r="U297" i="80" s="1" a="1"/>
  <c r="U297" i="80" s="1"/>
  <c r="U240" i="80" a="1"/>
  <c r="U240" i="80" s="1"/>
  <c r="U293" i="80" s="1" a="1"/>
  <c r="U293" i="80" s="1"/>
  <c r="R244" i="80" a="1"/>
  <c r="R244" i="80" s="1"/>
  <c r="R297" i="80" s="1" a="1"/>
  <c r="R297" i="80" s="1"/>
  <c r="I242" i="80" a="1"/>
  <c r="I242" i="80" s="1"/>
  <c r="I295" i="80" s="1" a="1"/>
  <c r="I295" i="80" s="1"/>
  <c r="J238" i="80" a="1"/>
  <c r="J238" i="80" s="1"/>
  <c r="J291" i="80" s="1" a="1"/>
  <c r="J291" i="80" s="1"/>
  <c r="G238" i="80" a="1"/>
  <c r="G238" i="80" s="1"/>
  <c r="G291" i="80" s="1" a="1"/>
  <c r="G291" i="80" s="1"/>
  <c r="H242" i="80" a="1"/>
  <c r="H242" i="80" s="1"/>
  <c r="H295" i="80" s="1" a="1"/>
  <c r="H295" i="80" s="1"/>
  <c r="J242" i="80" a="1"/>
  <c r="J242" i="80" s="1"/>
  <c r="J295" i="80" s="1" a="1"/>
  <c r="J295" i="80" s="1"/>
  <c r="H238" i="80" a="1"/>
  <c r="H238" i="80" s="1"/>
  <c r="H291" i="80" s="1" a="1"/>
  <c r="H291" i="80" s="1"/>
  <c r="G242" i="80" a="1"/>
  <c r="G242" i="80" s="1"/>
  <c r="G295" i="80" s="1" a="1"/>
  <c r="G295" i="80" s="1"/>
  <c r="I238" i="80" a="1"/>
  <c r="I238" i="80" s="1"/>
  <c r="I291" i="80" s="1" a="1"/>
  <c r="I291" i="80" s="1"/>
  <c r="F238" i="80" a="1"/>
  <c r="F238" i="80" s="1"/>
  <c r="F291" i="80" s="1" a="1"/>
  <c r="F291" i="80" s="1"/>
  <c r="F242" i="80" a="1"/>
  <c r="F242" i="80" s="1"/>
  <c r="F295" i="80" s="1" a="1"/>
  <c r="F295" i="80" s="1"/>
  <c r="T28" i="87" a="1"/>
  <c r="T28" i="87" s="1"/>
  <c r="S28" i="87" a="1"/>
  <c r="S28" i="87" s="1"/>
  <c r="Q28" i="87" a="1"/>
  <c r="Q28" i="87" s="1"/>
  <c r="P30" i="87" s="1"/>
  <c r="U43" i="87" s="1"/>
  <c r="P47" i="87" s="1" a="1"/>
  <c r="P47" i="87" s="1"/>
  <c r="I28" i="87" a="1"/>
  <c r="I28" i="87" s="1"/>
  <c r="S25" i="111" a="1"/>
  <c r="S25" i="111" s="1"/>
  <c r="N46" i="111" s="1"/>
  <c r="I25" i="111" a="1"/>
  <c r="I25" i="111" s="1"/>
  <c r="D46" i="111" s="1"/>
  <c r="T238" i="80" a="1"/>
  <c r="T238" i="80" s="1"/>
  <c r="T291" i="80" s="1" a="1"/>
  <c r="T291" i="80" s="1"/>
  <c r="T242" i="80" a="1"/>
  <c r="T242" i="80" s="1"/>
  <c r="T295" i="80" s="1" a="1"/>
  <c r="T295" i="80" s="1"/>
  <c r="Q238" i="80" a="1"/>
  <c r="Q238" i="80" s="1"/>
  <c r="Q291" i="80" s="1" a="1"/>
  <c r="Q291" i="80" s="1"/>
  <c r="S242" i="80" a="1"/>
  <c r="S242" i="80" s="1"/>
  <c r="S295" i="80" s="1" a="1"/>
  <c r="S295" i="80" s="1"/>
  <c r="S238" i="80" a="1"/>
  <c r="S238" i="80" s="1"/>
  <c r="S291" i="80" s="1" a="1"/>
  <c r="S291" i="80" s="1"/>
  <c r="Q242" i="80" a="1"/>
  <c r="Q242" i="80" s="1"/>
  <c r="Q295" i="80" s="1" a="1"/>
  <c r="Q295" i="80" s="1"/>
  <c r="U238" i="80" a="1"/>
  <c r="U238" i="80" s="1"/>
  <c r="U291" i="80" s="1" a="1"/>
  <c r="U291" i="80" s="1"/>
  <c r="R242" i="80" a="1"/>
  <c r="R242" i="80" s="1"/>
  <c r="R295" i="80" s="1" a="1"/>
  <c r="R295" i="80" s="1"/>
  <c r="U242" i="80" a="1"/>
  <c r="U242" i="80" s="1"/>
  <c r="U295" i="80" s="1" a="1"/>
  <c r="U295" i="80" s="1"/>
  <c r="R238" i="80" a="1"/>
  <c r="R238" i="80" s="1"/>
  <c r="R291" i="80" s="1" a="1"/>
  <c r="R291" i="80" s="1"/>
  <c r="G30" i="83" a="1"/>
  <c r="G30" i="83" s="1"/>
  <c r="G237" i="80" a="1"/>
  <c r="G237" i="80" s="1"/>
  <c r="G290" i="80" s="1" a="1"/>
  <c r="G290" i="80" s="1"/>
  <c r="H237" i="80" a="1"/>
  <c r="H237" i="80" s="1"/>
  <c r="H290" i="80" s="1" a="1"/>
  <c r="H290" i="80" s="1"/>
  <c r="J237" i="80" a="1"/>
  <c r="J237" i="80" s="1"/>
  <c r="J290" i="80" s="1" a="1"/>
  <c r="J290" i="80" s="1"/>
  <c r="I237" i="80" a="1"/>
  <c r="I237" i="80" s="1"/>
  <c r="I290" i="80" s="1" a="1"/>
  <c r="I290" i="80" s="1"/>
  <c r="F237" i="80" a="1"/>
  <c r="F237" i="80" s="1"/>
  <c r="F290" i="80" s="1" a="1"/>
  <c r="F290" i="80" s="1"/>
  <c r="E64" i="92" a="1"/>
  <c r="E64" i="92" s="1"/>
  <c r="E27" i="97"/>
  <c r="F27" i="97" s="1" a="1"/>
  <c r="F27" i="97" s="1"/>
  <c r="E23" i="96"/>
  <c r="H23" i="96" s="1" a="1"/>
  <c r="H23" i="96" s="1"/>
  <c r="E63" i="96" s="1"/>
  <c r="F63" i="96" s="1" a="1"/>
  <c r="F63" i="96" s="1"/>
  <c r="S239" i="80" a="1"/>
  <c r="S239" i="80" s="1"/>
  <c r="S292" i="80" s="1" a="1"/>
  <c r="S292" i="80" s="1"/>
  <c r="T243" i="80" a="1"/>
  <c r="T243" i="80" s="1"/>
  <c r="T296" i="80" s="1" a="1"/>
  <c r="T296" i="80" s="1"/>
  <c r="Q239" i="80" a="1"/>
  <c r="Q239" i="80" s="1"/>
  <c r="Q292" i="80" s="1" a="1"/>
  <c r="Q292" i="80" s="1"/>
  <c r="Q243" i="80" a="1"/>
  <c r="Q243" i="80" s="1"/>
  <c r="Q296" i="80" s="1" a="1"/>
  <c r="Q296" i="80" s="1"/>
  <c r="T239" i="80" a="1"/>
  <c r="T239" i="80" s="1"/>
  <c r="T292" i="80" s="1" a="1"/>
  <c r="T292" i="80" s="1"/>
  <c r="S243" i="80" a="1"/>
  <c r="S243" i="80" s="1"/>
  <c r="S296" i="80" s="1" a="1"/>
  <c r="S296" i="80" s="1"/>
  <c r="U243" i="80" a="1"/>
  <c r="U243" i="80" s="1"/>
  <c r="U296" i="80" s="1" a="1"/>
  <c r="U296" i="80" s="1"/>
  <c r="R239" i="80" a="1"/>
  <c r="R239" i="80" s="1"/>
  <c r="R292" i="80" s="1" a="1"/>
  <c r="R292" i="80" s="1"/>
  <c r="U239" i="80" a="1"/>
  <c r="U239" i="80" s="1"/>
  <c r="U292" i="80" s="1" a="1"/>
  <c r="U292" i="80" s="1"/>
  <c r="R243" i="80" a="1"/>
  <c r="R243" i="80" s="1"/>
  <c r="R296" i="80" s="1" a="1"/>
  <c r="R296" i="80" s="1"/>
  <c r="J237" i="119" a="1"/>
  <c r="J237" i="119" s="1"/>
  <c r="K237" i="119" a="1"/>
  <c r="K237" i="119" s="1"/>
  <c r="H237" i="119" a="1"/>
  <c r="H237" i="119" s="1"/>
  <c r="G237" i="119" a="1"/>
  <c r="G237" i="119" s="1"/>
  <c r="I240" i="80" a="1"/>
  <c r="I240" i="80" s="1"/>
  <c r="I293" i="80" s="1" a="1"/>
  <c r="I293" i="80" s="1"/>
  <c r="H244" i="80" a="1"/>
  <c r="H244" i="80" s="1"/>
  <c r="H297" i="80" s="1" a="1"/>
  <c r="H297" i="80" s="1"/>
  <c r="J244" i="80" a="1"/>
  <c r="J244" i="80" s="1"/>
  <c r="J297" i="80" s="1" a="1"/>
  <c r="J297" i="80" s="1"/>
  <c r="H240" i="80" a="1"/>
  <c r="H240" i="80" s="1"/>
  <c r="H293" i="80" s="1" a="1"/>
  <c r="H293" i="80" s="1"/>
  <c r="I244" i="80" a="1"/>
  <c r="I244" i="80" s="1"/>
  <c r="I297" i="80" s="1" a="1"/>
  <c r="I297" i="80" s="1"/>
  <c r="G240" i="80" a="1"/>
  <c r="G240" i="80" s="1"/>
  <c r="G293" i="80" s="1" a="1"/>
  <c r="G293" i="80" s="1"/>
  <c r="J240" i="80" a="1"/>
  <c r="J240" i="80" s="1"/>
  <c r="J293" i="80" s="1" a="1"/>
  <c r="J293" i="80" s="1"/>
  <c r="G244" i="80" a="1"/>
  <c r="G244" i="80" s="1"/>
  <c r="G297" i="80" s="1" a="1"/>
  <c r="G297" i="80" s="1"/>
  <c r="F244" i="80" a="1"/>
  <c r="F244" i="80" s="1"/>
  <c r="F297" i="80" s="1" a="1"/>
  <c r="F297" i="80" s="1"/>
  <c r="F240" i="80" a="1"/>
  <c r="F240" i="80" s="1"/>
  <c r="F293" i="80" s="1" a="1"/>
  <c r="F293" i="80" s="1"/>
  <c r="E78" i="92" a="1"/>
  <c r="E78" i="92" s="1"/>
  <c r="E41" i="97"/>
  <c r="F41" i="97" s="1" a="1"/>
  <c r="F41" i="97" s="1"/>
  <c r="E37" i="96"/>
  <c r="H37" i="96" s="1" a="1"/>
  <c r="H37" i="96" s="1"/>
  <c r="E77" i="96" s="1"/>
  <c r="F77" i="96" s="1" a="1"/>
  <c r="F77" i="96" s="1"/>
  <c r="R28" i="87" a="1"/>
  <c r="R28" i="87" s="1"/>
  <c r="Q279" i="81" a="1"/>
  <c r="Q279" i="81" s="1"/>
  <c r="P49" i="82"/>
  <c r="R61" i="82" s="1"/>
  <c r="I126" i="96"/>
  <c r="F143" i="96" s="1" a="1"/>
  <c r="F143" i="96" s="1"/>
  <c r="E65" i="93" a="1"/>
  <c r="E65" i="93" s="1"/>
  <c r="E69" i="93" a="1"/>
  <c r="E69" i="93" s="1"/>
  <c r="E63" i="93" a="1"/>
  <c r="E63" i="93" s="1"/>
  <c r="F141" i="96" a="1"/>
  <c r="F141" i="96" s="1"/>
  <c r="F144" i="96" a="1"/>
  <c r="F144" i="96" s="1"/>
  <c r="F137" i="96" a="1"/>
  <c r="F137" i="96" s="1"/>
  <c r="H29" i="83" a="1"/>
  <c r="H29" i="83" s="1"/>
  <c r="E67" i="93" a="1"/>
  <c r="E67" i="93" s="1"/>
  <c r="E60" i="92" a="1"/>
  <c r="E60" i="92" s="1"/>
  <c r="E23" i="97"/>
  <c r="F23" i="97" s="1" a="1"/>
  <c r="F23" i="97" s="1"/>
  <c r="E19" i="96"/>
  <c r="H19" i="96" s="1" a="1"/>
  <c r="H19" i="96" s="1"/>
  <c r="E59" i="96" s="1"/>
  <c r="F59" i="96" s="1" a="1"/>
  <c r="F59" i="96" s="1"/>
  <c r="K223" i="119" a="1"/>
  <c r="K223" i="119" s="1"/>
  <c r="H225" i="119" a="1"/>
  <c r="H225" i="119" s="1"/>
  <c r="H227" i="119" a="1"/>
  <c r="H227" i="119" s="1"/>
  <c r="K225" i="119" a="1"/>
  <c r="K225" i="119" s="1"/>
  <c r="K229" i="119" a="1"/>
  <c r="K229" i="119" s="1"/>
  <c r="H224" i="119" a="1"/>
  <c r="H224" i="119" s="1"/>
  <c r="K226" i="119" a="1"/>
  <c r="K226" i="119" s="1"/>
  <c r="H229" i="119" a="1"/>
  <c r="H229" i="119" s="1"/>
  <c r="K222" i="119" a="1"/>
  <c r="K222" i="119" s="1"/>
  <c r="H230" i="119" a="1"/>
  <c r="H230" i="119" s="1"/>
  <c r="H226" i="119" a="1"/>
  <c r="H226" i="119" s="1"/>
  <c r="K227" i="119" a="1"/>
  <c r="K227" i="119" s="1"/>
  <c r="K228" i="119" a="1"/>
  <c r="K228" i="119" s="1"/>
  <c r="K230" i="119" a="1"/>
  <c r="K230" i="119" s="1"/>
  <c r="K224" i="119" a="1"/>
  <c r="K224" i="119" s="1"/>
  <c r="H223" i="119" a="1"/>
  <c r="H223" i="119" s="1"/>
  <c r="H228" i="119" a="1"/>
  <c r="H228" i="119" s="1"/>
  <c r="H222" i="119" a="1"/>
  <c r="H222" i="119" s="1"/>
  <c r="J230" i="119" a="1"/>
  <c r="J230" i="119" s="1"/>
  <c r="J228" i="119" a="1"/>
  <c r="J228" i="119" s="1"/>
  <c r="J229" i="119" a="1"/>
  <c r="J229" i="119" s="1"/>
  <c r="J223" i="119" a="1"/>
  <c r="J223" i="119" s="1"/>
  <c r="J222" i="119" a="1"/>
  <c r="J222" i="119" s="1"/>
  <c r="J227" i="119" a="1"/>
  <c r="J227" i="119" s="1"/>
  <c r="J224" i="119" a="1"/>
  <c r="J224" i="119" s="1"/>
  <c r="J226" i="119" a="1"/>
  <c r="J226" i="119" s="1"/>
  <c r="J225" i="119" a="1"/>
  <c r="J225" i="119" s="1"/>
  <c r="E221" i="119"/>
  <c r="G223" i="119" a="1"/>
  <c r="G223" i="119" s="1"/>
  <c r="G230" i="119" a="1"/>
  <c r="G230" i="119" s="1"/>
  <c r="G225" i="119" a="1"/>
  <c r="G225" i="119" s="1"/>
  <c r="G228" i="119" a="1"/>
  <c r="G228" i="119" s="1"/>
  <c r="G226" i="119" a="1"/>
  <c r="G226" i="119" s="1"/>
  <c r="G224" i="119" a="1"/>
  <c r="G224" i="119" s="1"/>
  <c r="G222" i="119" a="1"/>
  <c r="G222" i="119" s="1"/>
  <c r="G227" i="119" a="1"/>
  <c r="G227" i="119" s="1"/>
  <c r="G229" i="119" a="1"/>
  <c r="G229" i="119" s="1"/>
  <c r="E69" i="92" a="1"/>
  <c r="E69" i="92" s="1"/>
  <c r="E32" i="97"/>
  <c r="F32" i="97" s="1" a="1"/>
  <c r="F32" i="97" s="1"/>
  <c r="E28" i="96"/>
  <c r="H28" i="96" s="1" a="1"/>
  <c r="H28" i="96" s="1"/>
  <c r="E68" i="96" s="1"/>
  <c r="F68" i="96" s="1" a="1"/>
  <c r="F68" i="96" s="1"/>
  <c r="E35" i="97"/>
  <c r="F35" i="97" s="1" a="1"/>
  <c r="F35" i="97" s="1"/>
  <c r="E31" i="96"/>
  <c r="H31" i="96" s="1" a="1"/>
  <c r="H31" i="96" s="1"/>
  <c r="E71" i="96" s="1"/>
  <c r="F71" i="96" s="1" a="1"/>
  <c r="F71" i="96" s="1"/>
  <c r="E72" i="92" a="1"/>
  <c r="E72" i="92" s="1"/>
  <c r="P45" i="86" a="1"/>
  <c r="P45" i="86" s="1"/>
  <c r="R106" i="84" a="1"/>
  <c r="R106" i="84" s="1"/>
  <c r="R76" i="84" a="1"/>
  <c r="R76" i="84" s="1"/>
  <c r="R139" i="84" a="1"/>
  <c r="R139" i="84" s="1"/>
  <c r="R77" i="84" a="1"/>
  <c r="R77" i="84" s="1"/>
  <c r="R140" i="84" a="1"/>
  <c r="R140" i="84" s="1"/>
  <c r="R107" i="84" a="1"/>
  <c r="R107" i="84" s="1"/>
  <c r="I50" i="120"/>
  <c r="O55" i="120" s="1" a="1"/>
  <c r="O55" i="120" s="1"/>
  <c r="R570" i="119" s="1"/>
  <c r="G29" i="83" a="1"/>
  <c r="G29" i="83" s="1"/>
  <c r="E75" i="93" a="1"/>
  <c r="E75" i="93" s="1"/>
  <c r="Q278" i="81" a="1"/>
  <c r="Q278" i="81" s="1"/>
  <c r="E59" i="93" a="1"/>
  <c r="E59" i="93" s="1"/>
  <c r="E70" i="92" a="1"/>
  <c r="E70" i="92" s="1"/>
  <c r="E33" i="97"/>
  <c r="F33" i="97" s="1" a="1"/>
  <c r="F33" i="97" s="1"/>
  <c r="E29" i="96"/>
  <c r="H29" i="96" s="1" a="1"/>
  <c r="H29" i="96" s="1"/>
  <c r="E69" i="96" s="1"/>
  <c r="F69" i="96" s="1" a="1"/>
  <c r="F69" i="96" s="1"/>
  <c r="R29" i="83" a="1"/>
  <c r="R29" i="83" s="1"/>
  <c r="E103" i="96"/>
  <c r="F103" i="96" s="1" a="1"/>
  <c r="F103" i="96" s="1"/>
  <c r="E135" i="96" s="1"/>
  <c r="F135" i="96" s="1" a="1"/>
  <c r="F135" i="96" s="1"/>
  <c r="E66" i="97"/>
  <c r="F66" i="97" s="1" a="1"/>
  <c r="F66" i="97" s="1"/>
  <c r="R30" i="83" a="1"/>
  <c r="R30" i="83" s="1"/>
  <c r="J29" i="83" a="1"/>
  <c r="J29" i="83" s="1"/>
  <c r="U30" i="83" a="1"/>
  <c r="U30" i="83" s="1"/>
  <c r="J38" i="111"/>
  <c r="E67" i="92" a="1"/>
  <c r="E67" i="92" s="1"/>
  <c r="E26" i="96"/>
  <c r="H26" i="96" s="1" a="1"/>
  <c r="H26" i="96" s="1"/>
  <c r="E66" i="96" s="1"/>
  <c r="F66" i="96" s="1" a="1"/>
  <c r="F66" i="96" s="1"/>
  <c r="E30" i="97"/>
  <c r="F30" i="97" s="1" a="1"/>
  <c r="F30" i="97" s="1"/>
  <c r="E74" i="93" a="1"/>
  <c r="E74" i="93" s="1"/>
  <c r="E67" i="97"/>
  <c r="F67" i="97" s="1" a="1"/>
  <c r="F67" i="97" s="1"/>
  <c r="E104" i="96"/>
  <c r="F104" i="96" s="1" a="1"/>
  <c r="F104" i="96" s="1"/>
  <c r="E136" i="96" s="1"/>
  <c r="F136" i="96" s="1" a="1"/>
  <c r="F136" i="96" s="1"/>
  <c r="Q285" i="81" a="1"/>
  <c r="Q285" i="81" s="1"/>
  <c r="F282" i="81" a="1"/>
  <c r="F282" i="81" s="1"/>
  <c r="J88" i="120"/>
  <c r="E76" i="92" a="1"/>
  <c r="E76" i="92" s="1"/>
  <c r="E39" i="97"/>
  <c r="F39" i="97" s="1" a="1"/>
  <c r="F39" i="97" s="1"/>
  <c r="E35" i="96"/>
  <c r="H35" i="96" s="1" a="1"/>
  <c r="H35" i="96" s="1"/>
  <c r="E75" i="96" s="1"/>
  <c r="F75" i="96" s="1" a="1"/>
  <c r="F75" i="96" s="1"/>
  <c r="E68" i="92" a="1"/>
  <c r="E68" i="92" s="1"/>
  <c r="E31" i="97"/>
  <c r="F31" i="97" s="1" a="1"/>
  <c r="F31" i="97" s="1"/>
  <c r="E27" i="96"/>
  <c r="H27" i="96" s="1" a="1"/>
  <c r="H27" i="96" s="1"/>
  <c r="E67" i="96" s="1"/>
  <c r="F67" i="96" s="1" a="1"/>
  <c r="F67" i="96" s="1"/>
  <c r="Q281" i="81" a="1"/>
  <c r="Q281" i="81" s="1"/>
  <c r="I37" i="99"/>
  <c r="E41" i="99" s="1"/>
  <c r="I47" i="99"/>
  <c r="I48" i="99"/>
  <c r="I38" i="99"/>
  <c r="I39" i="99"/>
  <c r="I46" i="99"/>
  <c r="E50" i="99" s="1"/>
  <c r="F28" i="87" a="1"/>
  <c r="F28" i="87" s="1"/>
  <c r="E65" i="97"/>
  <c r="F65" i="97" s="1" a="1"/>
  <c r="F65" i="97" s="1"/>
  <c r="E32" i="94"/>
  <c r="K44" i="94" s="1"/>
  <c r="E102" i="96"/>
  <c r="F102" i="96" s="1" a="1"/>
  <c r="F102" i="96" s="1"/>
  <c r="E134" i="96" s="1"/>
  <c r="F134" i="96" s="1" a="1"/>
  <c r="F134" i="96" s="1"/>
  <c r="U29" i="83" a="1"/>
  <c r="U29" i="83" s="1"/>
  <c r="E45" i="86" a="1"/>
  <c r="E45" i="86" s="1"/>
  <c r="E13" i="13" s="1" a="1"/>
  <c r="E13" i="13" s="1"/>
  <c r="H13" i="13" s="1" a="1"/>
  <c r="H13" i="13" s="1"/>
  <c r="G28" i="87" a="1"/>
  <c r="G28" i="87" s="1"/>
  <c r="J30" i="83" a="1"/>
  <c r="J30" i="83" s="1"/>
  <c r="Q45" i="92"/>
  <c r="U45" i="92"/>
  <c r="E68" i="93" a="1"/>
  <c r="E68" i="93" s="1"/>
  <c r="E66" i="93" a="1"/>
  <c r="E66" i="93" s="1"/>
  <c r="E77" i="92" a="1"/>
  <c r="E77" i="92" s="1"/>
  <c r="E36" i="96"/>
  <c r="H36" i="96" s="1" a="1"/>
  <c r="H36" i="96" s="1"/>
  <c r="E76" i="96" s="1"/>
  <c r="F76" i="96" s="1" a="1"/>
  <c r="F76" i="96" s="1"/>
  <c r="E40" i="97"/>
  <c r="F40" i="97" s="1" a="1"/>
  <c r="F40" i="97" s="1"/>
  <c r="J28" i="87" a="1"/>
  <c r="J28" i="87" s="1"/>
  <c r="G47" i="86"/>
  <c r="E50" i="86" s="1" a="1"/>
  <c r="E50" i="86" s="1"/>
  <c r="F146" i="84" a="1"/>
  <c r="F146" i="84" s="1"/>
  <c r="F113" i="84" a="1"/>
  <c r="F113" i="84" s="1"/>
  <c r="F79" i="84" a="1"/>
  <c r="F79" i="84" s="1"/>
  <c r="F142" i="84" a="1"/>
  <c r="F142" i="84" s="1"/>
  <c r="E56" i="13"/>
  <c r="F40" i="13"/>
  <c r="E40" i="13"/>
  <c r="E10" i="13" l="1" a="1"/>
  <c r="E10" i="13" s="1"/>
  <c r="H10" i="13" s="1" a="1"/>
  <c r="H10" i="13" s="1"/>
  <c r="G70" i="82"/>
  <c r="E73" i="82" s="1" a="1"/>
  <c r="E73" i="82" s="1"/>
  <c r="F13" i="13" a="1"/>
  <c r="F13" i="13" s="1"/>
  <c r="I13" i="13" s="1" a="1"/>
  <c r="I13" i="13" s="1"/>
  <c r="R47" i="86"/>
  <c r="P50" i="86" s="1" a="1"/>
  <c r="P50" i="86" s="1"/>
  <c r="F139" i="96" a="1"/>
  <c r="F139" i="96" s="1"/>
  <c r="E46" i="111" a="1"/>
  <c r="E46" i="111" s="1"/>
  <c r="E48" i="111" s="1"/>
  <c r="T49" i="83" a="1"/>
  <c r="T49" i="83" s="1"/>
  <c r="T55" i="84"/>
  <c r="F142" i="96" a="1"/>
  <c r="F142" i="96" s="1"/>
  <c r="O46" i="111" a="1"/>
  <c r="O46" i="111" s="1"/>
  <c r="O48" i="111" s="1"/>
  <c r="E72" i="93" a="1"/>
  <c r="E72" i="93" s="1"/>
  <c r="O90" i="120" a="1"/>
  <c r="O90" i="120" s="1"/>
  <c r="R571" i="119" s="1"/>
  <c r="M573" i="119" s="1" a="1"/>
  <c r="M573" i="119" s="1"/>
  <c r="O575" i="119" s="1"/>
  <c r="M578" i="119" s="1" a="1"/>
  <c r="M578" i="119" s="1"/>
  <c r="T50" i="83" a="1"/>
  <c r="T50" i="83" s="1"/>
  <c r="T59" i="84"/>
  <c r="R55" i="84"/>
  <c r="R49" i="83" a="1"/>
  <c r="R49" i="83" s="1"/>
  <c r="P300" i="80"/>
  <c r="E79" i="96"/>
  <c r="G81" i="96" s="1"/>
  <c r="E84" i="96" s="1" a="1"/>
  <c r="E84" i="96" s="1"/>
  <c r="K221" i="119" a="1"/>
  <c r="K221" i="119" s="1"/>
  <c r="E252" i="119" s="1"/>
  <c r="G221" i="119" a="1"/>
  <c r="G221" i="119" s="1"/>
  <c r="E248" i="119" s="1"/>
  <c r="J221" i="119" a="1"/>
  <c r="J221" i="119" s="1"/>
  <c r="E249" i="119" s="1"/>
  <c r="H221" i="119" a="1"/>
  <c r="H221" i="119" s="1"/>
  <c r="E251" i="119" s="1"/>
  <c r="E43" i="97"/>
  <c r="J89" i="97" s="1"/>
  <c r="E94" i="97" s="1" a="1"/>
  <c r="E94" i="97" s="1"/>
  <c r="G59" i="84"/>
  <c r="G50" i="83" a="1"/>
  <c r="G50" i="83" s="1"/>
  <c r="P87" i="92" a="1"/>
  <c r="P87" i="92" s="1"/>
  <c r="E80" i="92"/>
  <c r="G49" i="83" a="1"/>
  <c r="G49" i="83" s="1"/>
  <c r="G55" i="84"/>
  <c r="I305" i="119" a="1"/>
  <c r="I305" i="119" s="1"/>
  <c r="E316" i="119" s="1"/>
  <c r="J305" i="119" a="1"/>
  <c r="J305" i="119" s="1"/>
  <c r="E317" i="119" s="1"/>
  <c r="E287" i="81"/>
  <c r="J59" i="84"/>
  <c r="J50" i="83" a="1"/>
  <c r="J50" i="83" s="1"/>
  <c r="U55" i="84"/>
  <c r="U49" i="83" a="1"/>
  <c r="U49" i="83" s="1"/>
  <c r="U50" i="83" a="1"/>
  <c r="U50" i="83" s="1"/>
  <c r="U59" i="84"/>
  <c r="P68" i="82" a="1"/>
  <c r="P68" i="82" s="1"/>
  <c r="I49" i="83" a="1"/>
  <c r="I49" i="83" s="1"/>
  <c r="I55" i="84"/>
  <c r="T51" i="85" a="1"/>
  <c r="T51" i="85" s="1"/>
  <c r="S51" i="85" a="1"/>
  <c r="S51" i="85" s="1"/>
  <c r="I51" i="85" a="1"/>
  <c r="I51" i="85" s="1"/>
  <c r="Q51" i="85" a="1"/>
  <c r="Q51" i="85" s="1"/>
  <c r="G51" i="85" a="1"/>
  <c r="G51" i="85" s="1"/>
  <c r="H51" i="85" a="1"/>
  <c r="H51" i="85" s="1"/>
  <c r="F51" i="85" a="1"/>
  <c r="F51" i="85" s="1"/>
  <c r="U51" i="85" a="1"/>
  <c r="U51" i="85" s="1"/>
  <c r="J51" i="85" a="1"/>
  <c r="J51" i="85" s="1"/>
  <c r="R51" i="85" a="1"/>
  <c r="R51" i="85" s="1"/>
  <c r="S55" i="84"/>
  <c r="S49" i="83" a="1"/>
  <c r="S49" i="83" s="1"/>
  <c r="H55" i="84"/>
  <c r="H49" i="83" a="1"/>
  <c r="H49" i="83" s="1"/>
  <c r="O95" i="92" a="1"/>
  <c r="O95" i="92" s="1"/>
  <c r="P95" i="92" s="1" a="1"/>
  <c r="P95" i="92" s="1"/>
  <c r="O93" i="92" a="1"/>
  <c r="O93" i="92" s="1"/>
  <c r="P93" i="92" s="1" a="1"/>
  <c r="P93" i="92" s="1"/>
  <c r="O104" i="92" a="1"/>
  <c r="O104" i="92" s="1"/>
  <c r="P104" i="92" s="1" a="1"/>
  <c r="P104" i="92" s="1"/>
  <c r="O97" i="92" a="1"/>
  <c r="O97" i="92" s="1"/>
  <c r="P97" i="92" s="1" a="1"/>
  <c r="P97" i="92" s="1"/>
  <c r="O87" i="92" a="1"/>
  <c r="O87" i="92" s="1"/>
  <c r="O96" i="92" a="1"/>
  <c r="O96" i="92" s="1"/>
  <c r="P96" i="92" s="1" a="1"/>
  <c r="P96" i="92" s="1"/>
  <c r="O106" i="92" a="1"/>
  <c r="O106" i="92" s="1"/>
  <c r="P106" i="92" s="1" a="1"/>
  <c r="P106" i="92" s="1"/>
  <c r="O88" i="92" a="1"/>
  <c r="O88" i="92" s="1"/>
  <c r="P88" i="92" s="1" a="1"/>
  <c r="P88" i="92" s="1"/>
  <c r="O94" i="92" a="1"/>
  <c r="O94" i="92" s="1"/>
  <c r="P94" i="92" s="1" a="1"/>
  <c r="P94" i="92" s="1"/>
  <c r="O105" i="92" a="1"/>
  <c r="O105" i="92" s="1"/>
  <c r="P105" i="92" s="1" a="1"/>
  <c r="P105" i="92" s="1"/>
  <c r="O100" i="92" a="1"/>
  <c r="O100" i="92" s="1"/>
  <c r="P100" i="92" s="1" a="1"/>
  <c r="P100" i="92" s="1"/>
  <c r="O90" i="92" a="1"/>
  <c r="O90" i="92" s="1"/>
  <c r="P90" i="92" s="1" a="1"/>
  <c r="P90" i="92" s="1"/>
  <c r="O91" i="92" a="1"/>
  <c r="O91" i="92" s="1"/>
  <c r="P91" i="92" s="1" a="1"/>
  <c r="P91" i="92" s="1"/>
  <c r="O99" i="92" a="1"/>
  <c r="O99" i="92" s="1"/>
  <c r="P99" i="92" s="1" a="1"/>
  <c r="P99" i="92" s="1"/>
  <c r="O101" i="92" a="1"/>
  <c r="O101" i="92" s="1"/>
  <c r="P101" i="92" s="1" a="1"/>
  <c r="P101" i="92" s="1"/>
  <c r="O103" i="92" a="1"/>
  <c r="O103" i="92" s="1"/>
  <c r="P103" i="92" s="1" a="1"/>
  <c r="P103" i="92" s="1"/>
  <c r="O98" i="92" a="1"/>
  <c r="O98" i="92" s="1"/>
  <c r="P98" i="92" s="1" a="1"/>
  <c r="P98" i="92" s="1"/>
  <c r="O102" i="92" a="1"/>
  <c r="O102" i="92" s="1"/>
  <c r="P102" i="92" s="1" a="1"/>
  <c r="P102" i="92" s="1"/>
  <c r="O89" i="92" a="1"/>
  <c r="O89" i="92" s="1"/>
  <c r="P89" i="92" s="1" a="1"/>
  <c r="P89" i="92" s="1"/>
  <c r="O92" i="92" a="1"/>
  <c r="O92" i="92" s="1"/>
  <c r="P92" i="92" s="1" a="1"/>
  <c r="P92" i="92" s="1"/>
  <c r="E50" i="94" a="1"/>
  <c r="E50" i="94" s="1"/>
  <c r="E64" i="93" a="1"/>
  <c r="E64" i="93" s="1"/>
  <c r="F138" i="96" a="1"/>
  <c r="F138" i="96" s="1"/>
  <c r="E58" i="93" a="1"/>
  <c r="E58" i="93" s="1"/>
  <c r="E78" i="93" s="1"/>
  <c r="E16" i="13" s="1" a="1"/>
  <c r="E16" i="13" s="1"/>
  <c r="Q55" i="84"/>
  <c r="Q49" i="83" a="1"/>
  <c r="Q49" i="83" s="1"/>
  <c r="P52" i="83" s="1"/>
  <c r="E19" i="120" a="1"/>
  <c r="E19" i="120" s="1"/>
  <c r="J569" i="119" s="1"/>
  <c r="O19" i="120" a="1"/>
  <c r="O19" i="120" s="1"/>
  <c r="R569" i="119" s="1"/>
  <c r="E62" i="93" a="1"/>
  <c r="E62" i="93" s="1"/>
  <c r="E31" i="95"/>
  <c r="E18" i="13" s="1" a="1"/>
  <c r="E18" i="13" s="1"/>
  <c r="E55" i="120" a="1"/>
  <c r="E55" i="120" s="1"/>
  <c r="J570" i="119" s="1"/>
  <c r="I50" i="83" a="1"/>
  <c r="I50" i="83" s="1"/>
  <c r="I59" i="84"/>
  <c r="E40" i="110" a="1"/>
  <c r="E40" i="110" s="1"/>
  <c r="O40" i="110" a="1"/>
  <c r="O40" i="110" s="1"/>
  <c r="J34" i="100"/>
  <c r="E39" i="100" s="1" a="1"/>
  <c r="E39" i="100" s="1"/>
  <c r="E30" i="13" s="1" a="1"/>
  <c r="E30" i="13" s="1"/>
  <c r="I550" i="119"/>
  <c r="E555" i="119" s="1" a="1"/>
  <c r="E555" i="119" s="1"/>
  <c r="F14" i="13" a="1"/>
  <c r="F14" i="13" s="1"/>
  <c r="I14" i="13" s="1" a="1"/>
  <c r="I14" i="13" s="1"/>
  <c r="R49" i="87"/>
  <c r="P52" i="87" s="1" a="1"/>
  <c r="P52" i="87" s="1"/>
  <c r="J49" i="83" a="1"/>
  <c r="J49" i="83" s="1"/>
  <c r="J55" i="84"/>
  <c r="Q50" i="83" a="1"/>
  <c r="Q50" i="83" s="1"/>
  <c r="Q59" i="84"/>
  <c r="E77" i="97"/>
  <c r="J90" i="97" s="1"/>
  <c r="R50" i="83" a="1"/>
  <c r="R50" i="83" s="1"/>
  <c r="R59" i="84"/>
  <c r="E30" i="87"/>
  <c r="J43" i="87" s="1"/>
  <c r="E47" i="87" s="1" a="1"/>
  <c r="E47" i="87" s="1"/>
  <c r="F140" i="96" a="1"/>
  <c r="F140" i="96" s="1"/>
  <c r="E146" i="96" s="1"/>
  <c r="E70" i="93" a="1"/>
  <c r="E70" i="93" s="1"/>
  <c r="E76" i="93" a="1"/>
  <c r="E76" i="93" s="1"/>
  <c r="E71" i="93" a="1"/>
  <c r="E71" i="93" s="1"/>
  <c r="H50" i="83" a="1"/>
  <c r="H50" i="83" s="1"/>
  <c r="H59" i="84"/>
  <c r="J35" i="100"/>
  <c r="I551" i="119"/>
  <c r="E300" i="80"/>
  <c r="S59" i="84"/>
  <c r="S50" i="83" a="1"/>
  <c r="S50" i="83" s="1"/>
  <c r="O287" i="81"/>
  <c r="H146" i="84" l="1" a="1"/>
  <c r="H146" i="84" s="1"/>
  <c r="H83" i="84" a="1"/>
  <c r="H83" i="84" s="1"/>
  <c r="H113" i="84" a="1"/>
  <c r="H113" i="84" s="1"/>
  <c r="G148" i="96"/>
  <c r="E151" i="96" s="1" a="1"/>
  <c r="E151" i="96" s="1"/>
  <c r="E19" i="13" a="1"/>
  <c r="E19" i="13" s="1"/>
  <c r="N108" i="92"/>
  <c r="Q109" i="84" a="1"/>
  <c r="Q109" i="84" s="1"/>
  <c r="Q142" i="84" a="1"/>
  <c r="Q142" i="84" s="1"/>
  <c r="Q79" i="84" a="1"/>
  <c r="Q79" i="84" s="1"/>
  <c r="F10" i="13" a="1"/>
  <c r="F10" i="13" s="1"/>
  <c r="I10" i="13" s="1" a="1"/>
  <c r="I10" i="13" s="1"/>
  <c r="R70" i="82"/>
  <c r="P73" i="82" s="1" a="1"/>
  <c r="P73" i="82" s="1"/>
  <c r="S79" i="84" a="1"/>
  <c r="S79" i="84" s="1"/>
  <c r="S109" i="84" a="1"/>
  <c r="S109" i="84" s="1"/>
  <c r="S142" i="84" a="1"/>
  <c r="S142" i="84" s="1"/>
  <c r="U146" i="84" a="1"/>
  <c r="U146" i="84" s="1"/>
  <c r="U113" i="84" a="1"/>
  <c r="U113" i="84" s="1"/>
  <c r="U83" i="84" a="1"/>
  <c r="U83" i="84" s="1"/>
  <c r="G113" i="84" a="1"/>
  <c r="G113" i="84" s="1"/>
  <c r="G146" i="84" a="1"/>
  <c r="G146" i="84" s="1"/>
  <c r="G83" i="84" a="1"/>
  <c r="G83" i="84" s="1"/>
  <c r="Q50" i="111"/>
  <c r="O53" i="111" s="1" a="1"/>
  <c r="O53" i="111" s="1"/>
  <c r="F22" i="13" a="1"/>
  <c r="F22" i="13" s="1"/>
  <c r="I22" i="13" s="1" a="1"/>
  <c r="I22" i="13" s="1"/>
  <c r="G49" i="87"/>
  <c r="E52" i="87" s="1" a="1"/>
  <c r="E52" i="87" s="1"/>
  <c r="E14" i="13" a="1"/>
  <c r="E14" i="13" s="1"/>
  <c r="H14" i="13" s="1" a="1"/>
  <c r="H14" i="13" s="1"/>
  <c r="G50" i="111"/>
  <c r="E53" i="111" s="1" a="1"/>
  <c r="E53" i="111" s="1"/>
  <c r="E22" i="13" a="1"/>
  <c r="E22" i="13" s="1"/>
  <c r="H22" i="13" s="1" a="1"/>
  <c r="H22" i="13" s="1"/>
  <c r="R113" i="84" a="1"/>
  <c r="R113" i="84" s="1"/>
  <c r="R83" i="84" a="1"/>
  <c r="R83" i="84" s="1"/>
  <c r="R146" i="84" a="1"/>
  <c r="R146" i="84" s="1"/>
  <c r="E9" i="13" a="1"/>
  <c r="E9" i="13" s="1"/>
  <c r="H9" i="13" s="1" a="1"/>
  <c r="H9" i="13" s="1"/>
  <c r="G289" i="81"/>
  <c r="E292" i="81" s="1" a="1"/>
  <c r="E292" i="81" s="1"/>
  <c r="G96" i="97"/>
  <c r="E99" i="97" s="1" a="1"/>
  <c r="E99" i="97" s="1"/>
  <c r="E20" i="13" a="1"/>
  <c r="E20" i="13" s="1"/>
  <c r="T79" i="84" a="1"/>
  <c r="T79" i="84" s="1"/>
  <c r="T109" i="84" a="1"/>
  <c r="T109" i="84" s="1"/>
  <c r="T142" i="84" a="1"/>
  <c r="T142" i="84" s="1"/>
  <c r="G52" i="94"/>
  <c r="E55" i="94" s="1" a="1"/>
  <c r="E55" i="94" s="1"/>
  <c r="E17" i="13" a="1"/>
  <c r="E17" i="13" s="1"/>
  <c r="I113" i="84" a="1"/>
  <c r="I113" i="84" s="1"/>
  <c r="I83" i="84" a="1"/>
  <c r="I83" i="84" s="1"/>
  <c r="I146" i="84" a="1"/>
  <c r="I146" i="84" s="1"/>
  <c r="Q42" i="110"/>
  <c r="O45" i="110" s="1" a="1"/>
  <c r="O45" i="110" s="1"/>
  <c r="F21" i="13" a="1"/>
  <c r="F21" i="13" s="1"/>
  <c r="I21" i="13" s="1" a="1"/>
  <c r="I21" i="13" s="1"/>
  <c r="U142" i="84" a="1"/>
  <c r="U142" i="84" s="1"/>
  <c r="U109" i="84" a="1"/>
  <c r="U109" i="84" s="1"/>
  <c r="U79" i="84" a="1"/>
  <c r="U79" i="84" s="1"/>
  <c r="J146" i="84" a="1"/>
  <c r="J146" i="84" s="1"/>
  <c r="J113" i="84" a="1"/>
  <c r="J113" i="84" s="1"/>
  <c r="J83" i="84" a="1"/>
  <c r="J83" i="84" s="1"/>
  <c r="Q289" i="81"/>
  <c r="O292" i="81" s="1" a="1"/>
  <c r="O292" i="81" s="1"/>
  <c r="F9" i="13" a="1"/>
  <c r="F9" i="13" s="1"/>
  <c r="I9" i="13" s="1" a="1"/>
  <c r="I9" i="13" s="1"/>
  <c r="P53" i="85"/>
  <c r="S83" i="84" a="1"/>
  <c r="S83" i="84" s="1"/>
  <c r="S113" i="84" a="1"/>
  <c r="S113" i="84" s="1"/>
  <c r="S146" i="84" a="1"/>
  <c r="S146" i="84" s="1"/>
  <c r="Q146" i="84" a="1"/>
  <c r="Q146" i="84" s="1"/>
  <c r="Q113" i="84" a="1"/>
  <c r="Q113" i="84" s="1"/>
  <c r="Q83" i="84" a="1"/>
  <c r="Q83" i="84" s="1"/>
  <c r="H30" i="13"/>
  <c r="F30" i="13"/>
  <c r="I30" i="13" s="1"/>
  <c r="G42" i="110"/>
  <c r="E45" i="110" s="1" a="1"/>
  <c r="E45" i="110" s="1"/>
  <c r="E21" i="13" a="1"/>
  <c r="E21" i="13" s="1"/>
  <c r="H21" i="13" s="1" a="1"/>
  <c r="H21" i="13" s="1"/>
  <c r="E53" i="85"/>
  <c r="G109" i="84" a="1"/>
  <c r="G109" i="84" s="1"/>
  <c r="G142" i="84" a="1"/>
  <c r="G142" i="84" s="1"/>
  <c r="G79" i="84" a="1"/>
  <c r="G79" i="84" s="1"/>
  <c r="R79" i="84" a="1"/>
  <c r="R79" i="84" s="1"/>
  <c r="R142" i="84" a="1"/>
  <c r="R142" i="84" s="1"/>
  <c r="R109" i="84" a="1"/>
  <c r="R109" i="84" s="1"/>
  <c r="F16" i="13"/>
  <c r="I16" i="13" s="1"/>
  <c r="H16" i="13"/>
  <c r="F18" i="13"/>
  <c r="I18" i="13" s="1"/>
  <c r="H18" i="13"/>
  <c r="J142" i="84" a="1"/>
  <c r="J142" i="84" s="1"/>
  <c r="J79" i="84" a="1"/>
  <c r="J79" i="84" s="1"/>
  <c r="J109" i="84" a="1"/>
  <c r="J109" i="84" s="1"/>
  <c r="E52" i="83"/>
  <c r="T146" i="84" a="1"/>
  <c r="T146" i="84" s="1"/>
  <c r="T113" i="84" a="1"/>
  <c r="T113" i="84" s="1"/>
  <c r="T83" i="84" a="1"/>
  <c r="T83" i="84" s="1"/>
  <c r="F11" i="13" a="1"/>
  <c r="F11" i="13" s="1"/>
  <c r="I11" i="13" s="1" a="1"/>
  <c r="I11" i="13" s="1"/>
  <c r="R54" i="83"/>
  <c r="P57" i="83" s="1" a="1"/>
  <c r="P57" i="83" s="1"/>
  <c r="H109" i="84" a="1"/>
  <c r="H109" i="84" s="1"/>
  <c r="H79" i="84" a="1"/>
  <c r="H79" i="84" s="1"/>
  <c r="H142" i="84" a="1"/>
  <c r="H142" i="84" s="1"/>
  <c r="E573" i="119" a="1"/>
  <c r="E573" i="119" s="1"/>
  <c r="G575" i="119" s="1"/>
  <c r="E578" i="119" s="1" a="1"/>
  <c r="E578" i="119" s="1"/>
  <c r="I109" i="84" a="1"/>
  <c r="I109" i="84" s="1"/>
  <c r="I142" i="84" a="1"/>
  <c r="I142" i="84" s="1"/>
  <c r="I79" i="84" a="1"/>
  <c r="I79" i="84" s="1"/>
  <c r="G82" i="92"/>
  <c r="E85" i="92" s="1" a="1"/>
  <c r="E85" i="92" s="1"/>
  <c r="E15" i="13" a="1"/>
  <c r="E15" i="13" s="1"/>
  <c r="H15" i="13" s="1" a="1"/>
  <c r="H15" i="13" s="1"/>
  <c r="R302" i="80"/>
  <c r="P305" i="80" s="1" a="1"/>
  <c r="P305" i="80" s="1"/>
  <c r="G302" i="80"/>
  <c r="E305" i="80" s="1" a="1"/>
  <c r="E305" i="80" s="1"/>
  <c r="P148" i="84" l="1"/>
  <c r="P115" i="84"/>
  <c r="P110" i="92"/>
  <c r="N113" i="92" s="1" a="1"/>
  <c r="N113" i="92" s="1"/>
  <c r="F15" i="13" a="1"/>
  <c r="F15" i="13" s="1"/>
  <c r="I15" i="13" s="1" a="1"/>
  <c r="I15" i="13" s="1"/>
  <c r="E115" i="84"/>
  <c r="H20" i="13" a="1"/>
  <c r="H20" i="13" s="1"/>
  <c r="F20" i="13"/>
  <c r="I20" i="13" s="1" a="1"/>
  <c r="I20" i="13" s="1"/>
  <c r="H19" i="13" a="1"/>
  <c r="H19" i="13" s="1"/>
  <c r="F19" i="13"/>
  <c r="I19" i="13" s="1" a="1"/>
  <c r="I19" i="13" s="1"/>
  <c r="E148" i="84"/>
  <c r="E85" i="84"/>
  <c r="F17" i="13"/>
  <c r="I17" i="13" s="1" a="1"/>
  <c r="I17" i="13" s="1"/>
  <c r="H17" i="13" a="1"/>
  <c r="H17" i="13" s="1"/>
  <c r="P85" i="84"/>
  <c r="R55" i="85"/>
  <c r="P58" i="85" s="1" a="1"/>
  <c r="P58" i="85" s="1"/>
  <c r="F12" i="13" a="1"/>
  <c r="F12" i="13" s="1"/>
  <c r="I12" i="13" s="1" a="1"/>
  <c r="I12" i="13" s="1"/>
  <c r="E11" i="13" a="1"/>
  <c r="E11" i="13" s="1"/>
  <c r="H11" i="13" s="1" a="1"/>
  <c r="H11" i="13" s="1"/>
  <c r="G54" i="83"/>
  <c r="E57" i="83" s="1" a="1"/>
  <c r="E57" i="83" s="1"/>
  <c r="E12" i="13" a="1"/>
  <c r="E12" i="13" s="1"/>
  <c r="H12" i="13" s="1" a="1"/>
  <c r="H12" i="13" s="1"/>
  <c r="G55" i="85"/>
  <c r="E58" i="85" s="1" a="1"/>
  <c r="E58" i="85" s="1"/>
  <c r="E8" i="13" a="1"/>
  <c r="E8" i="13" s="1"/>
  <c r="H8" i="13" s="1" a="1"/>
  <c r="H8" i="13" s="1"/>
  <c r="F8" i="13" a="1"/>
  <c r="F8" i="13" s="1"/>
  <c r="I8" i="13" s="1" a="1"/>
  <c r="I8" i="13" s="1"/>
  <c r="H31" i="13" l="1"/>
  <c r="E41" i="13" s="1"/>
  <c r="E45" i="13" s="1"/>
  <c r="H77" i="13" s="1"/>
  <c r="I31" i="13"/>
  <c r="F41" i="13" s="1"/>
  <c r="F45" i="13" s="1"/>
  <c r="I77" i="13" s="1"/>
  <c r="H69" i="13" l="1"/>
  <c r="H79" i="13"/>
  <c r="E62" i="13"/>
  <c r="H78" i="13" s="1"/>
  <c r="H81" i="13"/>
  <c r="H71" i="13"/>
  <c r="H67" i="13"/>
  <c r="I69" i="13"/>
  <c r="I81" i="13"/>
  <c r="F62" i="13"/>
  <c r="I72" i="13" s="1"/>
  <c r="I79" i="13"/>
  <c r="I71" i="13"/>
  <c r="I67" i="13"/>
  <c r="I68" i="13"/>
  <c r="I78" i="13"/>
  <c r="H70" i="13"/>
  <c r="H68" i="13"/>
  <c r="H80" i="13"/>
  <c r="H72" i="13" l="1"/>
  <c r="H82" i="13"/>
  <c r="I70" i="13"/>
  <c r="I82" i="13"/>
  <c r="I8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<sst xmlns="http://schemas.openxmlformats.org/spreadsheetml/2006/main" count="4223" uniqueCount="1288">
  <si>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</si>
  <si>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</si>
  <si>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</si>
  <si>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</si>
  <si>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</si>
  <si>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</si>
  <si>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</si>
  <si>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</si>
  <si>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</si>
  <si>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</si>
  <si>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</si>
  <si>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</si>
  <si>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</si>
  <si>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</si>
  <si>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</si>
  <si>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</si>
  <si>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</si>
  <si>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</si>
  <si>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</si>
  <si>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</si>
  <si>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</si>
  <si>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</si>
  <si>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</si>
  <si>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</si>
  <si>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</si>
  <si>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</si>
  <si>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</si>
  <si>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</si>
  <si>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</si>
  <si>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</si>
  <si>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</si>
  <si>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</si>
  <si>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</si>
  <si>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</si>
  <si>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</si>
  <si>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</si>
  <si>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</si>
  <si>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</si>
  <si>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</si>
  <si>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</si>
  <si>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</si>
  <si>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</si>
  <si>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</si>
  <si>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</si>
  <si>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</si>
  <si>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</si>
  <si>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</si>
  <si>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</si>
  <si>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</si>
  <si>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</si>
  <si>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</si>
  <si>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</si>
  <si>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</si>
  <si>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</si>
  <si>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</si>
  <si>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</si>
  <si>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</si>
  <si>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</si>
  <si>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</si>
  <si>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</si>
  <si>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</si>
  <si>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</si>
  <si>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</si>
  <si>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</si>
  <si>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</si>
  <si>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</si>
  <si>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</si>
  <si>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</si>
  <si>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</si>
  <si>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</si>
  <si>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</si>
  <si>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</si>
  <si>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</si>
  <si>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</si>
  <si>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</si>
  <si>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</si>
  <si>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</si>
  <si>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</si>
  <si>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</si>
  <si>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</si>
  <si>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</si>
  <si>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</si>
  <si>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</si>
  <si>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</si>
  <si>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</si>
  <si>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</si>
  <si>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</si>
  <si>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</si>
  <si>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</si>
  <si>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</si>
  <si>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</si>
  <si>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</si>
  <si>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</si>
  <si>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</si>
  <si>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</si>
  <si>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</si>
  <si>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</si>
  <si>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</si>
  <si>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</si>
  <si>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</si>
  <si>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</si>
  <si>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</si>
  <si>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</si>
  <si>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</si>
  <si>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</si>
  <si>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</si>
  <si>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</si>
  <si>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</si>
  <si>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</si>
  <si>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</si>
  <si>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</si>
  <si>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</si>
  <si>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</si>
  <si>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</si>
  <si>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</si>
  <si>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</si>
  <si>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</si>
  <si>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</si>
  <si>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</si>
  <si>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</si>
  <si>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</si>
  <si>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</si>
  <si>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</si>
  <si>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</si>
  <si>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</si>
  <si>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</si>
  <si>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</si>
  <si>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</si>
  <si>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</si>
  <si>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</si>
  <si>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</si>
  <si>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</si>
  <si>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</si>
  <si>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</si>
  <si>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</si>
  <si>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</si>
  <si>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</si>
  <si>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</si>
  <si>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</si>
  <si>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</si>
  <si>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</si>
  <si>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</si>
  <si>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</si>
  <si>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</si>
  <si>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</si>
  <si>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</si>
  <si>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</si>
  <si>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</si>
  <si>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</si>
  <si>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</si>
  <si>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</si>
  <si>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</si>
  <si>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</si>
  <si>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</si>
  <si>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</si>
  <si>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</si>
  <si>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</si>
  <si>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</si>
  <si>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</si>
  <si>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</si>
  <si>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</si>
  <si>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</si>
  <si>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</si>
  <si>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</si>
  <si>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</si>
  <si>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</si>
  <si>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</si>
  <si>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</si>
  <si>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</si>
  <si>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</si>
  <si>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</si>
  <si>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</si>
  <si>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</si>
  <si>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</si>
  <si>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</si>
  <si>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</si>
  <si>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</si>
  <si>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</si>
  <si>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</si>
  <si>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</si>
  <si>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</si>
  <si>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</si>
  <si>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</si>
  <si>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</si>
  <si>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</si>
  <si>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</si>
  <si>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</si>
  <si>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</si>
  <si>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</si>
  <si>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</si>
  <si>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</si>
  <si>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</si>
  <si>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</si>
  <si>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</si>
  <si>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</si>
  <si>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</si>
  <si>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</si>
  <si>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 Data quality</t>
  </si>
  <si>
    <t>Input</t>
  </si>
  <si>
    <t>Temporal representativeness</t>
  </si>
  <si>
    <t>Spatial resolution</t>
  </si>
  <si>
    <t>Sample size</t>
  </si>
  <si>
    <t>Notes</t>
  </si>
  <si>
    <t>Evidence files</t>
  </si>
  <si>
    <t>Score</t>
  </si>
  <si>
    <t>Input name</t>
  </si>
  <si>
    <t>TR4</t>
  </si>
  <si>
    <t>SR5</t>
  </si>
  <si>
    <t>SS3</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</si>
  <si>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</si>
  <si>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</si>
  <si>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</si>
  <si>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</si>
  <si>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</si>
  <si>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</si>
  <si>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</si>
  <si>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</si>
  <si>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</si>
  <si>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</si>
  <si>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</si>
  <si>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</si>
  <si>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</si>
  <si>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</si>
  <si>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</si>
  <si>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</si>
  <si>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</si>
  <si>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</si>
  <si>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</si>
  <si>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</si>
  <si>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</si>
  <si>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</si>
  <si>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</si>
  <si>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</si>
  <si>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</si>
  <si>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</si>
  <si>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</si>
  <si>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</si>
  <si>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</si>
  <si>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</si>
  <si>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</si>
  <si>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</si>
  <si>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</si>
  <si>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</si>
  <si>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</si>
  <si>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</si>
  <si>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</si>
  <si>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</si>
  <si>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</si>
  <si>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</si>
  <si>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</si>
  <si>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</si>
  <si>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</si>
  <si>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</si>
  <si>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</si>
  <si>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</si>
  <si>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</si>
  <si>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</si>
  <si>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</si>
  <si>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</si>
  <si>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</si>
  <si>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</si>
  <si>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</si>
  <si>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</si>
  <si>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</si>
  <si>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</si>
  <si>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</si>
  <si>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</si>
  <si>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</si>
  <si>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</si>
  <si>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</si>
  <si>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</si>
  <si>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</si>
  <si>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</si>
  <si>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</si>
  <si>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</si>
  <si>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</si>
  <si>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</si>
  <si>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</si>
  <si>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</si>
  <si>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</si>
  <si>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</si>
  <si>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</si>
  <si>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</si>
  <si>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</si>
  <si>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</si>
  <si>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</si>
  <si>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</si>
  <si>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</si>
  <si>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</si>
  <si>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</si>
  <si>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</si>
  <si>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</si>
  <si>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</si>
  <si>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</si>
  <si>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</si>
  <si>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</si>
  <si>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</si>
  <si>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</si>
  <si>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</si>
  <si>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</si>
  <si>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</si>
  <si>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</si>
  <si>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</si>
  <si>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</si>
  <si>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</si>
  <si>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</si>
  <si>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</si>
  <si>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</si>
  <si>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</si>
  <si>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</si>
  <si>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</si>
  <si>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</si>
  <si>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</si>
  <si>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</si>
  <si>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</si>
  <si>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</si>
  <si>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</si>
  <si>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</si>
  <si>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</si>
  <si>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</si>
  <si>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</si>
  <si>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</si>
  <si>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</si>
  <si>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</si>
  <si>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</si>
  <si>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</si>
  <si>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</si>
  <si>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</si>
  <si>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</si>
  <si>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</si>
  <si>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</si>
  <si>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</si>
  <si>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</si>
  <si>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</si>
  <si>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</si>
  <si>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</si>
  <si>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</si>
  <si>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</si>
  <si>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</si>
  <si>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</si>
  <si>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</si>
  <si>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</si>
  <si>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</si>
  <si>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</si>
  <si>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</si>
  <si>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</si>
  <si>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</si>
  <si>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</si>
  <si>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</si>
  <si>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</si>
  <si>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</si>
  <si>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</si>
  <si>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</si>
  <si>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</si>
  <si>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</si>
  <si>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</si>
  <si>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</si>
  <si>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</si>
  <si>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</si>
  <si>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</si>
  <si>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</si>
  <si>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</si>
  <si>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</si>
  <si>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</si>
  <si>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</si>
  <si>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</si>
  <si>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</si>
  <si>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</si>
  <si>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</si>
  <si>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</si>
  <si>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</si>
  <si>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</si>
  <si>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</si>
  <si>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</si>
  <si>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</si>
  <si>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</si>
  <si>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</si>
  <si>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</si>
  <si>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</si>
  <si>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</si>
  <si>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</si>
  <si>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</si>
  <si>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</si>
  <si>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</si>
  <si>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</si>
  <si>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</si>
  <si>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</si>
  <si>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</si>
  <si>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</si>
  <si>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</si>
  <si>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</si>
  <si>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</si>
  <si>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</si>
  <si>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</si>
  <si>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</si>
  <si>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</si>
  <si>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</si>
  <si>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</si>
  <si>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</si>
  <si>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</si>
  <si>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</si>
  <si>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</si>
  <si>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</si>
  <si>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</si>
  <si>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</si>
  <si>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</si>
  <si>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</si>
  <si>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</si>
  <si>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</si>
  <si>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</si>
  <si>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</si>
  <si>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</si>
  <si>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</si>
  <si>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</si>
  <si>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</si>
  <si>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</si>
  <si>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</si>
  <si>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</si>
  <si>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</si>
  <si>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</si>
  <si>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</si>
  <si>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</si>
  <si>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</si>
  <si>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</si>
  <si>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</si>
  <si>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</si>
  <si>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</si>
  <si>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</si>
  <si>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</si>
  <si>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</si>
  <si>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</si>
  <si>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</si>
  <si>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</si>
  <si>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</si>
  <si>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</si>
  <si>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</si>
  <si>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</si>
  <si>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</si>
  <si>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</si>
  <si>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</si>
  <si>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</si>
  <si>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</si>
  <si>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</si>
  <si>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</si>
  <si>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</si>
  <si>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</si>
  <si>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</si>
  <si>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</si>
  <si>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</si>
  <si>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</si>
  <si>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</si>
  <si>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</si>
  <si>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</si>
  <si>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</si>
  <si>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</si>
  <si>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</si>
  <si>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</si>
  <si>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</si>
  <si>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</si>
  <si>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</si>
  <si>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</si>
  <si>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</si>
  <si>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</si>
  <si>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</si>
  <si>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</si>
  <si>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</si>
  <si>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</si>
  <si>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</si>
  <si>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</si>
  <si>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</si>
  <si>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</si>
  <si>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</si>
  <si>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</si>
  <si>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</si>
  <si>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</si>
  <si>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</si>
  <si>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</si>
  <si>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</si>
  <si>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</si>
  <si>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</si>
  <si>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</si>
  <si>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</si>
  <si>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</si>
  <si>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</si>
  <si>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</si>
  <si>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</si>
  <si>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</si>
  <si>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</si>
  <si>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</si>
  <si>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</si>
  <si>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</si>
  <si>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</si>
  <si>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</si>
  <si>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</si>
  <si>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</si>
  <si>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</si>
  <si>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</si>
  <si>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</si>
  <si>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</si>
  <si>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</si>
  <si>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</si>
  <si>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</si>
  <si>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</si>
  <si>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</si>
  <si>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</si>
  <si>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</si>
  <si>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</si>
  <si>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</si>
  <si>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</si>
  <si>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</si>
  <si>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</si>
  <si>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</si>
  <si>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</si>
  <si>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</si>
  <si>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</si>
  <si>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</si>
  <si>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</si>
  <si>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</si>
  <si>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</si>
  <si>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</si>
  <si>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</si>
  <si>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</si>
  <si>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</si>
  <si>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</si>
  <si>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</si>
  <si>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</si>
  <si>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</si>
  <si>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</si>
  <si>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</si>
  <si>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</si>
  <si>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</si>
  <si>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</si>
  <si>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</si>
  <si>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</si>
  <si>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</si>
  <si>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</si>
  <si>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</si>
  <si>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</si>
  <si>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</si>
  <si>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</si>
  <si>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</si>
  <si>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</si>
  <si>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</si>
  <si>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</si>
  <si>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</si>
  <si>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</si>
  <si>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</si>
  <si>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</si>
  <si>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</si>
  <si>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</si>
  <si>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</si>
  <si>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</si>
  <si>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</si>
  <si>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</si>
  <si>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</si>
  <si>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</si>
  <si>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</si>
  <si>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</si>
  <si>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</si>
  <si>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</si>
  <si>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</si>
  <si>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</si>
  <si>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</si>
  <si>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</si>
  <si>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</si>
  <si>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</si>
  <si>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</si>
  <si>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</si>
  <si>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</si>
  <si>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</si>
  <si>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</si>
  <si>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</si>
  <si>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</si>
  <si>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</si>
  <si>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</si>
  <si>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</si>
  <si>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</si>
  <si>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</si>
  <si>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</si>
  <si>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</si>
  <si>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</si>
  <si>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</si>
  <si>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</si>
  <si>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</si>
  <si>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</si>
  <si>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</si>
  <si>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</si>
  <si>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</si>
  <si>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</si>
  <si>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</si>
  <si>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</si>
  <si>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</si>
  <si>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</si>
  <si>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</si>
  <si>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</si>
  <si>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</si>
  <si>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</si>
  <si>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</si>
  <si>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</si>
  <si>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</si>
  <si>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</si>
  <si>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</si>
  <si>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</si>
  <si>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</si>
  <si>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</si>
  <si>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</si>
  <si>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</si>
  <si>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</si>
  <si>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</si>
  <si>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</si>
  <si>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</si>
  <si>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</si>
  <si>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</si>
  <si>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</si>
  <si>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</si>
  <si>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</si>
  <si>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</si>
  <si>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</si>
  <si>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</si>
  <si>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</si>
  <si>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</si>
  <si>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</si>
  <si>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</si>
  <si>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</si>
  <si>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</si>
  <si>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</si>
  <si>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</si>
  <si>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</si>
  <si>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</si>
  <si>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</si>
  <si>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</si>
  <si>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</si>
  <si>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</si>
  <si>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</si>
  <si>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</si>
  <si>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</si>
  <si>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</si>
  <si>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</si>
  <si>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</si>
  <si>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</si>
  <si>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</si>
  <si>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</si>
  <si>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</si>
  <si>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</si>
  <si>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</si>
  <si>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</si>
  <si>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</si>
  <si>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</si>
  <si>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</si>
  <si>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</si>
  <si>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</si>
  <si>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</si>
  <si>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</si>
  <si>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</si>
  <si>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</si>
  <si>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</si>
  <si>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</si>
  <si>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</si>
  <si>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</si>
  <si>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</si>
  <si>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</si>
  <si>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</si>
  <si>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</si>
  <si>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</si>
  <si>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</si>
  <si>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</si>
  <si>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</si>
  <si>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</si>
  <si>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</si>
  <si>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</si>
  <si>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</si>
  <si>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</si>
  <si>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</si>
  <si>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</si>
  <si>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</si>
  <si>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</si>
  <si>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</si>
  <si>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</si>
  <si>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</si>
  <si>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</si>
  <si>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</si>
  <si>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</si>
  <si>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</si>
  <si>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</si>
  <si>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</si>
  <si>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</si>
  <si>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</si>
  <si>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</si>
  <si>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</si>
  <si>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</si>
  <si>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</si>
  <si>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</si>
  <si>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</si>
  <si>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</si>
  <si>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</si>
  <si>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</si>
  <si>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</si>
  <si>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</si>
  <si>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</si>
  <si>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</si>
  <si>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</si>
  <si>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</si>
  <si>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</si>
  <si>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</si>
  <si>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</si>
  <si>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</si>
  <si>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</si>
  <si>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</si>
  <si>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</si>
  <si>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</si>
  <si>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</si>
  <si>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</si>
  <si>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</si>
  <si>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</si>
  <si>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</si>
  <si>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</si>
  <si>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</si>
  <si>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</si>
  <si>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</si>
  <si>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</si>
  <si>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</si>
  <si>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</si>
  <si>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</si>
  <si>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</si>
  <si>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</si>
  <si>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</si>
  <si>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</si>
  <si>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</si>
  <si>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</si>
  <si>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</si>
  <si>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</si>
  <si>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</si>
  <si>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</si>
  <si>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</si>
  <si>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</si>
  <si>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</si>
  <si>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</si>
  <si>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</si>
  <si>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</si>
  <si>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</si>
  <si>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</si>
  <si>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</si>
  <si>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</si>
  <si>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</si>
  <si>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</si>
  <si>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</si>
  <si>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</si>
  <si>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</si>
  <si>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</si>
  <si>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</si>
  <si>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</si>
  <si>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</si>
  <si>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</si>
  <si>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</si>
  <si>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</si>
  <si>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</si>
  <si>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</si>
  <si>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</si>
  <si>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</si>
  <si>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</si>
  <si>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</si>
  <si>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</si>
  <si>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</si>
  <si>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</si>
  <si>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</si>
  <si>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</si>
  <si>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</si>
  <si>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</si>
  <si>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</si>
  <si>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</si>
  <si>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</si>
  <si>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</si>
  <si>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</si>
  <si>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</si>
  <si>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</si>
  <si>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</si>
  <si>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</si>
  <si>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</si>
  <si>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</si>
  <si>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</si>
  <si>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</si>
  <si>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</si>
  <si>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</si>
  <si>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</si>
  <si>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</si>
  <si>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</si>
  <si>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</si>
  <si>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</si>
  <si>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</si>
  <si>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</si>
  <si>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</si>
  <si>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</si>
  <si>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</si>
  <si>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</si>
  <si>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</si>
  <si>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</si>
  <si>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</si>
  <si>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</si>
  <si>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</si>
  <si>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</si>
  <si>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</si>
  <si>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</si>
  <si>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</si>
  <si>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</si>
  <si>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</si>
  <si>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</si>
  <si>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</si>
  <si>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</si>
  <si>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</si>
  <si>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</si>
  <si>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</si>
  <si>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</si>
  <si>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</si>
  <si>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</si>
  <si>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</si>
  <si>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</si>
  <si>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</si>
  <si>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</si>
  <si>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</si>
  <si>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</si>
  <si>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</si>
  <si>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</si>
  <si>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</si>
  <si>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</si>
  <si>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</si>
  <si>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</si>
  <si>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</si>
  <si>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</si>
  <si>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</si>
  <si>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</si>
  <si>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</si>
  <si>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</si>
  <si>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</si>
  <si>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</si>
  <si>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</si>
  <si>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</si>
  <si>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</si>
  <si>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</si>
  <si>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</si>
  <si>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</si>
  <si>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</si>
  <si>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</si>
  <si>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</si>
  <si>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</si>
  <si>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</si>
  <si>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</si>
  <si>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</si>
  <si>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</si>
  <si>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</si>
  <si>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</si>
  <si>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</si>
  <si>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</si>
  <si>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</si>
  <si>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</si>
  <si>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</si>
  <si>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</si>
  <si>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</si>
  <si>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</si>
  <si>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</si>
  <si>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</si>
  <si>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</si>
  <si>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</si>
  <si>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</si>
  <si>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</si>
  <si>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</si>
  <si>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</si>
  <si>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</si>
  <si>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</si>
  <si>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</si>
  <si>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</si>
  <si>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</si>
  <si>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</si>
  <si>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</si>
  <si>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</si>
  <si>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</si>
  <si>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</si>
  <si>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</si>
  <si>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</si>
  <si>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</si>
  <si>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</si>
  <si>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</si>
  <si>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</si>
  <si>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</si>
  <si>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</si>
  <si>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</si>
  <si>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</si>
  <si>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</si>
  <si>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</si>
  <si>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</si>
  <si>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</si>
  <si>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</si>
  <si>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</si>
  <si>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</si>
  <si>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</si>
  <si>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</si>
  <si>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</si>
  <si>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</si>
  <si>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</si>
  <si>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</si>
  <si>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</si>
  <si>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</si>
  <si>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</si>
  <si>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</si>
  <si>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</si>
  <si>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</si>
  <si>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</si>
  <si>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</si>
  <si>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</si>
  <si>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</si>
  <si>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</si>
  <si>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</si>
  <si>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</si>
  <si>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</si>
  <si>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</si>
  <si>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</si>
  <si>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</si>
  <si>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</si>
  <si>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</si>
  <si>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</si>
  <si>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</si>
  <si>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</si>
  <si>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</si>
  <si>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</si>
  <si>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</si>
  <si>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</si>
  <si>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</si>
  <si>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</si>
  <si>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</si>
  <si>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</si>
  <si>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</si>
  <si>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</si>
  <si>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</si>
  <si>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</si>
  <si>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</si>
  <si>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</si>
  <si>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</si>
  <si>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</si>
  <si>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</si>
  <si>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</si>
  <si>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</si>
  <si>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</si>
  <si>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</si>
  <si>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</si>
  <si>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</si>
  <si>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</si>
  <si>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</si>
  <si>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</si>
  <si>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</si>
  <si>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</si>
  <si>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</si>
  <si>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</si>
  <si>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</si>
  <si>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</si>
  <si>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</si>
  <si>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</si>
  <si>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</si>
  <si>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</si>
  <si>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</si>
  <si>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</si>
  <si>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</si>
  <si>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</si>
  <si>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</si>
  <si>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</si>
  <si>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</si>
  <si>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</si>
  <si>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</si>
  <si>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N/A</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</si>
  <si>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</si>
  <si>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</si>
  <si>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</si>
  <si>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</si>
  <si>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</si>
  <si>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</si>
  <si>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</si>
  <si>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</si>
  <si>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</si>
  <si>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</si>
  <si>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</si>
  <si>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</si>
  <si>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</si>
  <si>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</si>
  <si>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</si>
  <si>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</si>
  <si>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</si>
  <si>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</si>
  <si>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</si>
  <si>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</si>
  <si>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</si>
  <si>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</si>
  <si>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</si>
  <si>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</si>
  <si>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</si>
  <si>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</si>
  <si>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</si>
  <si>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</si>
  <si>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</si>
  <si>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</si>
  <si>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</si>
  <si>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</si>
  <si>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</si>
  <si>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</si>
  <si>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</si>
  <si>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</si>
  <si>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</si>
  <si>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</si>
  <si>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</si>
  <si>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</si>
  <si>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</si>
  <si>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Dairy Cattle Purchases</t>
  </si>
  <si>
    <t>⚠️ Livestock sales and purchases are not automatically reflected in the duration and head count tables - you will need to manually adjust head count, duration and average liveweight</t>
  </si>
  <si>
    <t>Breed (select)</t>
  </si>
  <si>
    <t>Quantity (head)</t>
  </si>
  <si>
    <t>Liveweight (kg/head) Method 1</t>
  </si>
  <si>
    <t>Liveweight (kg/head) Method 2</t>
  </si>
  <si>
    <t>Dairy cows from Denise</t>
  </si>
  <si>
    <t>Jersey crossbred</t>
  </si>
  <si>
    <t>Ayrshire</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</si>
  <si>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</si>
  <si>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</si>
  <si>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</si>
  <si>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</si>
  <si>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</si>
  <si>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</si>
  <si>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</si>
  <si>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</si>
  <si>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</si>
  <si>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</si>
  <si>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</si>
  <si>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</si>
  <si>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</si>
  <si>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</si>
  <si>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</si>
  <si>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</si>
  <si>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</si>
  <si>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</si>
  <si>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</si>
  <si>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</si>
  <si>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</si>
  <si>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</si>
  <si>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</si>
  <si>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</si>
  <si>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</si>
  <si>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</si>
  <si>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</si>
  <si>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</si>
  <si>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</si>
  <si>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</si>
  <si>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</si>
  <si>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</si>
  <si>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</si>
  <si>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</si>
  <si>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</si>
  <si>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</si>
  <si>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</si>
  <si>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</si>
  <si>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</si>
  <si>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</si>
  <si>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</si>
  <si>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</si>
  <si>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</si>
  <si>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</si>
  <si>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</si>
  <si>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</si>
  <si>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</si>
  <si>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</si>
  <si>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</si>
  <si>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</si>
  <si>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</si>
  <si>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</si>
  <si>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</si>
  <si>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</si>
  <si>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</si>
  <si>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</si>
  <si>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</si>
  <si>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</si>
  <si>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Livestock, wild catch fishery, aquaculture</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</si>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</sst>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3"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color theme="1"/>
      <name val="Times New Roman"/>
      <family val="2"/>
    </font>
    <font>
      <sz val="9"/>
      <color rgb="FF404040"/>
      <name val="Times New Roman"/>
      <family val="1"/>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8" fillId="0" borderId="0"/>
    <xf numFmtId="0" fontId="1" fillId="0" borderId="0"/>
    <xf numFmtId="0" fontId="84" fillId="4" borderId="0">
      <alignment horizontal="left" vertical="center"/>
    </xf>
    <xf numFmtId="0" fontId="42" fillId="17" borderId="2">
      <alignment horizontal="center" vertical="center"/>
    </xf>
  </cellStyleXfs>
  <cellXfs count="28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3" fillId="6" borderId="0" xfId="29">
      <alignment horizontal="center" vertical="center"/>
      <protection locked="0"/>
    </xf>
    <xf numFmtId="0" fontId="0" fillId="0" borderId="0" xfId="14" applyFont="1" applyBorder="1">
      <alignment horizontal="center" vertical="center"/>
    </xf>
    <xf numFmtId="0" fontId="10" fillId="0" borderId="0" xfId="55"/>
    <xf numFmtId="0" fontId="13" fillId="6" borderId="0" xfId="28">
      <alignment horizontal="left" vertical="center" indent="1"/>
    </xf>
    <xf numFmtId="0" fontId="21" fillId="5" borderId="0" xfId="36">
      <alignment horizontal="left" vertical="center" indent="1"/>
    </xf>
    <xf numFmtId="3" fontId="3" fillId="0" borderId="2" xfId="18">
      <alignment horizontal="center" vertical="center"/>
    </xf>
    <xf numFmtId="0" fontId="56"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7" fillId="4" borderId="0" xfId="59" applyFont="1">
      <alignment horizontal="left" vertical="center"/>
    </xf>
    <xf numFmtId="0" fontId="30" fillId="4" borderId="0" xfId="8" applyAlignment="1">
      <alignment horizontal="center" vertical="center"/>
    </xf>
    <xf numFmtId="9" fontId="26" fillId="4" borderId="2" xfId="68" applyFont="1" applyFill="1" applyBorder="1"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8" fillId="0" borderId="0" xfId="69"/>
    <xf numFmtId="0" fontId="59" fillId="4" borderId="0" xfId="8" applyFont="1">
      <alignment horizontal="left" vertical="center"/>
    </xf>
    <xf numFmtId="0" fontId="60"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2" fillId="4" borderId="1" xfId="8" applyFont="1" applyBorder="1">
      <alignment horizontal="left" vertical="center"/>
    </xf>
    <xf numFmtId="0" fontId="63" fillId="4" borderId="1" xfId="8" applyFont="1" applyBorder="1">
      <alignment horizontal="left" vertical="center"/>
    </xf>
    <xf numFmtId="0" fontId="64"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8" fillId="2" borderId="0" xfId="8" applyFont="1" applyFill="1">
      <alignment horizontal="left" vertical="center"/>
    </xf>
    <xf numFmtId="0" fontId="30" fillId="16" borderId="0" xfId="8" applyFill="1">
      <alignment horizontal="left" vertical="center"/>
    </xf>
    <xf numFmtId="0" fontId="69" fillId="4" borderId="0" xfId="0" applyFont="1" applyFill="1" applyAlignment="1">
      <alignment horizontal="center" vertical="center"/>
    </xf>
    <xf numFmtId="0" fontId="69" fillId="4" borderId="0" xfId="0" applyFont="1" applyFill="1"/>
    <xf numFmtId="0" fontId="70"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69" fillId="4" borderId="0" xfId="67" applyNumberFormat="1" applyFont="1" applyFill="1" applyBorder="1" applyAlignment="1" applyProtection="1">
      <alignment horizontal="center" wrapText="1"/>
      <protection locked="0"/>
    </xf>
    <xf numFmtId="1" fontId="69" fillId="4" borderId="0" xfId="67" applyNumberFormat="1" applyFont="1" applyFill="1" applyBorder="1" applyAlignment="1" applyProtection="1">
      <alignment horizontal="center" wrapText="1"/>
      <protection locked="0"/>
    </xf>
    <xf numFmtId="0" fontId="69" fillId="4" borderId="0" xfId="0" applyFont="1" applyFill="1" applyAlignment="1">
      <alignment horizontal="left" wrapText="1"/>
    </xf>
    <xf numFmtId="0" fontId="70"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71"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1" fillId="12" borderId="2" xfId="15" applyFont="1">
      <alignment horizontal="center" vertical="center"/>
    </xf>
    <xf numFmtId="9" fontId="0" fillId="0" borderId="21" xfId="68" applyFont="1" applyFill="1" applyBorder="1" applyAlignment="1">
      <alignment horizontal="center" vertical="center" wrapText="1"/>
    </xf>
    <xf numFmtId="4" fontId="55" fillId="0" borderId="2" xfId="17" applyFont="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4"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4"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5"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6"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6"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6" fillId="4" borderId="29" xfId="52" applyNumberFormat="1" applyFont="1" applyBorder="1">
      <alignment horizontal="center" vertical="center"/>
    </xf>
    <xf numFmtId="174" fontId="76" fillId="4" borderId="27" xfId="52" applyNumberFormat="1" applyFont="1" applyBorder="1">
      <alignment horizontal="center" vertical="center"/>
    </xf>
    <xf numFmtId="0" fontId="26" fillId="4" borderId="29" xfId="52" applyBorder="1">
      <alignment horizontal="center" vertical="center"/>
    </xf>
    <xf numFmtId="0" fontId="76" fillId="4" borderId="29" xfId="52" applyFont="1" applyBorder="1">
      <alignment horizontal="center" vertical="center"/>
    </xf>
    <xf numFmtId="0" fontId="4" fillId="4" borderId="25" xfId="7" applyBorder="1">
      <alignment horizontal="left" vertical="center"/>
    </xf>
    <xf numFmtId="165" fontId="74" fillId="4" borderId="25" xfId="0" applyNumberFormat="1" applyFont="1" applyFill="1" applyBorder="1"/>
    <xf numFmtId="0" fontId="7" fillId="4" borderId="25" xfId="12" applyBorder="1">
      <alignment horizontal="left" vertical="center" indent="1"/>
    </xf>
    <xf numFmtId="168" fontId="74" fillId="4" borderId="0" xfId="0" applyNumberFormat="1" applyFont="1" applyFill="1" applyAlignment="1">
      <alignment vertical="center"/>
    </xf>
    <xf numFmtId="165" fontId="74" fillId="4" borderId="25" xfId="0" applyNumberFormat="1" applyFont="1" applyFill="1" applyBorder="1" applyAlignment="1">
      <alignment vertical="center"/>
    </xf>
    <xf numFmtId="0" fontId="74" fillId="4" borderId="0" xfId="0" applyFont="1" applyFill="1" applyAlignment="1">
      <alignment vertical="center"/>
    </xf>
    <xf numFmtId="165" fontId="77" fillId="4" borderId="25" xfId="0" applyNumberFormat="1" applyFont="1" applyFill="1" applyBorder="1" applyAlignment="1">
      <alignment vertical="center"/>
    </xf>
    <xf numFmtId="168" fontId="76" fillId="4" borderId="2" xfId="46" applyNumberFormat="1" applyFont="1">
      <alignment horizontal="center" vertical="center"/>
    </xf>
    <xf numFmtId="168" fontId="76" fillId="4" borderId="26" xfId="46" applyNumberFormat="1" applyFont="1" applyBorder="1">
      <alignment horizontal="center" vertical="center"/>
    </xf>
    <xf numFmtId="168" fontId="76" fillId="4" borderId="29" xfId="46" applyNumberFormat="1" applyFont="1" applyBorder="1">
      <alignment horizontal="center" vertical="center"/>
    </xf>
    <xf numFmtId="0" fontId="75" fillId="0" borderId="0" xfId="0" applyFont="1" applyAlignment="1">
      <alignment vertical="center" wrapText="1"/>
    </xf>
    <xf numFmtId="0" fontId="78" fillId="0" borderId="0" xfId="0" applyFont="1" applyAlignment="1">
      <alignment horizontal="left" vertical="center"/>
    </xf>
    <xf numFmtId="0" fontId="78" fillId="0" borderId="0" xfId="8" applyFont="1" applyFill="1">
      <alignment horizontal="left" vertical="center"/>
    </xf>
    <xf numFmtId="0" fontId="75"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5" fillId="4" borderId="0" xfId="0" applyFont="1" applyFill="1" applyAlignment="1">
      <alignment horizontal="left" vertical="center"/>
    </xf>
    <xf numFmtId="0" fontId="44" fillId="4" borderId="0" xfId="8" applyFont="1" applyAlignment="1">
      <alignment horizontal="right" vertical="center"/>
    </xf>
    <xf numFmtId="0" fontId="79" fillId="4" borderId="0" xfId="0" applyFont="1" applyFill="1"/>
    <xf numFmtId="0" fontId="75" fillId="0" borderId="0" xfId="0" applyFont="1"/>
    <xf numFmtId="0" fontId="75" fillId="0" borderId="0" xfId="7" applyFont="1" applyFill="1">
      <alignment horizontal="left" vertical="center"/>
    </xf>
    <xf numFmtId="0" fontId="75" fillId="4" borderId="0" xfId="0" applyFont="1" applyFill="1"/>
    <xf numFmtId="0" fontId="75" fillId="4" borderId="0" xfId="7" applyFont="1">
      <alignment horizontal="left" vertical="center"/>
    </xf>
    <xf numFmtId="0" fontId="80"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1" fillId="4" borderId="1" xfId="0" applyFont="1" applyFill="1" applyBorder="1"/>
    <xf numFmtId="0" fontId="83" fillId="4" borderId="1" xfId="0" applyFont="1" applyFill="1" applyBorder="1"/>
    <xf numFmtId="0" fontId="23" fillId="0" borderId="0" xfId="0" applyFont="1"/>
    <xf numFmtId="0" fontId="1" fillId="0" borderId="0" xfId="70"/>
    <xf numFmtId="0" fontId="10" fillId="4" borderId="0" xfId="55" applyFill="1"/>
    <xf numFmtId="0" fontId="0" fillId="0" borderId="0" xfId="8" applyFont="1" applyFill="1" applyAlignment="1">
      <alignment horizontal="left" vertical="center" wrapText="1"/>
    </xf>
    <xf numFmtId="0" fontId="3" fillId="0" borderId="26" xfId="56" applyBorder="1">
      <alignment horizontal="center" vertical="center"/>
    </xf>
    <xf numFmtId="0" fontId="0" fillId="0" borderId="0" xfId="29" applyFont="1" applyFill="1" applyProtection="1">
      <alignment horizontal="center" vertical="center"/>
    </xf>
    <xf numFmtId="0" fontId="1" fillId="4" borderId="0" xfId="70" applyFill="1"/>
    <xf numFmtId="0" fontId="84" fillId="4" borderId="0" xfId="71">
      <alignment horizontal="left" vertical="center"/>
    </xf>
    <xf numFmtId="0" fontId="33" fillId="13" borderId="30" xfId="39" applyBorder="1">
      <alignment horizontal="left" vertical="center"/>
    </xf>
    <xf numFmtId="0" fontId="1" fillId="0" borderId="0" xfId="70" applyAlignment="1">
      <alignment horizontal="center" vertical="center" wrapText="1"/>
    </xf>
    <xf numFmtId="4" fontId="0" fillId="0" borderId="0" xfId="17" applyFont="1" applyBorder="1">
      <alignment horizontal="center" vertical="center"/>
    </xf>
    <xf numFmtId="0" fontId="69" fillId="4" borderId="0" xfId="55" applyFont="1" applyFill="1" applyAlignment="1" applyProtection="1">
      <alignment horizontal="center"/>
      <protection locked="0"/>
    </xf>
    <xf numFmtId="0" fontId="69"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26" xfId="15" applyBorder="1" applyAlignment="1">
      <alignment horizontal="center" vertical="center" wrapText="1"/>
    </xf>
    <xf numFmtId="0" fontId="42" fillId="17" borderId="2" xfId="72">
      <alignment horizontal="center" vertical="center"/>
    </xf>
    <xf numFmtId="0" fontId="54" fillId="6" borderId="0" xfId="8" applyFont="1" applyFill="1">
      <alignment horizontal="left" vertical="center"/>
    </xf>
    <xf numFmtId="0" fontId="76" fillId="4" borderId="2" xfId="52" applyFont="1">
      <alignment horizontal="center" vertical="center"/>
    </xf>
    <xf numFmtId="0" fontId="87"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2"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84279E51-549B-4BF6-9912-EE6E2D13677B}"/>
    <cellStyle name="Block heading" xfId="5" xr:uid="{74527274-3B4A-494A-B37C-EA50686E114C}"/>
    <cellStyle name="Block subheading" xfId="47" xr:uid="{34E62905-A3E0-4883-B81A-BDB58FC88DA7}"/>
    <cellStyle name="Block subheading 2" xfId="71" xr:uid="{253789E7-CFD2-4AC1-960B-17E875F2A52A}"/>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C4743E5F-886F-4CFB-BAB6-0289FE489C4E}"/>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0DCE17CA-18F5-4E0A-9171-6F7833CD1BB9}"/>
    <cellStyle name="Variable type other" xfId="64" xr:uid="{105BD9DE-B567-4DA0-87E6-C60A0ECC1C65}"/>
  </cellStyles>
  <dxfs count="42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24"/>
      <tableStyleElement type="headerRow" dxfId="423"/>
      <tableStyleElement type="totalRow" dxfId="422"/>
      <tableStyleElement type="firstColumn" dxfId="421"/>
      <tableStyleElement type="firstRowStripe" dxfId="420"/>
      <tableStyleElement type="secondRowStripe" dxfId="419"/>
    </tableStyle>
    <tableStyle name="Equation table" pivot="0" count="6" xr9:uid="{B247698E-E41D-4CCD-AA0A-C14817E9DE65}">
      <tableStyleElement type="wholeTable" dxfId="418"/>
      <tableStyleElement type="headerRow" dxfId="417"/>
      <tableStyleElement type="totalRow" dxfId="416"/>
      <tableStyleElement type="firstColumn" dxfId="415"/>
      <tableStyleElement type="firstRowStripe" dxfId="414"/>
      <tableStyleElement type="secondRowStripe" dxfId="41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8" Type="http://schemas.microsoft.com/office/2022/10/relationships/richValueRel" Target="richData/richValueRel.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worksheet" Target="worksheets/sheet53.xml" /><Relationship Id="rId66" Type="http://schemas.openxmlformats.org/officeDocument/2006/relationships/sharedStrings" Target="sharedStrings.xml" /><Relationship Id="rId74" Type="http://schemas.openxmlformats.org/officeDocument/2006/relationships/customXml" Target="../customXml/item2.xml" /><Relationship Id="rId5" Type="http://schemas.openxmlformats.org/officeDocument/2006/relationships/worksheet" Target="worksheets/sheet5.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openxmlformats.org/officeDocument/2006/relationships/theme" Target="theme/theme1.xml" /><Relationship Id="rId69" Type="http://schemas.microsoft.com/office/2017/06/relationships/rdRichValue" Target="richData/rdrichvalue.xml" /><Relationship Id="rId8" Type="http://schemas.openxmlformats.org/officeDocument/2006/relationships/worksheet" Target="worksheets/sheet8.xml" /><Relationship Id="rId51" Type="http://schemas.openxmlformats.org/officeDocument/2006/relationships/worksheet" Target="worksheets/sheet51.xml" /><Relationship Id="rId72" Type="http://schemas.openxmlformats.org/officeDocument/2006/relationships/calcChain" Target="calcChain.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openxmlformats.org/officeDocument/2006/relationships/sheetMetadata" Target="metadata.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worksheet" Target="worksheets/sheet54.xml" /><Relationship Id="rId70" Type="http://schemas.microsoft.com/office/2017/06/relationships/rdRichValueStructure" Target="richData/rdrichvaluestructure.xml" /><Relationship Id="rId75"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worksheet" Target="worksheets/sheet52.xml" /><Relationship Id="rId65" Type="http://schemas.openxmlformats.org/officeDocument/2006/relationships/styles" Target="styles.xml" /><Relationship Id="rId73"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 Id="rId76" Type="http://schemas.openxmlformats.org/officeDocument/2006/relationships/customXml" Target="../customXml/item4.xml" /><Relationship Id="rId7" Type="http://schemas.openxmlformats.org/officeDocument/2006/relationships/worksheet" Target="worksheets/sheet7.xml" /><Relationship Id="rId71" Type="http://schemas.microsoft.com/office/2017/06/relationships/rdRichValueTypes" Target="richData/rdRichValueTypes.xml" /></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2B8DB00-BF01-40B8-92F0-ED750B4AA8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2B8DB00-BF01-40B8-92F0-ED750B4AA8E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DF44389-C2F2-4E02-B414-ABCCAAD7D41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8DF44389-C2F2-4E02-B414-ABCCAAD7D41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44AFEA-DF42-4128-9F96-679805B4A6F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244AFEA-DF42-4128-9F96-679805B4A6F0}"/>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911A064-ED16-406F-9111-800122998303}"/>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911A064-ED16-406F-9111-800122998303}"/>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C2C522E-4267-4B51-A2C1-639568987D8B}"/>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C2C522E-4267-4B51-A2C1-639568987D8B}"/>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11C13D2-860C-4529-AFF2-D9CAD0B758A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11C13D2-860C-4529-AFF2-D9CAD0B758A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15DB3BE-12F6-4C59-AE56-47199BDE7489}"/>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15DB3BE-12F6-4C59-AE56-47199BDE7489}"/>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51282F4-BD51-4345-BBEB-1FA361B98DB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51282F4-BD51-4345-BBEB-1FA361B98DBE}"/>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3642C41-18FF-4FA5-92F8-3CCE2FC6762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3642C41-18FF-4FA5-92F8-3CCE2FC6762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688C8C2-4B5D-4C27-BC88-645EFAFB09A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688C8C2-4B5D-4C27-BC88-645EFAFB09A8}"/>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6D6428-41B6-4F0F-BE92-9163722CAC3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16D6428-41B6-4F0F-BE92-9163722CAC3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13ED17-BC30-44B3-B33D-17F1A41350F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113ED17-BC30-44B3-B33D-17F1A41350F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378BCA-93BD-4C01-ADE6-A725272D7E3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4378BCA-93BD-4C01-ADE6-A725272D7E3E}"/>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6101C3D-3744-4351-9E47-F23ECF7D6FB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6101C3D-3744-4351-9E47-F23ECF7D6FB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D56675C-3D9A-4578-A0EC-FC280989496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D56675C-3D9A-4578-A0EC-FC280989496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A342929-4EAF-424E-AEC6-3CB1EFF4B8E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DA342929-4EAF-424E-AEC6-3CB1EFF4B8EF}"/>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A872F47-F523-4491-A4B1-FF2F61F770F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A872F47-F523-4491-A4B1-FF2F61F770F3}"/>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8C07DD9-F206-42D2-9753-F85BC66ED85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8C07DD9-F206-42D2-9753-F85BC66ED85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E05A251-D1F1-4295-9626-F2EA2C142CD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E05A251-D1F1-4295-9626-F2EA2C142CD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D61EB64-D939-41C0-AE8E-ECB85B28399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D61EB64-D939-41C0-AE8E-ECB85B28399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66424FC-8376-4369-8C41-F1F50E54D79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66424FC-8376-4369-8C41-F1F50E54D79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D82830D-59D5-45BC-93A0-B83E2798914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D82830D-59D5-45BC-93A0-B83E2798914C}"/>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382FB0C-9667-4690-A5FE-4BF9FC12EE4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382FB0C-9667-4690-A5FE-4BF9FC12EE4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72031C2-5061-40F9-8208-9A9E38F456C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72031C2-5061-40F9-8208-9A9E38F456C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95F18BA-8A0D-4537-B992-C3832381E93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95F18BA-8A0D-4537-B992-C3832381E93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5264093-FBC0-4560-B32C-1374BB19823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5264093-FBC0-4560-B32C-1374BB19823F}"/>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4C4057E-D960-4A80-9ADB-52318C83B62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4C4057E-D960-4A80-9ADB-52318C83B62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CC1C4D8-C468-4726-8ECA-1B1B7DF5C7E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CC1C4D8-C468-4726-8ECA-1B1B7DF5C7E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017F9D4-3BDF-4C9A-AB9F-3948152E9E9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017F9D4-3BDF-4C9A-AB9F-3948152E9E9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A93DA64-62A9-4595-80DD-F8208C3DF89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A93DA64-62A9-4595-80DD-F8208C3DF89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E153E5-BB2A-4C4E-B518-D062D5FA84A1}"/>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AE153E5-BB2A-4C4E-B518-D062D5FA84A1}"/>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50AD7DC-8E98-424B-98D5-9839AC39B7B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950AD7DC-8E98-424B-98D5-9839AC39B7BA}"/>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FA0971E-D542-4DF5-881D-CA33D0D7DD6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FA0971E-D542-4DF5-881D-CA33D0D7DD6F}"/>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D75FDEF-17E0-44C3-ABFF-95DAE6B51406}"/>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D75FDEF-17E0-44C3-ABFF-95DAE6B51406}"/>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C9FEDD4-0591-4A93-8CBE-7C727C75979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C9FEDD4-0591-4A93-8CBE-7C727C759793}"/>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7B0E320-8F94-4750-8EA4-3B77416F92EA}"/>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B7B0E320-8F94-4750-8EA4-3B77416F92EA}"/>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74ACF1E-E7DE-487D-9C3D-35DF778CAFB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74ACF1E-E7DE-487D-9C3D-35DF778CAFBF}"/>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C5DEB7C-9954-4963-9737-59FDA563866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0C5DEB7C-9954-4963-9737-59FDA563866E}"/>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E86C9C0-DF45-48D9-B0DA-74DE90B7B761}"/>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4E86C9C0-DF45-48D9-B0DA-74DE90B7B761}"/>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A7B3480-B0FD-46E9-AB18-68C362A24C3F}"/>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2A7B3480-B0FD-46E9-AB18-68C362A24C3F}"/>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875848E-934C-46A2-B2A0-D557BE630871}"/>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0875848E-934C-46A2-B2A0-D557BE630871}"/>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7E44667-6D1C-4ED4-8173-E1F0FA368994}"/>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C7E44667-6D1C-4ED4-8173-E1F0FA368994}"/>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B8F4540-92F5-4665-96F6-345DCD8B7B83}"/>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0B8F4540-92F5-4665-96F6-345DCD8B7B83}"/>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BC17BCCD-A575-46AA-BE54-85B94E7BCEB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BC17BCCD-A575-46AA-BE54-85B94E7BCEB9}"/>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76F9C944-3276-4FF9-B5F1-13C7CD8D55E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76F9C944-3276-4FF9-B5F1-13C7CD8D55E3}"/>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B373702-4CF1-4403-907C-6B24E793A8EA}"/>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BB373702-4CF1-4403-907C-6B24E793A8EA}"/>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2461C5A-9061-4596-B3C1-4DE51616DAD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C2461C5A-9061-4596-B3C1-4DE51616DADD}"/>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74BBDE49-AD8A-47E6-9016-CE877DB4174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74BBDE49-AD8A-47E6-9016-CE877DB41745}"/>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3DF47758-1EA1-4217-B1EA-6775EA358F43}"/>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3DF47758-1EA1-4217-B1EA-6775EA358F43}"/>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D089218-3D7E-4F05-9D3F-D2B5E1BAC3F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5D089218-3D7E-4F05-9D3F-D2B5E1BAC3FA}"/>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7C65F03E-214F-42A6-95A7-09C55C934055}"/>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7C65F03E-214F-42A6-95A7-09C55C934055}"/>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0B4CA036-FC24-4330-A8A9-7F3A92F30CC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0B4CA036-FC24-4330-A8A9-7F3A92F30CC9}"/>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E48E40D-9F7F-45D5-B7E0-6F161105D47F}"/>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7E48E40D-9F7F-45D5-B7E0-6F161105D47F}"/>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88615F-F21B-4EF3-9D31-F866D8B4CFDB}"/>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A88615F-F21B-4EF3-9D31-F866D8B4CFDB}"/>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437D2FB-3F39-4D1F-BB51-0D2F1473B2AE}"/>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437D2FB-3F39-4D1F-BB51-0D2F1473B2AE}"/>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5C5E1F5-9928-4BCF-816F-D6A1A4BB0AB1}"/>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A5C5E1F5-9928-4BCF-816F-D6A1A4BB0AB1}"/>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12AF2F4-7660-4EB9-B0B7-E31626F0DD38}"/>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812AF2F4-7660-4EB9-B0B7-E31626F0DD38}"/>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79117FA-AA3F-46AB-B5F5-8D9EEB152BE7}"/>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79117FA-AA3F-46AB-B5F5-8D9EEB152BE7}"/>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3D4533C-5F06-4784-959B-CC0E26087992}"/>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43D4533C-5F06-4784-959B-CC0E26087992}"/>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4B41990-844C-48D3-BF00-4503897B4E06}"/>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04B41990-844C-48D3-BF00-4503897B4E06}"/>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EB28675-F35F-48EC-AD32-E7524922BDD1}"/>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EEB28675-F35F-48EC-AD32-E7524922BDD1}"/>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C158148-FFE8-44FD-82E9-2BCBED192A3C}"/>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4C158148-FFE8-44FD-82E9-2BCBED192A3C}"/>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AA8B2F-73CA-4118-AC27-C959A8079469}"/>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F4AA8B2F-73CA-4118-AC27-C959A8079469}"/>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A85DCC9-299A-4CC2-8536-F1DDCDF742E4}"/>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5A85DCC9-299A-4CC2-8536-F1DDCDF742E4}"/>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B40DB4A-3639-4C1C-A78A-B4FA24C6CD23}"/>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7B40DB4A-3639-4C1C-A78A-B4FA24C6CD23}"/>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A4A9CB7-B0F0-4AFA-A374-FF11BC972F8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6A4A9CB7-B0F0-4AFA-A374-FF11BC972F8B}"/>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A7F4E73-CF9E-4C98-89F2-07AC259D0ED1}"/>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A7F4E73-CF9E-4C98-89F2-07AC259D0ED1}"/>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A540791-BDD8-4C92-80F4-8BBDA93F7E68}"/>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6A540791-BDD8-4C92-80F4-8BBDA93F7E68}"/>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81D9044-7EDD-403E-B0CB-55721710096A}"/>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581D9044-7EDD-403E-B0CB-55721710096A}"/>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31DBDF3-A90B-4A42-BAA8-4ED265742A78}"/>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231DBDF3-A90B-4A42-BAA8-4ED265742A78}"/>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0B8EFF86-8529-4A24-932F-73809261E575}"/>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0B8EFF86-8529-4A24-932F-73809261E575}"/>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D642C57-8554-4078-82F5-6BB3F1C62798}"/>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BD642C57-8554-4078-82F5-6BB3F1C62798}"/>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8A1C3B3-2046-42F9-BFB5-5D658E22EB12}"/>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C8A1C3B3-2046-42F9-BFB5-5D658E22EB12}"/>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3E486B9-DC88-48CB-BB29-18B17E033E4E}"/>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73E486B9-DC88-48CB-BB29-18B17E033E4E}"/>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2299F9-68B0-4A00-81DA-5D5F64F3D360}"/>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BB2299F9-68B0-4A00-81DA-5D5F64F3D360}"/>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89E0B66-3A5C-40A9-BF88-E0581737ED84}"/>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189E0B66-3A5C-40A9-BF88-E0581737ED84}"/>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E49AF38-85CC-48E4-8153-32E80D511B3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E49AF38-85CC-48E4-8153-32E80D511B38}"/>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B30C585-6B11-4766-A81C-9E8015042F7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AB30C585-6B11-4766-A81C-9E8015042F7F}"/>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8575ED5-BB6B-471A-A277-6134D06E4CD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A8575ED5-BB6B-471A-A277-6134D06E4CDA}"/>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85B7CD6-81EF-436E-9D48-6FBEFE65C793}"/>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A85B7CD6-81EF-436E-9D48-6FBEFE65C793}"/>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E5FF404-1996-475C-9996-0413721048F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DE5FF404-1996-475C-9996-0413721048FD}"/>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0B84EC27-34C1-41B2-9416-3265DA928B51}"/>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0B84EC27-34C1-41B2-9416-3265DA928B51}"/>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DBD2BC64-67A6-4BF7-8BE3-48717DE03B97}"/>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DBD2BC64-67A6-4BF7-8BE3-48717DE03B97}"/>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555F4A2-3AC2-41C0-B3D5-1ED92D6E211B}"/>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C555F4A2-3AC2-41C0-B3D5-1ED92D6E211B}"/>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57CB8B-AA3A-4F76-A0B0-FFE73425129E}"/>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257CB8B-AA3A-4F76-A0B0-FFE73425129E}"/>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3958A12-4816-4C4B-AEF5-C01A3FCBE95B}"/>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3958A12-4816-4C4B-AEF5-C01A3FCBE95B}"/>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0522944-DAEA-485F-9D14-C211278120FB}"/>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0522944-DAEA-485F-9D14-C211278120FB}"/>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8E3D19A-3E67-42E8-84BD-6B79FC3D2817}"/>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8E3D19A-3E67-42E8-84BD-6B79FC3D2817}"/>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8945922-2E9D-4C16-84B8-7EFA8F4C2AB9}"/>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78945922-2E9D-4C16-84B8-7EFA8F4C2AB9}"/>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4A2A6C-DC3A-456B-BB88-81D999D53B8D}"/>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644A2A6C-DC3A-456B-BB88-81D999D53B8D}"/>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381DF5A-EC9C-4219-AF5B-228C4D9AC703}"/>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381DF5A-EC9C-4219-AF5B-228C4D9AC703}"/>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A5D8449-5676-4A2D-B55B-84027CF31E17}"/>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A5D8449-5676-4A2D-B55B-84027CF31E17}"/>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A1FA92E-013D-41A2-92B6-1DAA75048800}"/>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A1FA92E-013D-41A2-92B6-1DAA75048800}"/>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8368377-D8C8-4FB8-98D1-B2B7FCEB72C8}"/>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8368377-D8C8-4FB8-98D1-B2B7FCEB72C8}"/>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536D219-A518-4A3E-94FD-79E23E85840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536D219-A518-4A3E-94FD-79E23E85840E}"/>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DAEABA2-F4FC-4CE9-B53D-0294C2B62F2C}"/>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DAEABA2-F4FC-4CE9-B53D-0294C2B62F2C}"/>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4811A07-C88E-42EB-B2AE-BEF618808C69}"/>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44811A07-C88E-42EB-B2AE-BEF618808C69}"/>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D224736-E820-453D-B76D-0C7D07E018B8}"/>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CD224736-E820-453D-B76D-0C7D07E018B8}"/>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321602C-AAB9-4BE5-B9B0-5B5323C9E7E8}"/>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E321602C-AAB9-4BE5-B9B0-5B5323C9E7E8}"/>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6D31985-EDA9-4FDC-BAE9-66FF811FBED4}"/>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96D31985-EDA9-4FDC-BAE9-66FF811FBED4}"/>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AACAE3F-C8F8-4C12-8EF9-6F21D2F4D4A2}"/>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AACAE3F-C8F8-4C12-8EF9-6F21D2F4D4A2}"/>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0D81CB7-C6B3-49ED-BA0D-2D6584694998}"/>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80D81CB7-C6B3-49ED-BA0D-2D6584694998}"/>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C3D8873-6127-4051-8C77-2F1089EC2ECA}"/>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3C3D8873-6127-4051-8C77-2F1089EC2ECA}"/>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7D31948-2A3F-41DE-8C26-37459831321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7D31948-2A3F-41DE-8C26-37459831321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A4D4721-7409-4C06-8E78-4D22BA61223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A4D4721-7409-4C06-8E78-4D22BA612231}"/>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A9F09EE-3970-40E9-AFE2-90BEB5484C78}"/>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DE5E2A60-2008-496E-B958-20F320B47FBC}"/>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0CAD19DB-4628-4805-A104-12D8A9A173D2}"/>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FBE2A3A2-9922-4193-8A6D-08D725DF5EE5}"/>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66555729-38E5-4791-A973-D13C6474BC1A}"/>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4E1490EC-7E4F-4CF1-87D3-F1BB5A3C26FF}"/>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B7169B8C-F9C4-4B55-8796-DAD9256D96CE}"/>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161DB6AA-CD7B-4E36-9DA9-6C95D3432304}"/>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6B810AB4-E6DA-411D-98AB-019DC59E2B00}"/>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6C42BF7F-B7B1-404B-BBC5-9DD6A9A33F79}"/>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D10C2E64-1E0A-491A-8BEF-1160DFBA13E1}"/>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69623756-F5B9-458D-B795-AC6145F37AF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D14E3E73-B33A-493F-879F-B6EBF100B00D}"/>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1F79AC44-117C-40AD-AAC2-D7D6FCBA1113}"/>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2CB120E8-0B12-4339-AE9C-4107AC48E896}"/>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A0A8DCCA-4CAA-4038-ABDA-E3A444DEC6FF}"/>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93F6CBAA-5D1E-45A7-A255-85CBCE51322B}"/>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BADCCCE0-7CCE-42BB-AB4C-95D5C971FFBB}"/>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8D7A988C-ECBC-4AE7-B659-ED29C81070EF}"/>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403455EE-C2CE-4D6E-A5D7-D62FBCE2FE26}"/>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8BEB0549-B760-4C97-B72A-053A3AA8CC2A}"/>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CB707A0E-9D3D-47FC-A73B-66C6511B812C}"/>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DE8D0C55-801C-40B6-A4AC-506BB7444E20}"/>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BC2E7A99-F1FB-416A-BACF-182408C93979}"/>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14D733E9-EA4A-42D7-8A0A-A3844A361A35}"/>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6E7DE1AE-65BC-4BDB-A015-8858A8912027}"/>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1D9B7630-C061-4C6A-AB33-4CC76B01AE17}"/>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36081114-A324-4286-89CC-413481F3178A}"/>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E6A18320-3E1D-44D0-A0FC-FDC3703283EB}"/>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4CAFB00B-A91A-4E03-B367-7F63B1F5C43F}"/>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22BE2A8E-C974-48C3-870D-FC150BFB9856}"/>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557C76B3-29BB-41B0-B02E-3C7C49BD8B1D}"/>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9CCF1D6B-0F09-46E0-8A68-3919D30744CB}"/>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5283C895-AB3B-4B6E-BEFD-74CB0E97289A}"/>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6A8500F1-F583-43EC-86C1-EAF6B02CF451}"/>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B2E2247A-3AC9-477F-B8E0-462414F1C365}"/>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DE8B66B5-E019-47A4-ABF8-45EAFC332A51}"/>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3696B3BA-B3AD-4582-844D-CA044B4BA2F0}"/>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700D4CC9-74E7-486F-8B74-12AAEAEE80D0}"/>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D22D3ACF-BB6C-4A54-92C4-882619E0616A}"/>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EDDC2666-0547-4337-8B2D-5A6881E87C36}"/>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A6705B41-8237-4917-920D-0A86CE3E66F2}"/>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C00967EC-51EA-4867-AF94-7AE60E2FA6AA}"/>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6474140F-F13C-4BF1-9E74-108F92B6F580}"/>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C2F0B03D-BC33-4E92-94C5-0CD600894573}"/>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2C71A318-E855-4B33-AE4E-98ABF8F6691B}"/>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1085EE5C-F0C3-4935-9B1B-8816F4837B4D}"/>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600EBF8F-9589-4EED-B7AF-CDB3E04B2D14}"/>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AC0787A0-732A-45C5-BA49-2ED22B8DA7B7}"/>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0C4CE018-C16D-43DC-AE35-1CF234CB4C4F}"/>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732EB483-7959-4F55-86F8-D260DB4BE66C}"/>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FC48D1D4-6D8D-4671-BEC9-3AE528276BD5}"/>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FA2FDAED-F2D7-48FA-92F4-216805FEA913}"/>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BDFD44B0-AC50-481E-9A20-AAA9603D1042}"/>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B3B30CE6-D8CC-46C4-B481-10D3CF38144B}"/>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C97F6FB1-0814-454C-9E7F-0F57146812F8}"/>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3D2CD324-482E-49DC-A02D-7C5954E66CB9}"/>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760B378F-9FD1-4112-A53B-0F22953337F6}"/>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6F5934E4-D096-4A27-A9E2-C24F2079E5A3}"/>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BEBAE36F-8CB5-423E-AB3A-C6B88D6EC5F2}"/>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54869B9C-1E12-4C56-9E38-1F4218B047AB}"/>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B3CD3264-64E0-46EE-A3B3-0CAEC5521033}"/>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31DC2656-C88E-4074-A459-C0C60E1EA05A}"/>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8A282D63-66FB-4846-8DF8-1A58250754C6}"/>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A53E5E7B-0FC7-47F8-B789-C94EACD43923}"/>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AE9C0306-C0B8-41D4-8186-59415B668812}"/>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E43DFA35-06BB-4593-95AB-646175C02E75}"/>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D959B2C4-1C0C-42C8-812C-DAC7E96B2F72}"/>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CB0AB4A4-F939-4356-87EF-BBF61588AC66}"/>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C6403D35-39F3-40F8-AD0F-B1950A908BDD}"/>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EA71A51E-9E03-4787-B18E-749568A3A9F2}"/>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6CE172D2-7917-4B1A-8106-D65EE5CF5C6F}"/>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7E4F31DF-05BC-47CF-B6C2-AC8BF6BEA072}"/>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49A7BAC9-5256-4C3A-9D50-EFE37CF2FB4B}"/>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F4C68990-DAB5-4846-90C6-39B42D40A422}"/>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549ACA76-9893-4C64-9FE6-A3C02BD16791}"/>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D2C482A4-3032-4D57-A005-B77FF815A5C7}"/>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7025F184-4E13-46FE-B0F9-A01082C2C31B}"/>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CBBBFF3D-0186-4F63-8C61-694DC62D8803}"/>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5C23A65C-9BD3-4400-AC22-5FDFD3571705}"/>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406E1C84-F63F-4E3F-A6F5-639296C29B68}"/>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002FF7D2-B047-4703-8188-3CE52062B2AC}"/>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BA0DDE63-AAB3-43C2-8245-6C9C42736DF5}"/>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F0057D88-5057-4B16-81A3-C2CE73D3E47A}"/>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E622165D-3D3A-48E1-9ACA-35BFCBD66C37}"/>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68BBC711-0437-4D51-87BC-C89BE7280083}"/>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708E0372-0A90-41B2-A7C8-7ED09C3E1472}"/>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79CDED13-636A-4890-81F1-28FBE85BD506}"/>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A90ADA67-5897-4705-8662-FDC6EB7DADD3}"/>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A2C66B91-ED88-49ED-A56B-25255A3F464C}"/>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45635071-8266-48E4-8909-91E54A01F128}"/>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32DB650F-4262-44CB-9147-9AE68C777236}"/>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56F316D5-13D8-45F0-A90B-3DBA571954CA}"/>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65F17F2B-41C0-481B-9D43-72E298DA76AD}"/>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E2AD3F2A-A180-4FF1-BDA9-3FE26D015519}"/>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12"/>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D1B75EA-B739-4D16-B347-0F66F69F33F4}" name="Table_Input_LivestockPurchases_Dairy" displayName="Table_Input_LivestockPurchases_Dairy" ref="D6:I16" totalsRowShown="0" headerRowDxfId="411">
  <autoFilter ref="D6:I16" xr:uid="{E938BFB3-949A-45DE-8033-0682BC494B81}"/>
  <tableColumns count="6">
    <tableColumn id="9" xr3:uid="{1EF2B4F7-6BC5-4DF2-8A16-6EE12E78C8F4}" name="Transaction name" dataCellStyle="Input text"/>
    <tableColumn id="11" xr3:uid="{21D4949E-9CCD-4C23-90AA-B6F31BD39A33}" name="Class (select)" dataDxfId="410" dataCellStyle="Input select"/>
    <tableColumn id="2" xr3:uid="{6667B85A-D9BB-445A-AC97-EF5118C7779C}" name="Breed (select)" dataCellStyle="Input select"/>
    <tableColumn id="3" xr3:uid="{F25C6F13-B523-4137-95CF-11F2BF92BE64}" name="Quantity (head)" dataCellStyle="Input number general"/>
    <tableColumn id="12" xr3:uid="{1B842F49-E877-4B63-8AAE-853EF02E5093}" name="Liveweight (kg/head) Method 1" dataCellStyle="Input number general calculated"/>
    <tableColumn id="4" xr3:uid="{FF765244-9A05-4ED6-902E-76B0BC55A76C}"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16C9DF-B740-4814-A853-DFBBB9EFDCF8}" name="Table_Input_InorganicFertiliser_Brands" displayName="Table_Input_InorganicFertiliser_Brands" ref="D11:Z21" headerRowDxfId="409" dataDxfId="408" totalsRowDxfId="40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E560E57B-A0B4-4291-87EF-14661168A850}" name="Product (select)" dataDxfId="406" totalsRowDxfId="405" dataCellStyle="Input select"/>
    <tableColumn id="23" xr3:uid="{BEF16DB4-C398-4B7D-8324-D73EB58EA81C}" name="Amount applied per hectare" totalsRowFunction="custom" dataDxfId="404" totalsRowDxfId="403">
      <totalsRowFormula>SUM(Table_Input_InorganicFertiliser_Brands[[#Headers],[#Data],[Amount applied per hectare]])</totalsRowFormula>
    </tableColumn>
    <tableColumn id="12" xr3:uid="{7707334D-80B2-41A4-BBB3-3378036589C3}" name="Application unit" dataDxfId="402" totalsRowDxfId="401" dataCellStyle="Input number 2 decimal places"/>
    <tableColumn id="6" xr3:uid="{EBB3A4CB-DA03-49B4-9444-301AEF62948D}" name="Application area (ha)" dataDxfId="400" totalsRowDxfId="399">
      <calculatedColumnFormula>X_Cell_Fertiliser_AreaUnderCropping</calculatedColumnFormula>
    </tableColumn>
    <tableColumn id="9" xr3:uid="{5647EF18-98F8-486C-8E24-DFCB20855F46}" name="Density" dataDxfId="398" totalsRowDxfId="397" dataCellStyle="Input number general calculated"/>
    <tableColumn id="1" xr3:uid="{EFC55832-031D-4157-BF8A-C3FB795B512F}" name="Total applied (kg)" dataDxfId="396" totalsRowDxfId="39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EF9636C-9BF6-4D7F-9EFA-59FE192F3A0B}" name="Ingredient 1" dataDxfId="394" totalsRowDxfId="393" dataCellStyle="Input number general calculated"/>
    <tableColumn id="4" xr3:uid="{7626FEB8-F0D3-4F68-966E-F07D12AEAB06}" name="Ingredient 1 percent" dataDxfId="392" dataCellStyle="Input number general calculated"/>
    <tableColumn id="7" xr3:uid="{C5EF2ACD-28E8-4735-9844-5CF789C4A148}" name="Ingredient 2" dataDxfId="391" dataCellStyle="Input number general calculated"/>
    <tableColumn id="8" xr3:uid="{E9C567E2-633C-4A01-8FF4-C3DE661DF436}" name="Ingredient 2 percent" dataDxfId="390" totalsRowDxfId="389" dataCellStyle="Input number general calculated"/>
    <tableColumn id="10" xr3:uid="{884C0780-FB02-4627-A26C-4B3665F24088}" name="Ingredient 3" dataDxfId="388" totalsRowDxfId="387" dataCellStyle="Input number general calculated"/>
    <tableColumn id="11" xr3:uid="{49CFD78D-7DAE-4332-B48E-B869F9636227}" name="Ingredient 3 percent" dataDxfId="386" totalsRowDxfId="385" dataCellStyle="Input number general calculated"/>
    <tableColumn id="13" xr3:uid="{C1C8A6E7-6C26-433C-9C2B-CC29BAE6A54C}" name="Ingredient 4" dataDxfId="384" totalsRowDxfId="383" dataCellStyle="Input number general calculated"/>
    <tableColumn id="14" xr3:uid="{37D9FB31-B0BF-47F1-B72D-A97306B8C009}" name="Ingredient 4 percent" dataDxfId="382" dataCellStyle="Input number general calculated"/>
    <tableColumn id="16" xr3:uid="{1F74F5C1-16B6-4EF5-8F23-F27750F5A8A4}" name="Ingredient 5" dataDxfId="381" dataCellStyle="Input number general calculated"/>
    <tableColumn id="17" xr3:uid="{D591238C-E556-41D0-BDD9-40FD458B1DCC}" name="Ingredient 5 percent" dataDxfId="380" dataCellStyle="Input number general calculated"/>
    <tableColumn id="19" xr3:uid="{796870FE-4258-43B7-BA4E-23257A4FAD12}" name="Ingredient 6" dataDxfId="379" dataCellStyle="Input number general calculated"/>
    <tableColumn id="20" xr3:uid="{F6EA21C8-1E42-47C8-A1A7-CCB501F46D9F}" name="Ingredient 6 percent" dataDxfId="378" dataCellStyle="Input number general calculated"/>
    <tableColumn id="21" xr3:uid="{C7FEE0EF-3C0E-4214-9C52-F28CC022C507}" name="% N (Ingredients)" dataDxfId="377" dataCellStyle="Input number general calculated"/>
    <tableColumn id="22" xr3:uid="{CECD02DC-9571-42E3-8C94-744AFC31D291}" name="% N (declared)" dataDxfId="376" dataCellStyle="Content normal"/>
    <tableColumn id="5" xr3:uid="{092502CC-528B-420F-B868-2FFFD65E8150}" name="N application rate (kg/ha)" dataDxfId="375" totalsRowDxfId="37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EA0ED063-7FA2-433A-94F7-C1ABBA79F948}" name="Urea source" dataDxfId="373" totalsRowDxfId="372" dataCellStyle="Input number general calculated"/>
    <tableColumn id="18" xr3:uid="{906B804E-B1AA-4EF9-82D5-5B1E791D64B0}" name="Ammonia source" dataDxfId="371" totalsRowDxfId="370"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AB8F281-ABE1-43EA-94F2-61E9964CB3BF}" name="Table_Input_InorganicFertiliser_Custom" displayName="Table_Input_InorganicFertiliser_Custom" ref="D24:R34" totalsRowShown="0" headerRowDxfId="369" dataDxfId="36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1B5D1172-72F0-4767-97EE-07F8963B0D84}" name="Custom blend name" dataCellStyle="Input text"/>
    <tableColumn id="2" xr3:uid="{5A3A0500-B17D-49D5-ABBD-DE68C7ED2207}" name="Amount applied (kg / ha)" dataDxfId="367"/>
    <tableColumn id="3" xr3:uid="{439939F9-DFED-42E9-B101-88A992CFA64F}" name="Application area (ha)" dataDxfId="366" dataCellStyle="Input number 2 decimal places">
      <calculatedColumnFormula>X_Cell_Fertiliser_AreaUnderCropping</calculatedColumnFormula>
    </tableColumn>
    <tableColumn id="4" xr3:uid="{842C130E-9A8C-4212-9459-B66C838DE6E5}" name="Total applied (kg)" dataDxfId="365" dataCellStyle="Input number general calculated">
      <calculatedColumnFormula>Table_Input_InorganicFertiliser_Custom[[#This Row],[Amount applied (kg / ha)]]*Table_Input_InorganicFertiliser_Custom[[#This Row],[Application area (ha)]]</calculatedColumnFormula>
    </tableColumn>
    <tableColumn id="5" xr3:uid="{86BA80E0-27BF-40D8-BE3B-06E85080A9B9}" name="Ingredient 1 (select)" dataDxfId="364" dataCellStyle="Input select"/>
    <tableColumn id="6" xr3:uid="{3C5E2845-06B2-45D1-A08B-C8A80CE18A3F}" name="Ingredient 1 percent" dataDxfId="363"/>
    <tableColumn id="8" xr3:uid="{DD3B9501-1A81-4341-A2E0-CF67E4167208}" name="Ingredient 2" dataDxfId="362" dataCellStyle="Input select"/>
    <tableColumn id="9" xr3:uid="{EEE5E082-6B2C-49A6-AD5F-283793BF3357}" name="Ingredient 2 percent" dataDxfId="361"/>
    <tableColumn id="11" xr3:uid="{4E4F203D-472D-4C3F-9743-6F6F65A78839}" name="Ingredient 3" dataDxfId="360" dataCellStyle="Input select"/>
    <tableColumn id="12" xr3:uid="{E9902339-D9D4-4B89-905C-1008A305F2F1}" name="Ingredient 3 percent" dataDxfId="359"/>
    <tableColumn id="14" xr3:uid="{0F08C079-C806-4527-80D0-09CE200EAF85}" name="Ingredient 4" dataDxfId="358" dataCellStyle="Input select"/>
    <tableColumn id="15" xr3:uid="{EFCCA1D0-F3D4-4F49-A8FA-6EA282285542}" name="Ingredient 4 percent" dataCellStyle="Input percent"/>
    <tableColumn id="7" xr3:uid="{05955BD0-82A7-45E4-A09D-14C14E901291}" name="N application rate (kg/ha)" dataDxfId="357" dataCellStyle="Input number general calculated"/>
    <tableColumn id="10" xr3:uid="{624A0630-D145-41BD-9B54-149D1C1A5BF3}" name="Urea source (Select)" dataCellStyle="Input select"/>
    <tableColumn id="13" xr3:uid="{C32C23B3-98FB-4022-98C8-6C94612F28C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130FBEF-34D6-4EA1-B28B-AE7D9733B829}" name="Table_Input_Lime" displayName="Table_Input_Lime" ref="D41:K44" totalsRowShown="0" headerRowDxfId="356" dataDxfId="35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67B32F86-86BC-46A0-8F6A-09FEFD4504C0}" name="Product" dataDxfId="354"/>
    <tableColumn id="2" xr3:uid="{F6B35D4D-4CF6-4FC0-AFE3-3EF84DF64D90}" name="Amount applied (t/hectare)" dataDxfId="353"/>
    <tableColumn id="4" xr3:uid="{EE099394-0E71-4275-B5F4-D452A800DE34}" name="Application area (ha)" dataDxfId="352" dataCellStyle="Input number 2 decimal places">
      <calculatedColumnFormula>X_Cell_Fertiliser_AreaUnderCropping</calculatedColumnFormula>
    </tableColumn>
    <tableColumn id="3" xr3:uid="{735CD012-CF0F-4665-8EB6-E659283C0860}" name="Total amount applied (t)" dataDxfId="351" dataCellStyle="Input number general calculated">
      <calculatedColumnFormula>IFERROR(Table_Input_Lime[[#This Row],[Amount applied (t/hectare)]]*Table_Input_Lime[[#This Row],[Application area (ha)]], 0)</calculatedColumnFormula>
    </tableColumn>
    <tableColumn id="6" xr3:uid="{49BE58F0-6E5A-47E7-8750-302A7D8D727B}" name="Percent Lime CaCO3" dataDxfId="350"/>
    <tableColumn id="8" xr3:uid="{26F2EBEA-F913-4190-B4CC-C427A3B15D9C}" name="Percent Dolomite CaMg(CO3)2" dataDxfId="349"/>
    <tableColumn id="7" xr3:uid="{12998EF7-9E9E-4DF7-A17A-B9E680743D59}" name="Percent Gypsum" dataDxfId="348"/>
    <tableColumn id="10" xr3:uid="{67972798-7D9B-4089-8A55-233823399A47}" name="Total" dataDxfId="34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37A94BB-824F-455A-8A05-50C1A36E0BB5}" name="Table_Input_OrganicFertiliser" displayName="Table_Input_OrganicFertiliser" ref="D53:J56" totalsRowShown="0" headerRowDxfId="346" dataDxfId="34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6055076-D96D-4FC8-8F53-E93C0B31E843}" name="Organic fertiliser type (select)" dataDxfId="344" dataCellStyle="Input select"/>
    <tableColumn id="5" xr3:uid="{E55C2D9A-651B-428E-A3BB-B639E73A91FF}" name="Percentage of N in fertiliser" dataDxfId="343"/>
    <tableColumn id="2" xr3:uid="{53B7145F-7459-4C98-B11A-1BFB5416EA71}" name="Amount applied (kg/hectare)" dataDxfId="342"/>
    <tableColumn id="11" xr3:uid="{2B25D1FE-BB9B-479A-AE16-57999C0013A2}" name="Amount N applied (kg/hectare)" dataDxfId="341" dataCellStyle="Input number general calculated">
      <calculatedColumnFormula>Table_Input_OrganicFertiliser[[#This Row],[Amount applied (kg/hectare)]]*Table_Input_OrganicFertiliser[[#This Row],[Percentage of N in fertiliser]]</calculatedColumnFormula>
    </tableColumn>
    <tableColumn id="4" xr3:uid="{60E474AD-FB2C-47A6-AFE6-DEB0F488F752}" name="Application area (ha)" dataDxfId="340" dataCellStyle="Input number 2 decimal places">
      <calculatedColumnFormula>X_Cell_Fertiliser_AreaUnderCropping</calculatedColumnFormula>
    </tableColumn>
    <tableColumn id="7" xr3:uid="{976583ED-FDF0-49F9-B1CF-E7BF6A58DDDA}" name="Total organic fertliser applied" dataDxfId="339" dataCellStyle="Input number general calculated">
      <calculatedColumnFormula>Table_Input_OrganicFertiliser[[#This Row],[Amount applied (kg/hectare)]]*Table_Input_OrganicFertiliser[[#This Row],[Application area (ha)]]</calculatedColumnFormula>
    </tableColumn>
    <tableColumn id="3" xr3:uid="{D4BCCACD-D1B7-4023-8D69-9553D42A00D1}" name="Total nitrogen applied (kg)" dataDxfId="33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BD0F90DA-EA70-4997-BD0D-23E83EFFA99F}" name="Table_Input_Fuel" displayName="Table_Input_Fuel" ref="D16:J21" totalsRowDxfId="33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D605A7C-95C5-45EA-BA66-09490144AF54}" name="Fuel use (select)" totalsRowFunction="average" totalsRowDxfId="336" dataCellStyle="Input select" totalsRowCellStyle="Input select"/>
    <tableColumn id="3" xr3:uid="{1BB8A17E-96EC-40B8-9077-CFA97FEC407E}" name="Fuel type (select)" totalsRowDxfId="335" dataCellStyle="Input select" totalsRowCellStyle="Input select"/>
    <tableColumn id="4" xr3:uid="{D7086906-57CB-417F-A7BC-A3E87B9807C5}" name="Amount purchased" totalsRowDxfId="334" totalsRowCellStyle="Content bold"/>
    <tableColumn id="6" xr3:uid="{90FE86AB-8B32-40A9-A487-B89C9D713519}" name="Amount unit" totalsRowDxfId="333" dataCellStyle="Input number general calculated" totalsRowCellStyle="Input text calculated"/>
    <tableColumn id="5" xr3:uid="{97B90EEF-C412-4ED2-A67B-EB5CD52716EE}" name="Percent consumed" totalsRowDxfId="332" totalsRowCellStyle="Input percent">
      <calculatedColumnFormula>1</calculatedColumnFormula>
    </tableColumn>
    <tableColumn id="1" xr3:uid="{C8851EB7-33C2-4D60-B4A2-026E489DFA05}" name="Amount consumed" totalsRowFunction="custom" totalsRowDxfId="331"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172BA99C-BFCC-447B-9D2C-74CFA202B739}" name="Amount consumed unit" totalsRowDxfId="330"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693A398-8763-419B-AD2D-FDB1C4DC48A6}"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1E8F955-9CB2-4A61-BFC7-5AF82318BBF6}" name="Description"/>
    <tableColumn id="5" xr3:uid="{660EB806-7260-4EC9-B04C-362C4F581527}" name="Source (select)" dataCellStyle="Input select"/>
    <tableColumn id="2" xr3:uid="{DCFFF401-0B8B-45C9-BC68-AB49E13F277D}" name="Generation date" dataDxfId="329"/>
    <tableColumn id="3" xr3:uid="{0CF01E55-6B6C-4B89-9631-06EE9CEF0FC7}" name="Number of certificates"/>
    <tableColumn id="4" xr3:uid="{A905117F-7173-485F-ADA3-AC176B19711E}" name="MWh" dataCellStyle="Input number general calculated">
      <calculatedColumnFormula>Table_Input_RECSurrendered[[#This Row],[Number of certificates]]</calculatedColumnFormula>
    </tableColumn>
    <tableColumn id="7" xr3:uid="{E4D790D4-1EE1-49FD-8EBC-791C78409BB1}"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BF66CD8A-4BE7-4B4A-811E-74BD63765E0F}"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24A5FD7-4311-4522-85D1-3CB87EA2D5A1}" name="Description"/>
    <tableColumn id="5" xr3:uid="{88870FDA-86E1-4707-9047-E9FBB4CA9A5A}" name="Source" dataCellStyle="Input text calculated">
      <calculatedColumnFormula>"Issued for generated electricity"</calculatedColumnFormula>
    </tableColumn>
    <tableColumn id="2" xr3:uid="{F0BF1922-3737-4077-85C6-D50DCF6213CB}" name="Generation date" dataDxfId="328"/>
    <tableColumn id="3" xr3:uid="{10E52951-5235-4696-AA1D-0B99EDF23F91}" name="Number of certificates"/>
    <tableColumn id="4" xr3:uid="{6AFD72CE-B1AB-43BE-A32B-20DDB0D46C5E}" name="MWh" dataCellStyle="Input number general calculated">
      <calculatedColumnFormula>Table_Input_RECConsumedByEntity[[#This Row],[Number of certificates]]</calculatedColumnFormula>
    </tableColumn>
    <tableColumn id="7" xr3:uid="{896EFBDD-61D0-456D-9426-A138046D202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7362787-C4B6-4DA0-B229-C75ACDD5EBF6}"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3606F1F-C8F3-465A-A921-884C674758CB}" name="Product name" dataCellStyle="Input text"/>
    <tableColumn id="1" xr3:uid="{AAD8A18F-A6EF-4399-A097-7F6C30D88F29}" name="Type (select)" dataCellStyle="Input select"/>
    <tableColumn id="2" xr3:uid="{503B2112-5359-45DB-A6C4-38277B2D4221}"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EF7F03DF-62C1-4DF4-B1C6-25D3DEFA8C26}"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D514CB75-9EEF-47B0-8645-84DC296D505E}" name="Product / service name" dataCellStyle="Input text"/>
    <tableColumn id="2" xr3:uid="{CFD19E34-D38A-4CD4-BF79-8B3BB4E4390A}" name="Amount" dataCellStyle="Input number general"/>
    <tableColumn id="3" xr3:uid="{41EF545C-1CB8-4111-A4E5-035E0A82D984}" name="Amount unit" dataCellStyle="Input tex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B3B14964-3587-4881-81E3-68E2549639E2}"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1F916749-990B-4AD0-BA7A-6C82CA958105}" name="Service provider / contractor" dataCellStyle="Input text"/>
    <tableColumn id="4" xr3:uid="{4470B0F6-3E0A-4477-9B63-5A23A3DA2EE1}" name="Activity" dataCellStyle="Input text"/>
    <tableColumn id="2" xr3:uid="{DD2FB85E-9557-4563-B9A8-18CBC78C20CE}" name="Total amount" dataCellStyle="Input number general"/>
    <tableColumn id="3" xr3:uid="{5EBCDF00-AA16-4D2D-92FC-596AAE5D69E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508B97A3-C4F7-471D-9CCA-A037B6BBF204}" name="Table_Input_Pesticides" displayName="Table_Input_Pesticides" ref="D9:R19" totalsRowShown="0" headerRowDxfId="327">
  <autoFilter ref="D9:R19" xr:uid="{BA52E4BB-C3D1-441A-A568-0AD50449E880}"/>
  <tableColumns count="15">
    <tableColumn id="1" xr3:uid="{9DA0592C-B83C-4760-B2C5-9DD310C56030}" name="Product name"/>
    <tableColumn id="2" xr3:uid="{4A1E0652-E9F0-486B-AEBA-5D47843E6E1D}" name="Amount applied per ha"/>
    <tableColumn id="7" xr3:uid="{7F7FB8F6-2311-4785-9693-3435FBF7D594}" name="Application unit (select)" dataCellStyle="Input select"/>
    <tableColumn id="6" xr3:uid="{F43D5E6B-9E87-461F-8464-68A773B19A68}" name="Application area (ha)" dataCellStyle="Input number general"/>
    <tableColumn id="3" xr3:uid="{A2F39ABD-2329-4E13-B2D1-5160DB0A524F}" name="Total applied" dataCellStyle="Input number general calculated">
      <calculatedColumnFormula>Table_Input_Pesticides[[#This Row],[Amount applied per ha]]*Table_Input_Pesticides[[#This Row],[Application area (ha)]]</calculatedColumnFormula>
    </tableColumn>
    <tableColumn id="5" xr3:uid="{FCC0FCD0-3A14-4085-928F-23C7CF629A1E}" name="Constituent unit (select)" dataCellStyle="Input select"/>
    <tableColumn id="4" xr3:uid="{07351013-AFD4-40C4-9430-1DD78FE5ABCA}" name="Active ingredient 1 (select)" dataCellStyle="Input select"/>
    <tableColumn id="8" xr3:uid="{9F2A31CF-09D9-4DB3-9FF2-E9BA8574C0B5}" name="Active ingredient 1 amount" dataCellStyle="Input number general"/>
    <tableColumn id="16" xr3:uid="{3004556E-E4A1-46BF-961E-FBADB85602DA}"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D6F20817-EC3B-46AD-B77B-70D4DC39569D}" name="Active ingredient 2 (select)" dataCellStyle="Input select"/>
    <tableColumn id="11" xr3:uid="{BA217E71-A6B2-4F39-98EA-007B4DD99778}" name="Active ingredient 2 amount" dataCellStyle="Input number general"/>
    <tableColumn id="17" xr3:uid="{A4D88A6F-84F6-4240-B866-A1BB7CB88060}"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EBF6934-977F-41C5-B568-A48ABE3E3675}" name="Active ingredient 3 (select)" dataCellStyle="Input select"/>
    <tableColumn id="14" xr3:uid="{F0EF420C-EC2F-4FBB-8233-2A2106B690E7}" name="Active ingredient 3 amount" dataCellStyle="Input number general"/>
    <tableColumn id="18" xr3:uid="{E8F51AAA-73F9-44B9-B6DC-1D752BE65870}"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701EB5C4-C2C7-4CBB-901E-40AA08859CC0}" name="Table_Input_FeedBlends" displayName="Table_Input_FeedBlends" ref="D18:Q28" totalsRowShown="0">
  <autoFilter ref="D18:Q28" xr:uid="{6EC3622A-9CA1-4931-8AAA-6FC289090D20}"/>
  <tableColumns count="14">
    <tableColumn id="1" xr3:uid="{8CD876EF-BAA6-4B86-92B6-DB500DDDD697}" name="Feed blend name"/>
    <tableColumn id="2" xr3:uid="{D534BBD3-F861-444A-A48E-D15E89486B42}" name="Amount fed (kg)"/>
    <tableColumn id="4" xr3:uid="{BD4F5B53-535C-435C-93DD-1DE421B06EF8}" name="Ingredient 1 (select)" dataCellStyle="Input select"/>
    <tableColumn id="3" xr3:uid="{51258D45-7202-4EB3-8756-701949FCE045}" name="Ingredient 1 source region" dataCellStyle="Input select"/>
    <tableColumn id="5" xr3:uid="{6C4944BE-CD68-4D5C-A580-4E416B4DD71D}" name="Ingredient 1 percent"/>
    <tableColumn id="6" xr3:uid="{F5C833B2-5D8F-4942-83A7-6DF4FA8E9AB0}" name="Ingredient 2 (select)" dataCellStyle="Input select"/>
    <tableColumn id="14" xr3:uid="{CAA567AF-2696-4680-9A07-A9BAC3224281}" name="Ingredient 2 source region" dataCellStyle="Input select"/>
    <tableColumn id="7" xr3:uid="{5CFFCD39-3DF7-4B8B-8D4A-CC634A5AFBB6}" name="Ingredient 2 percent"/>
    <tableColumn id="8" xr3:uid="{3E7AE9BC-3504-442F-9A86-53989E6EC402}" name="Ingredient 3 (select)" dataCellStyle="Input select"/>
    <tableColumn id="15" xr3:uid="{54FBB221-633D-457C-9A3B-4389BBB7694C}" name="Ingredient 3 source region" dataCellStyle="Input select"/>
    <tableColumn id="9" xr3:uid="{69DC8134-6B59-44CE-BF77-D22EB1602A1C}" name="Ingredient 3 percent"/>
    <tableColumn id="10" xr3:uid="{3A51CA95-3E28-468A-B0E4-09F7D30F2AEF}" name="Ingredient 4 (select)" dataCellStyle="Input select"/>
    <tableColumn id="16" xr3:uid="{3DF5B2FC-EBE2-4539-846D-214615AB6B86}" name="Ingredient 4 source region" dataCellStyle="Input select"/>
    <tableColumn id="11" xr3:uid="{682A1D3F-5EAC-41D8-A0BD-A3F7FA1CE104}"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9D65E416-C7AA-4D27-BB31-43FE3D7C93D8}" name="Table_Input_ChemicalsPharmacy" displayName="Table_Input_ChemicalsPharmacy" ref="D32:F42" totalsRowShown="0" headerRowCellStyle="Input table column header">
  <autoFilter ref="D32:F42" xr:uid="{F7DA8543-C7DE-49A8-A739-D82C85B7B828}"/>
  <tableColumns count="3">
    <tableColumn id="3" xr3:uid="{F338A559-913B-4D0F-AB81-B0A442809765}" name="Product name" dataCellStyle="Input text"/>
    <tableColumn id="1" xr3:uid="{35428036-C3A8-4D2A-9CD7-8AD778758E7D}" name="Type (select)" dataDxfId="326" dataCellStyle="Input select"/>
    <tableColumn id="2" xr3:uid="{139CDBF2-41AC-4C5A-BD78-9FA2B73DE3FD}" name="Number of head treated" dataDxfId="325"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3CA0304-71D1-4AD5-B1EC-AF4247F3B74F}"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89840CC1-5BD2-43F3-920E-67BA2FF8FD4D}" name="Route name"/>
    <tableColumn id="2" xr3:uid="{F2730D7E-E6C0-4BD2-9810-0672F21BDAB8}" name="Freight type (select)" dataCellStyle="Input select"/>
    <tableColumn id="3" xr3:uid="{E74DE168-B734-4694-82EE-655D1335CB4C}" name="Route distance (km)"/>
    <tableColumn id="4" xr3:uid="{6FFF2B73-E9B9-4B17-8EBF-43CDAC121F87}" name="Average weight of freight per trip (t)"/>
    <tableColumn id="5" xr3:uid="{CDE14D33-A85F-4D22-9BE0-B40740CCCA33}"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8F8E280-71BB-47E4-8839-283F034F8328}"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08342D4E-0471-4C1B-8047-C6F4DC5CC07A}" name="Route name"/>
    <tableColumn id="2" xr3:uid="{D626ABD4-8DE1-4394-ADA0-A61281FD3FC2}" name="Freight type (select)" dataCellStyle="Input select"/>
    <tableColumn id="3" xr3:uid="{4D7F3840-8594-4983-A55E-4783EBB3AF0E}" name="Route distance (km)"/>
    <tableColumn id="4" xr3:uid="{1D83B635-482F-428C-BFE7-325D9D07E1E6}" name="Average weight of freight per trip (t)"/>
    <tableColumn id="5" xr3:uid="{EE87027E-51B3-4219-A292-ECF0E7F9D7AF}"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9F2D68D-0AC3-4A53-A5DD-9D7C9889B02B}" name="Table_SourceData_Dairy_MMS" displayName="Table_SourceData_Dairy_MMS" ref="D7:E11" totalsRowShown="0">
  <autoFilter ref="D7:E11" xr:uid="{D5C443B2-EDE2-4250-B2EE-016878D19AD9}">
    <filterColumn colId="0" hiddenButton="1"/>
    <filterColumn colId="1" hiddenButton="1"/>
  </autoFilter>
  <tableColumns count="2">
    <tableColumn id="1" xr3:uid="{CBCC4E46-CDA9-4694-A9A7-A571310B96EC}" name="MMS"/>
    <tableColumn id="2" xr3:uid="{8BA13925-7752-4823-A534-DB1A9198F505}" name="Symbol and MMS" dataDxfId="324" dataCellStyle="Content normal"/>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CC0B073-2453-4DD3-959A-D8871AEFE963}" name="Table_SourceData_Dairy_CropProdSystems" displayName="Table_SourceData_Dairy_CropProdSystems" ref="G7:G9" totalsRowShown="0">
  <autoFilter ref="G7:G9" xr:uid="{B6F3FE3A-A0B5-47E7-85B2-8426FB75A7C8}">
    <filterColumn colId="0" hiddenButton="1"/>
  </autoFilter>
  <tableColumns count="1">
    <tableColumn id="1" xr3:uid="{EF49EDC4-CAC2-4445-8AAB-D3C5BCF7AA26}" name="Production system">
      <calculatedColumnFormula>#REF!</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51FA55-DA23-4333-91CF-39E43546457D}" name="Table_SourceData_Dairy_IrrigationMethods" displayName="Table_SourceData_Dairy_IrrigationMethods" ref="J7:J12" totalsRowShown="0">
  <autoFilter ref="J7:J12" xr:uid="{FE172B77-CEA3-430C-84BC-392A64D0B8FF}">
    <filterColumn colId="0" hiddenButton="1"/>
  </autoFilter>
  <tableColumns count="1">
    <tableColumn id="1" xr3:uid="{BEB89468-7743-46D3-BDFB-AA2D5415E8FD}" name="Irrigation method"/>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CF3C291-E949-4AD7-B97F-9B7AEC60006E}"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2A844D8B-50ED-4963-8F6A-AE9084AF90A9}" name="Breed">
      <calculatedColumnFormula array="1">Common_InputFunctions.Utility_DisplayArrayInTable(SourceData_Dairy.SourceData_Dairy_LiveweightCowsAndHeifers_Data(), Table_SourceData_Dairy_WjCowsHeifers[[#Headers],[Breed]], 0)</calculatedColumnFormula>
    </tableColumn>
    <tableColumn id="2" xr3:uid="{2CDA52BB-FA50-4143-B2D9-910052112AAD}" name="Milking cows" dataDxfId="323" dataCellStyle="Content normal">
      <calculatedColumnFormula array="1">Common_InputFunctions.Utility_DisplayArrayInTable(SourceData_Dairy.SourceData_Dairy_LiveweightCowsAndHeifers_Data(), Table_SourceData_Dairy_WjCowsHeifers[[#Headers],[Breed]], 0)</calculatedColumnFormula>
    </tableColumn>
    <tableColumn id="3" xr3:uid="{213CEBCD-9485-4A54-A72D-DCB2C4E578B8}" name="Heifers &gt; 1" dataDxfId="322" dataCellStyle="Content normal">
      <calculatedColumnFormula array="1">Common_InputFunctions.Utility_DisplayArrayInTable(SourceData_Dairy.SourceData_Dairy_LiveweightCowsAndHeifers_Data(), Table_SourceData_Dairy_WjCowsHeifers[[#Headers],[Breed]], 0)</calculatedColumnFormula>
    </tableColumn>
    <tableColumn id="4" xr3:uid="{4324D789-7205-48B9-BB39-723302280D3B}" name="Heifers &lt; 1 (weaned)" dataDxfId="321"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0C9ABC-F445-4786-AF7E-9507D6A7969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D0832801-9AEC-4F90-9B17-7AE1E1078F52}" name="Breed">
      <calculatedColumnFormula array="1">Common_InputFunctions.Utility_DisplayArrayInTable(SourceData_Dairy.SourceData_Dairy_LiveweightBulls_Data(), Table_SourceData_Dairy_WjBulls[[#Headers],[Breed]], 0)</calculatedColumnFormula>
    </tableColumn>
    <tableColumn id="2" xr3:uid="{E168C705-30F8-42B9-BEE9-502B17C58126}" name="Bulls &gt; 1" dataDxfId="320" dataCellStyle="Content normal">
      <calculatedColumnFormula array="1">Common_InputFunctions.Utility_DisplayArrayInTable(SourceData_Dairy.SourceData_Dairy_LiveweightBulls_Data(), Table_SourceData_Dairy_WjBulls[[#Headers],[Breed]], 0)</calculatedColumnFormula>
    </tableColumn>
    <tableColumn id="3" xr3:uid="{3E5999A2-D603-449C-8AC0-8D1692F567D9}" name="Bulls &lt; 1 (weaned)" dataDxfId="319"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6B91E26-D5F5-4EBA-8FC4-6676F0C4ADFA}"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0BCA2C9D-EC99-4FC8-82AF-FDD7AE909D86}" name="Milking cows">
      <calculatedColumnFormula array="1">Common_InputFunctions.Utility_DisplayArrayInTable(SourceData_Dairy.SourceData_Dairy_LiveweightGain_Data(), Table_SourceData_Dairy_LWGj[[#Headers],[Milking cows]], 0)</calculatedColumnFormula>
    </tableColumn>
    <tableColumn id="2" xr3:uid="{25937940-C855-4EA0-8A7A-FBEAD382856B}" name="Heifers &gt; 1" dataDxfId="318" dataCellStyle="Content normal">
      <calculatedColumnFormula array="1">Common_InputFunctions.Utility_DisplayArrayInTable(SourceData_Dairy.SourceData_Dairy_LiveweightGain_Data(), Table_SourceData_Dairy_LWGj[[#Headers],[Milking cows]], 0)</calculatedColumnFormula>
    </tableColumn>
    <tableColumn id="3" xr3:uid="{658A7722-7995-459D-B644-407178631050}" name="Heifers &lt; 1 (weaned)" dataDxfId="317" dataCellStyle="Content normal">
      <calculatedColumnFormula array="1">Common_InputFunctions.Utility_DisplayArrayInTable(SourceData_Dairy.SourceData_Dairy_LiveweightGain_Data(), Table_SourceData_Dairy_LWGj[[#Headers],[Milking cows]], 0)</calculatedColumnFormula>
    </tableColumn>
    <tableColumn id="4" xr3:uid="{B440F59B-8A4E-4804-8511-1D7DEDD10C08}" name="Bulls &gt; 1" dataDxfId="316" dataCellStyle="Content normal">
      <calculatedColumnFormula array="1">Common_InputFunctions.Utility_DisplayArrayInTable(SourceData_Dairy.SourceData_Dairy_LiveweightGain_Data(), Table_SourceData_Dairy_LWGj[[#Headers],[Milking cows]], 0)</calculatedColumnFormula>
    </tableColumn>
    <tableColumn id="5" xr3:uid="{C16EEE1F-EF2A-4385-9F63-97CA36927DB9}" name="Bulls &lt; 1 (weaned)" dataDxfId="315"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E3F6E0A-546A-4BD6-99CE-862C1BE3FE44}" name="Table_SourceData_Dairy_WRj" displayName="Table_SourceData_Dairy_WRj" ref="D54:H55" totalsRowShown="0" headerRowDxfId="314"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C587702D-EFFB-4A86-9D10-B102AE3C4159}"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1EC55128-B325-400D-AEA4-F8FE5F016A37}"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0890911C-F8DF-446C-B956-758841F43781}"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6EA91214-E201-4E88-AAEF-7F34357BF070}"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DF47F3FE-EF60-4D3F-B909-4725B09DFD29}"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FB0639F-B159-4B15-84FB-002929C0EC6F}" name="Table_SourceData_Dairy_DataPreWeaned" displayName="Table_SourceData_Dairy_DataPreWeaned" ref="D62:G64" totalsRowShown="0" dataDxfId="313" dataCellStyle="Content normal">
  <autoFilter ref="D62:G64" xr:uid="{968BB314-DB2C-4CA2-BAA9-E66557777E59}">
    <filterColumn colId="0" hiddenButton="1"/>
    <filterColumn colId="1" hiddenButton="1"/>
    <filterColumn colId="2" hiddenButton="1"/>
    <filterColumn colId="3" hiddenButton="1"/>
  </autoFilter>
  <tableColumns count="4">
    <tableColumn id="1" xr3:uid="{F9056F97-7213-41C9-9FF5-ACB768636E36}" name="Animal class j" dataDxfId="312" dataCellStyle="Content normal">
      <calculatedColumnFormula array="1">Common_InputFunctions.Utility_DisplayArrayInTable(SourceData_Dairy.SourceData_Dairy_PreWeanedCalves_Data(), Table_SourceData_Dairy_DataPreWeaned[[#Headers],[Animal class j]], -1)</calculatedColumnFormula>
    </tableColumn>
    <tableColumn id="2" xr3:uid="{B539F5AC-B450-4956-934B-D3B60773DC0E}" name="CH4 production" dataDxfId="311" dataCellStyle="Content normal">
      <calculatedColumnFormula array="1">Common_InputFunctions.Utility_DisplayArrayInTable(SourceData_Dairy.SourceData_Dairy_PreWeanedCalves_Data(), Table_SourceData_Dairy_DataPreWeaned[[#Headers],[Animal class j]], -1)</calculatedColumnFormula>
    </tableColumn>
    <tableColumn id="3" xr3:uid="{F613B437-AADE-48C3-9880-3D1A9A4DF901}" name="Volatile solids (VSj=3,5)" dataDxfId="310" dataCellStyle="Content normal">
      <calculatedColumnFormula array="1">Common_InputFunctions.Utility_DisplayArrayInTable(SourceData_Dairy.SourceData_Dairy_PreWeanedCalves_Data(), Table_SourceData_Dairy_DataPreWeaned[[#Headers],[Animal class j]], -1)</calculatedColumnFormula>
    </tableColumn>
    <tableColumn id="4" xr3:uid="{D947FE17-BE51-4C93-A3F0-1D671CD5F6AB}" name="Nitrogen Excreted (NPWj=3,5)" dataDxfId="309"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2C54A06-07D8-428A-900F-BFD7B4BCD517}"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AEF7846-75DB-4119-ABE9-4B9F31878B0C}" name="MMS m">
      <calculatedColumnFormula array="1">Common_InputFunctions.Utility_DisplayArrayInTable(SourceData_Dairy.SourceData_Dairy_MCF_Data(), Table_SourceData_Dairy_MCFjm[[#Headers],[MMS m]], 0)</calculatedColumnFormula>
    </tableColumn>
    <tableColumn id="2" xr3:uid="{65EB118E-02E3-40C5-930B-533CBF25FCE6}" name="ACT" dataDxfId="308" dataCellStyle="Content normal">
      <calculatedColumnFormula array="1">Common_InputFunctions.Utility_DisplayArrayInTable(SourceData_Dairy.SourceData_Dairy_MCF_Data(), Table_SourceData_Dairy_MCFjm[[#Headers],[MMS m]], 0)</calculatedColumnFormula>
    </tableColumn>
    <tableColumn id="3" xr3:uid="{1FBD0F45-FC0D-4C8B-9C14-B035FB6D7C0F}" name="NSW" dataDxfId="307" dataCellStyle="Content normal">
      <calculatedColumnFormula array="1">Common_InputFunctions.Utility_DisplayArrayInTable(SourceData_Dairy.SourceData_Dairy_MCF_Data(), Table_SourceData_Dairy_MCFjm[[#Headers],[MMS m]], 0)</calculatedColumnFormula>
    </tableColumn>
    <tableColumn id="4" xr3:uid="{95E8D10A-CF4B-42BC-A465-253985AA1FE5}" name="NT" dataDxfId="306" dataCellStyle="Content normal">
      <calculatedColumnFormula array="1">Common_InputFunctions.Utility_DisplayArrayInTable(SourceData_Dairy.SourceData_Dairy_MCF_Data(), Table_SourceData_Dairy_MCFjm[[#Headers],[MMS m]], 0)</calculatedColumnFormula>
    </tableColumn>
    <tableColumn id="5" xr3:uid="{699E93C9-C348-4740-A2E6-B4E92593B572}" name="QLD" dataDxfId="305" dataCellStyle="Content normal">
      <calculatedColumnFormula array="1">Common_InputFunctions.Utility_DisplayArrayInTable(SourceData_Dairy.SourceData_Dairy_MCF_Data(), Table_SourceData_Dairy_MCFjm[[#Headers],[MMS m]], 0)</calculatedColumnFormula>
    </tableColumn>
    <tableColumn id="6" xr3:uid="{BB78DF62-CBDF-4CA6-BA0F-85A464A4E317}" name="SA" dataDxfId="304" dataCellStyle="Content normal">
      <calculatedColumnFormula array="1">Common_InputFunctions.Utility_DisplayArrayInTable(SourceData_Dairy.SourceData_Dairy_MCF_Data(), Table_SourceData_Dairy_MCFjm[[#Headers],[MMS m]], 0)</calculatedColumnFormula>
    </tableColumn>
    <tableColumn id="7" xr3:uid="{59DD2ACD-ED25-4CB9-9F2A-91C679F63FE5}" name="TAS" dataDxfId="303" dataCellStyle="Content normal">
      <calculatedColumnFormula array="1">Common_InputFunctions.Utility_DisplayArrayInTable(SourceData_Dairy.SourceData_Dairy_MCF_Data(), Table_SourceData_Dairy_MCFjm[[#Headers],[MMS m]], 0)</calculatedColumnFormula>
    </tableColumn>
    <tableColumn id="8" xr3:uid="{ED3BD099-815B-4A61-98C2-45500660E91B}" name="VIC" dataDxfId="302" dataCellStyle="Content normal">
      <calculatedColumnFormula array="1">Common_InputFunctions.Utility_DisplayArrayInTable(SourceData_Dairy.SourceData_Dairy_MCF_Data(), Table_SourceData_Dairy_MCFjm[[#Headers],[MMS m]], 0)</calculatedColumnFormula>
    </tableColumn>
    <tableColumn id="9" xr3:uid="{7537BAAA-7CCA-4B2E-B636-9D7686253BA1}" name="WA" dataDxfId="301" dataCellStyle="Content normal">
      <calculatedColumnFormula array="1">Common_InputFunctions.Utility_DisplayArrayInTable(SourceData_Dairy.SourceData_Dairy_MCF_Data(), Table_SourceData_Dairy_MCFjm[[#Headers],[MMS m]], 0)</calculatedColumnFormula>
    </tableColumn>
    <tableColumn id="10" xr3:uid="{5C7C3217-C42F-4109-A49B-0738ADD92D3B}" name="NIR reference" dataDxfId="300"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D994A8-2DD1-46C0-9D54-27D8DDE4DE7B}"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531825AC-A27A-4DBA-959D-5D09F854AB40}" name="MMS m">
      <calculatedColumnFormula array="1">Common_InputFunctions.Utility_DisplayArrayInTable(SourceData_Dairy.SourceData_Dairy_NitrousOxideEFsAndFracGASM_Data(), Table_SourceData_Dairy_EFmFracGASM[[#Headers],[MMS m]], 0)</calculatedColumnFormula>
    </tableColumn>
    <tableColumn id="2" xr3:uid="{0D6D5930-62A8-4C81-821E-79414540134D}" name="EFm" dataDxfId="299" dataCellStyle="Content normal">
      <calculatedColumnFormula array="1">Common_InputFunctions.Utility_DisplayArrayInTable(SourceData_Dairy.SourceData_Dairy_NitrousOxideEFsAndFracGASM_Data(), Table_SourceData_Dairy_EFmFracGASM[[#Headers],[MMS m]], 0)</calculatedColumnFormula>
    </tableColumn>
    <tableColumn id="3" xr3:uid="{2A29423C-BD26-4E2E-9148-C2B0D1CA716E}" name="FracGASMm" dataDxfId="298" dataCellStyle="Content normal">
      <calculatedColumnFormula array="1">Common_InputFunctions.Utility_DisplayArrayInTable(SourceData_Dairy.SourceData_Dairy_NitrousOxideEFsAndFracGASM_Data(), Table_SourceData_Dairy_EFmFracGASM[[#Headers],[MMS m]], 0)</calculatedColumnFormula>
    </tableColumn>
    <tableColumn id="4" xr3:uid="{8A8CAC73-5A9C-460D-B559-459D8BA8C68B}" name="NIR reference" dataDxfId="297"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87EB7BB-3F5A-4998-AA55-ED7F08B7629E}"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CFC329B0-3661-4CAE-90F8-F2065DB94EA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E9657B42-8F2E-4B85-93CB-95C637447B6A}" name="MPW ENTERIC" dataDxfId="296"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845D08-B935-4F68-8CEC-64A8A2D47E7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F7E874D4-9AA5-4AF6-86D9-0D4583B5FC41}" name="Animal class j">
      <calculatedColumnFormula array="1">Common_InputFunctions.Utility_DisplayArrayInTable(SourceData_Dairy.SourceData_Dairy_IncreasedMetabolicRateMilk_Data(), Table_SourceData_Dairy_MRj[[#Headers],[Animal class j]], 0)</calculatedColumnFormula>
    </tableColumn>
    <tableColumn id="2" xr3:uid="{B9F6FD31-D8E3-4927-8EF2-D5320BE4900F}" name="MRj" dataDxfId="295"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7F3EEA2-B771-4159-A328-549DA54C37D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B40C4E5D-7098-47B8-8A21-7811597631AB}" name="Area">
      <calculatedColumnFormula array="1">Common_InputFunctions.Utility_DisplayArrayInTable(SourceData_Dairy.SourceData_Dairy_FractionVolatileSolidsVoidedMMS_Data(), Table_SourceData_Dairy_ProductionSystemTemplates[[#Headers],[Area]], 0)</calculatedColumnFormula>
    </tableColumn>
    <tableColumn id="2" xr3:uid="{D3186022-3F96-4108-A682-E8158E933CED}" name="Pasture" dataDxfId="29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105E189-781B-496F-B0B2-D59FC437EA23}" name="Milking shed" dataDxfId="29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2518647B-B180-400A-8A60-30EA88612C4B}" name="Feedpad" dataDxfId="29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B75F166-5D03-461E-A527-73DD42653C05}"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525EF0B2-8E22-4F8E-A98D-3D1921C14668}" name="MMS m">
      <calculatedColumnFormula array="1">Common_InputFunctions.Utility_DisplayArrayInTable(SourceData_Dairy.SourceData_Dairy_EFNitrousOxidePerMMS_Data(), Table_SourceData_Dairy_EFm[[#Headers],[MMS m]], 0)</calculatedColumnFormula>
    </tableColumn>
    <tableColumn id="2" xr3:uid="{9E6D1BBD-353F-40DB-8811-9D0729B6505C}" name="EFm" dataDxfId="291" dataCellStyle="Content normal">
      <calculatedColumnFormula array="1">Common_InputFunctions.Utility_DisplayArrayInTable(SourceData_Dairy.SourceData_Dairy_EFNitrousOxidePerMMS_Data(), Table_SourceData_Dairy_EFm[[#Headers],[MMS m]], 0)</calculatedColumnFormula>
    </tableColumn>
    <tableColumn id="3" xr3:uid="{A5ACD9D8-2C6F-4E84-BE30-C55C58EDDE10}" name="NIR reference" dataDxfId="290"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A67C4-425A-4B25-9011-0F50BA18EA72}"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990651CF-4A13-43F6-B617-DED53BB8FC92}" name="Animal class j">
      <calculatedColumnFormula array="1">Common_InputFunctions.Utility_DisplayArrayInTable(SourceData_Dairy.SourceData_Dairy_DurationOfStay_Data(), Table_SourceData_Dairy_Duration[[#Headers],[Animal class j]], 0)</calculatedColumnFormula>
    </tableColumn>
    <tableColumn id="2" xr3:uid="{9D196A12-10FE-4FB7-B9F6-BD16CF503E7D}" name="Duration (weaned)" dataDxfId="289" dataCellStyle="Content normal">
      <calculatedColumnFormula array="1">Common_InputFunctions.Utility_DisplayArrayInTable(SourceData_Dairy.SourceData_Dairy_DurationOfStay_Data(), Table_SourceData_Dairy_Duration[[#Headers],[Animal class j]], 0)</calculatedColumnFormula>
    </tableColumn>
    <tableColumn id="3" xr3:uid="{CD870BB2-D97B-45CE-A719-FCE3FB86E4EF}" name="Duration (pre-weaned)" dataDxfId="288"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5222D5F-86D1-4C73-A68A-91CFB4B3AEE9}" name="Table_LivestockClasses_Dairy" displayName="Table_LivestockClasses_Dairy" ref="L7:L12" totalsRowShown="0">
  <autoFilter ref="L7:L12" xr:uid="{F006A23F-3930-4C16-9B92-37DD408BCC17}">
    <filterColumn colId="0" hiddenButton="1"/>
  </autoFilter>
  <tableColumns count="1">
    <tableColumn id="1" xr3:uid="{8AD037F9-9D1A-462C-9351-E0C3A7E27BE7}" name="Livestock class"/>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A34E2F7E-A6FC-464E-9C28-8AB85A27200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33FEF31-8FB4-4391-BC4B-EE313C3E6B0A}" name="Crop type">
      <calculatedColumnFormula array="1">Common_InputFunctions.Utility_DisplayArrayInTable(Agresidue_SourceData.CropAttributes_Data(),Table_SourceData_CropAttributes[[#Headers],[Crop type]], -1)</calculatedColumnFormula>
    </tableColumn>
    <tableColumn id="2" xr3:uid="{D0CC45E4-A61F-4F9B-8608-5C0719E2F886}" name="Residue: Crop ratio">
      <calculatedColumnFormula array="1">Common_InputFunctions.Utility_DisplayArrayInTable(Agresidue_SourceData.CropAttributes_Data(),Table_SourceData_CropAttributes[[#Headers],[Crop type]], -1)</calculatedColumnFormula>
    </tableColumn>
    <tableColumn id="3" xr3:uid="{1C6A4D61-B366-4E9A-A5BF-69ADDE35A49F}" name="Below-ground: above-ground residue ratio">
      <calculatedColumnFormula array="1">Common_InputFunctions.Utility_DisplayArrayInTable(Agresidue_SourceData.CropAttributes_Data(),Table_SourceData_CropAttributes[[#Headers],[Crop type]], -1)</calculatedColumnFormula>
    </tableColumn>
    <tableColumn id="4" xr3:uid="{ED83F4C9-F2A2-4551-9436-16A705496871}" name="Dry matter content">
      <calculatedColumnFormula array="1">Common_InputFunctions.Utility_DisplayArrayInTable(Agresidue_SourceData.CropAttributes_Data(),Table_SourceData_CropAttributes[[#Headers],[Crop type]], -1)</calculatedColumnFormula>
    </tableColumn>
    <tableColumn id="5" xr3:uid="{7B570E02-E42F-4B16-AFA1-99D084BDFBE4}" name="Carbon fraction in dry matter">
      <calculatedColumnFormula array="1">Common_InputFunctions.Utility_DisplayArrayInTable(Agresidue_SourceData.CropAttributes_Data(),Table_SourceData_CropAttributes[[#Headers],[Crop type]], -1)</calculatedColumnFormula>
    </tableColumn>
    <tableColumn id="6" xr3:uid="{DD4C2FE4-4FF2-4777-83DD-ED9D134E28D9}" name="N content above-ground">
      <calculatedColumnFormula array="1">Common_InputFunctions.Utility_DisplayArrayInTable(Agresidue_SourceData.CropAttributes_Data(),Table_SourceData_CropAttributes[[#Headers],[Crop type]], -1)</calculatedColumnFormula>
    </tableColumn>
    <tableColumn id="7" xr3:uid="{812E900F-10F8-4508-BE9A-5D5096CED8FD}" name="N content below-ground">
      <calculatedColumnFormula array="1">Common_InputFunctions.Utility_DisplayArrayInTable(Agresidue_SourceData.CropAttributes_Data(),Table_SourceData_CropAttributes[[#Headers],[Crop type]], -1)</calculatedColumnFormula>
    </tableColumn>
    <tableColumn id="8" xr3:uid="{0F5B880A-94AE-477F-A64E-522FA8B70C9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5912BE36-A978-4441-A2D3-9ABA2F514F6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4DEA7886-9FE8-402F-90F5-C474992F7B55}" name="Table76" displayName="Table76" ref="D73:F89" totalsRowShown="0">
  <autoFilter ref="D73:F89" xr:uid="{7CD0B032-9881-4EF1-81E3-483C7C16D9D0}">
    <filterColumn colId="0" hiddenButton="1"/>
    <filterColumn colId="1" hiddenButton="1"/>
    <filterColumn colId="2" hiddenButton="1"/>
  </autoFilter>
  <tableColumns count="3">
    <tableColumn id="1" xr3:uid="{2BFB00ED-BDF1-49DC-9940-68B980D65BF9}" name="Crop type c">
      <calculatedColumnFormula array="1">Common_InputFunctions.Utility_DisplayArrayInTable(Agresidue_SourceData.CropFractionRemoved_Data(), Table76[[#Headers],[Crop type c]], 0)</calculatedColumnFormula>
    </tableColumn>
    <tableColumn id="2" xr3:uid="{A05986D6-2765-45F0-AC2F-FB1E099EEBB2}" name="State" dataDxfId="287">
      <calculatedColumnFormula array="1">Common_InputFunctions.Utility_DisplayArrayInTable(Agresidue_SourceData.CropFractionRemoved_Data(), Table76[[#Headers],[Crop type c]], 0)</calculatedColumnFormula>
    </tableColumn>
    <tableColumn id="3" xr3:uid="{66F68520-0C68-4BE2-99CB-007AA1CFFC35}" name="Fraction removed" dataDxfId="286">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3A9B922C-535C-4497-8F6E-170E8633A49C}" name="Table77" displayName="Table77" ref="D92:F235" totalsRowShown="0">
  <autoFilter ref="D92:F235" xr:uid="{1FA7CC86-1C1E-41FA-9AA1-AAD48AA2EEF0}">
    <filterColumn colId="0" hiddenButton="1"/>
    <filterColumn colId="1" hiddenButton="1"/>
    <filterColumn colId="2" hiddenButton="1"/>
  </autoFilter>
  <tableColumns count="3">
    <tableColumn id="1" xr3:uid="{FF63FAEA-FB78-431B-9065-387E95260391}" name="Crop type c">
      <calculatedColumnFormula array="1">Common_InputFunctions.Utility_DisplayArrayInTable(Agresidue_SourceData.CropFractionRemoved_CustomisedData(), Table77[[#Headers],[Crop type c]], 0)</calculatedColumnFormula>
    </tableColumn>
    <tableColumn id="2" xr3:uid="{D1949D25-BA70-447C-A532-DEC955BA6390}" name="State" dataDxfId="285">
      <calculatedColumnFormula array="1">Common_InputFunctions.Utility_DisplayArrayInTable(Agresidue_SourceData.CropFractionRemoved_CustomisedData(), Table77[[#Headers],[Crop type c]], 0)</calculatedColumnFormula>
    </tableColumn>
    <tableColumn id="3" xr3:uid="{1540B6DC-D837-490E-9714-0F0A6FAC6955}" name="Fraction removed" dataDxfId="284">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635FC01-F067-44C2-AFE0-47EA7C4C7BF0}" name="Table_SourceData_N2OEFOrganicFert" displayName="Table_SourceData_N2OEFOrganicFert" ref="D43:E45" totalsRowShown="0" dataDxfId="283" dataCellStyle="Content bold">
  <autoFilter ref="D43:E45" xr:uid="{2270AB6D-D03A-4D71-95C0-00BA6BB02732}">
    <filterColumn colId="0" hiddenButton="1"/>
    <filterColumn colId="1" hiddenButton="1"/>
  </autoFilter>
  <tableColumns count="2">
    <tableColumn id="1" xr3:uid="{CCD304CE-4CB4-48F4-97F2-2AB5A9EBB855}" name="Climate zone type i" dataDxfId="282" dataCellStyle="Content bold">
      <calculatedColumnFormula array="1">Common_InputFunctions.Utility_DisplayArrayInTable(Agresidue_SourceData.N2OEFOrganicFertiliser_Data(), Table_SourceData_N2OEFOrganicFert[[#Headers],[Climate zone type i]], 0)</calculatedColumnFormula>
    </tableColumn>
    <tableColumn id="2" xr3:uid="{A992CC1D-D1D9-42EA-81FE-87026E64E0F3}" name="EF i N2O" dataDxfId="281"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1F78B0F-5064-41FE-8E53-9B11A12DEF85}" name="Table_SourceData_PastureAttributes" displayName="Table_SourceData_PastureAttributes" ref="D51:I56" totalsRowShown="0" dataDxfId="280"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8DF43DCD-0D19-4862-8CF3-36D3D0C1088E}" name="Pasture type" dataDxfId="279" dataCellStyle="Content normal">
      <calculatedColumnFormula array="1">Common_InputFunctions.Utility_DisplayArrayInTable(Agresidue_SourceData.PastureAttributes_Data(), Table_SourceData_PastureAttributes[[#Headers],[Pasture type]], 0)</calculatedColumnFormula>
    </tableColumn>
    <tableColumn id="2" xr3:uid="{052CB208-1955-41E9-94AB-E70806CB5EFD}" name="Average Yield (t DM ha) Yp" dataDxfId="278" dataCellStyle="Content normal">
      <calculatedColumnFormula array="1">Common_InputFunctions.Utility_DisplayArrayInTable(Agresidue_SourceData.PastureAttributes_Data(), Table_SourceData_PastureAttributes[[#Headers],[Pasture type]], 0)</calculatedColumnFormula>
    </tableColumn>
    <tableColumn id="3" xr3:uid="{20DD17D7-0E09-4263-A185-994053F597AE}" name="Below-ground: above-ground residue ratio RBGp" dataDxfId="277" dataCellStyle="Content normal">
      <calculatedColumnFormula array="1">Common_InputFunctions.Utility_DisplayArrayInTable(Agresidue_SourceData.PastureAttributes_Data(), Table_SourceData_PastureAttributes[[#Headers],[Pasture type]], 0)</calculatedColumnFormula>
    </tableColumn>
    <tableColumn id="4" xr3:uid="{5B21693D-5BFB-476B-AB94-62131A70F9A5}" name="N content Above-ground NCAGp" dataDxfId="276" dataCellStyle="Content normal">
      <calculatedColumnFormula array="1">Common_InputFunctions.Utility_DisplayArrayInTable(Agresidue_SourceData.PastureAttributes_Data(), Table_SourceData_PastureAttributes[[#Headers],[Pasture type]], 0)</calculatedColumnFormula>
    </tableColumn>
    <tableColumn id="5" xr3:uid="{20EA55B3-3840-49D6-A037-A06FF8D9431E}" name="N content Below-ground NCBGp" dataDxfId="275" dataCellStyle="Content normal">
      <calculatedColumnFormula array="1">Common_InputFunctions.Utility_DisplayArrayInTable(Agresidue_SourceData.PastureAttributes_Data(), Table_SourceData_PastureAttributes[[#Headers],[Pasture type]], 0)</calculatedColumnFormula>
    </tableColumn>
    <tableColumn id="6" xr3:uid="{AAEB44D2-7467-4932-AAAB-D00072EF3F33}" name="Fraction of pasture yield that is removed FFODp" dataDxfId="274"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4CDD7444-A344-4D7F-AD96-A29292C9F0F0}"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0035D8EE-8850-45DB-A15D-2159C94C7EDE}" name="Gas species">
      <calculatedColumnFormula array="1">Common_InputFunctions.Utility_DisplayArrayInTable(AgResidues_SourceData.BurningOfAgriculturalResiduesEFs_Data(), Table_SourceData_BurningResidueEFs[[#Headers],[Gas species]], 0)</calculatedColumnFormula>
    </tableColumn>
    <tableColumn id="2" xr3:uid="{3828AD71-36AF-4906-9BB1-FCF34B602F01}" name="Emission factor EFg (Gg element in species/ Gg element in fuel burnt)" dataDxfId="273" dataCellStyle="Content normal">
      <calculatedColumnFormula array="1">Common_InputFunctions.Utility_DisplayArrayInTable(AgResidues_SourceData.BurningOfAgriculturalResiduesEFs_Data(), Table_SourceData_BurningResidueEFs[[#Headers],[Gas species]], 0)</calculatedColumnFormula>
    </tableColumn>
    <tableColumn id="3" xr3:uid="{C9EFC12C-34F6-41BA-AD10-FEE2D0E57C45}" name="Elemental to molecular mass conversion factor (Cg)" dataDxfId="272"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2AE81F09-7E45-4C18-BA0A-5EC981B4989D}" name="Table_SourceData_CropPurposeAndYields" displayName="Table_SourceData_CropPurposeAndYields" ref="D7:K10" totalsRowShown="0" headerRowDxfId="271">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2A828CF-3983-46FB-9A1F-4B2A2D96D00A}" name="Purpose">
      <calculatedColumnFormula array="1">Common_InputFunctions.Utility_DisplayArrayInTable(Agresidue_SourceData.CropPurposeAndYield_Data(), Table_SourceData_CropPurposeAndYields[[#Headers],[Purpose]], 0)</calculatedColumnFormula>
    </tableColumn>
    <tableColumn id="2" xr3:uid="{7FC02745-2A0B-40EC-B142-5E69877F9B34}" name="Per hectare unit">
      <calculatedColumnFormula array="1">Common_InputFunctions.Utility_DisplayArrayInTable(Agresidue_SourceData.CropPurposeAndYield_Data(), Table_SourceData_CropPurposeAndYields[[#Headers],[Purpose]], 0)</calculatedColumnFormula>
    </tableColumn>
    <tableColumn id="3" xr3:uid="{6534348D-F05A-4D48-8CF9-9B3184E15E05}" name="harvest term">
      <calculatedColumnFormula array="1">Common_InputFunctions.Utility_DisplayArrayInTable(Agresidue_SourceData.CropPurposeAndYield_Data(), Table_SourceData_CropPurposeAndYields[[#Headers],[Purpose]], 0)</calculatedColumnFormula>
    </tableColumn>
    <tableColumn id="4" xr3:uid="{3F49C138-8C4F-4946-914D-D6275BDC5094}" name="harvest endpoint">
      <calculatedColumnFormula array="1">Common_InputFunctions.Utility_DisplayArrayInTable(Agresidue_SourceData.CropPurposeAndYield_Data(), Table_SourceData_CropPurposeAndYields[[#Headers],[Purpose]], 0)</calculatedColumnFormula>
    </tableColumn>
    <tableColumn id="5" xr3:uid="{E28ED822-D45E-4777-92E2-64EA90100AC5}" name="Harvest uit">
      <calculatedColumnFormula array="1">Common_InputFunctions.Utility_DisplayArrayInTable(Agresidue_SourceData.CropPurposeAndYield_Data(), Table_SourceData_CropPurposeAndYields[[#Headers],[Purpose]], 0)</calculatedColumnFormula>
    </tableColumn>
    <tableColumn id="6" xr3:uid="{F4ADDAEA-AD06-412B-A326-3B74B9ED2F1D}" name="Yield note">
      <calculatedColumnFormula array="1">Common_InputFunctions.Utility_DisplayArrayInTable(Agresidue_SourceData.CropPurposeAndYield_Data(), Table_SourceData_CropPurposeAndYields[[#Headers],[Purpose]], 0)</calculatedColumnFormula>
    </tableColumn>
    <tableColumn id="8" xr3:uid="{F3F9D161-7BB4-447D-BC1D-605AF1EBBAA8}" name="Residue crop ratio note">
      <calculatedColumnFormula array="1">Common_InputFunctions.Utility_DisplayArrayInTable(Agresidue_SourceData.CropPurposeAndYield_Data(), Table_SourceData_CropPurposeAndYields[[#Headers],[Purpose]], 0)</calculatedColumnFormula>
    </tableColumn>
    <tableColumn id="9" xr3:uid="{A054ED38-2BF4-4B92-98C1-1B4F9BFED391}"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5DBDD0C-9DCB-4A9F-96A9-BDADE052C6C2}" name="Table_SourceData_Fertiliser_IrrigationMethods78" displayName="Table_SourceData_Fertiliser_IrrigationMethods78" ref="N21:N26" totalsRowShown="0">
  <autoFilter ref="N21:N26" xr:uid="{1AC5909E-E06C-4A79-81E9-C25A0B6D9E90}">
    <filterColumn colId="0" hiddenButton="1"/>
  </autoFilter>
  <tableColumns count="1">
    <tableColumn id="1" xr3:uid="{530A56F7-4593-4D51-B84A-516AC292A225}" name="Irrigation method"/>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48F911E5-4949-4692-A04F-011D9D3E4963}"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9E13514E-3A24-4E68-B226-8AD1D47D923C}" name="Symbol">
      <calculatedColumnFormula array="1">Common_InputFunctions.Utility_DisplayArrayInTable(CommonLivestock_SourceData.SourceData_Livestock_Common_SymbolsMMS_Data(), Table_Data_MMSSymbols[[#Headers],[Symbol]], 0)</calculatedColumnFormula>
    </tableColumn>
    <tableColumn id="2" xr3:uid="{BFC47699-3230-4368-8955-A8505658D5D9}" name="Manure management system">
      <calculatedColumnFormula array="1">Common_InputFunctions.Utility_DisplayArrayInTable(CommonLivestock_SourceData.SourceData_Livestock_Common_SymbolsMMS_Data(), Table_Data_MMSSymbols[[#Headers],[Symbol]], 0)</calculatedColumnFormula>
    </tableColumn>
    <tableColumn id="3" xr3:uid="{4BBE7BBE-DA41-4D0E-846A-A8B758D4001D}"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0C6F0D9-7730-4F06-9665-DFA6A96BE9F6}" name="Table_SourceData_ElectricityEFs" displayName="Table_SourceData_ElectricityEFs" ref="D9:F19" totalsRowShown="0" headerRowDxfId="270">
  <autoFilter ref="D9:F19" xr:uid="{3144A982-7A4D-4CF2-8790-1A30DAE3E0A4}">
    <filterColumn colId="0" hiddenButton="1"/>
    <filterColumn colId="1" hiddenButton="1"/>
    <filterColumn colId="2" hiddenButton="1"/>
  </autoFilter>
  <tableColumns count="3">
    <tableColumn id="1" xr3:uid="{EF9BF10D-1E16-4B42-8514-5EBE0E9A94F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0366E3-AD2B-4056-8435-C74E7B6CFE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B5DDB339-F7A1-4199-B1B8-44E51A42951B}"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468804FC-0331-444F-92E3-9DC80E65D8B5}"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DBF2773A-2A4D-41C2-B758-E4B13F62CA5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46AEF35E-B7A7-4B7D-A149-82D37907BAC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6D70B0EA-4B09-4119-AE4E-E88E7913ABE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5EB59E08-B8E5-4B1E-A7FF-57286B92914D}"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4D2B768-468F-4675-86FC-D1C211F88E49}"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E122897-3618-4666-BCC5-A954D320AEC1}"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37FA17B2-5F1A-4A56-A7CE-83993726753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515DDEB9-38E8-404F-B5E2-A69CA1A6F9D8}" name="FNinorganic f">
      <calculatedColumnFormula array="1">Common_InputFunctions.Utility_DisplayArrayInTable(Fertiliser_SourceData.Fertiliser_ChemicalCompoundElements_Data(),Table_Fertiliser_ChemicalCompounds[[#Headers],[Fertiliser type f]], 0)</calculatedColumnFormula>
    </tableColumn>
    <tableColumn id="3" xr3:uid="{FCC78896-E7BD-4BEE-8EBA-686ED90F83C1}" name="FU f">
      <calculatedColumnFormula array="1">Common_InputFunctions.Utility_DisplayArrayInTable(Fertiliser_SourceData.Fertiliser_ChemicalCompoundElements_Data(),Table_Fertiliser_ChemicalCompounds[[#Headers],[Fertiliser type f]], 0)</calculatedColumnFormula>
    </tableColumn>
    <tableColumn id="4" xr3:uid="{B51CA1F6-D944-4E80-85C4-41FEFEE837CC}" name="Basis">
      <calculatedColumnFormula array="1">Common_InputFunctions.Utility_DisplayArrayInTable(Fertiliser_SourceData.Fertiliser_ChemicalCompoundElements_Data(),Table_Fertiliser_ChemicalCompounds[[#Headers],[Fertiliser type f]], 0)</calculatedColumnFormula>
    </tableColumn>
    <tableColumn id="5" xr3:uid="{824215BB-38CE-4393-8381-F317C520462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62E83A1F-3D31-4AC7-8E54-AA8E5A9F578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BC948F6-D7B6-4CEA-8E50-B7E0C39E376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735123F-D627-44C8-BB76-4741B936B99A}" name="Company" totalsRowFunction="custom" totalsRowDxfId="26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F0651988-370F-4D8A-A63D-30F25DA53468}"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E747D901-103C-4F54-B91E-6B5FD9E174F8}"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07B17877-FAA9-488A-8140-A224F0C51674}"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8ED2980F-0FF7-4703-BEF3-35C3C1BF1B29}"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CD282760-CEC8-42F8-9EF8-FDD0D489313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E148849F-58C5-4F30-B580-2B1C09D3E0D9}"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3212D84-83BB-4001-99B2-B3169E03AFE2}"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71E03AF-67E7-44A5-8C6B-CBD327ABF308}"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EE7CD354-6BEC-4F0D-B1DC-9125B0041B92}"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EFA5DD5-CF0C-40D0-9756-9CE5B878022C}"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1D1BCC36-3EB9-4C4B-9803-A8AE8661763C}" name="Ingredient 1" totalsRowFunction="custom" totalsRowCellStyle="Content normal">
      <totalsRowFormula array="1">Common_InputFunctions.Utility_DisplayArrayInTable(Fertiliser_SourceData.Fertiliser_Products_Data3(), FertiliserProducts[[#Headers],[Company]],61)</totalsRowFormula>
    </tableColumn>
    <tableColumn id="22" xr3:uid="{AC66239C-84C8-4CBC-AC41-6F1AB878F704}"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C5E19A1E-F6D4-4650-9F84-3D28CC9CCA01}"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56A59DF-9BE8-420D-A678-68D7842ACF07}"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C50454F-4A01-4F15-BC46-D1CE6417C93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A5A959E1-5911-4EE2-8AFD-2D7EA4077D88}"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D5581DBA-3B7A-401E-8DA2-E4D234E5F43D}"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3EDA5736-2230-4209-B436-41F4E5A47503}"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346D049A-9F9D-4AE3-9FE8-F68C55C1E346}"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BE300449-AD91-4CA2-B3CE-C0F410A32343}"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6855371F-C5C2-42B7-8444-85B170EC6B5D}"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10CB2F4B-B79F-407E-80E0-F172FBE3C909}"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9468FEF7-91AA-468A-AF2C-0EC1725356C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242F4747-5521-4972-87B7-03794C77097C}"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52955634-548B-4916-A2B8-3D9AD53EA4AC}"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F5C20F4C-D0B8-4A3C-BF03-783540C0812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7C50FC6D-4B8A-4C1A-8666-8FEAF7AD4C0A}"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A871B96D-BA1A-487A-8BA5-77A064EE6C65}"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F8890FAD-866D-419F-9B64-C26D74A07C29}"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D5B23416-22E5-46F7-94C4-69AC4B3ED63B}" name="Ingredient 10 percent" totalsRow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C178278-8CA7-41BF-B55F-F6EE49245089}"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D8296F65-6118-4235-95FD-39FC7F3C97E1}" name="Fertiliser type f">
      <calculatedColumnFormula array="1">Common_InputFunctions.Utility_DisplayArrayInTable(Fertiliser_SourceData.Fertiliser_FracGASF_Data(), Table_SourceData_Fertiliser_FracGASF[[#Headers],[Fertiliser type f]], 0)</calculatedColumnFormula>
    </tableColumn>
    <tableColumn id="2" xr3:uid="{FC4190E3-4EAB-41A6-9438-2D3E57B07ABD}"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2B70EDF-A01B-4D95-8F2A-8D72226A0EC8}" name="Table_SourceData_Fertiliser_CropProdSystems" displayName="Table_SourceData_Fertiliser_CropProdSystems" ref="D41:D43" totalsRowShown="0">
  <autoFilter ref="D41:D43" xr:uid="{24F3A11E-40F5-4BB9-BFF4-A71FA2ADA0EF}">
    <filterColumn colId="0" hiddenButton="1"/>
  </autoFilter>
  <tableColumns count="1">
    <tableColumn id="1" xr3:uid="{0C7FDB46-C0FD-44D8-B1B5-D9632AB7F3B6}" name="Production system">
      <calculatedColumnFormula>#REF!</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DFBE686-E72F-4133-883F-E2130A50A41B}"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0CF6CD83-62B4-4A64-A5FC-CF67DF91DB27}" name="Irrigation method"/>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9C01644-AB5D-4E4E-9126-0FA517D5B8D6}" name="Table_SourceData_Fertiliser_CropTypes" displayName="Table_SourceData_Fertiliser_CropTypes" ref="F41:F45" totalsRowShown="0">
  <autoFilter ref="F41:F45" xr:uid="{CB5044B5-FA3C-4AA2-B1AB-72F7E61D072F}">
    <filterColumn colId="0" hiddenButton="1"/>
  </autoFilter>
  <tableColumns count="1">
    <tableColumn id="1" xr3:uid="{ADDB7889-2B74-4F4B-81C0-1A43B6E6557F}" name="Production system"/>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51050C8-D7EB-48AF-865B-2C84A7400673}" name="Table_SourceData_OrganicFertiliserTypes" displayName="Table_SourceData_OrganicFertiliserTypes" ref="J41:J46" totalsRowShown="0">
  <autoFilter ref="J41:J46" xr:uid="{B44627B1-537E-4ABC-92C3-57282CEE5B40}">
    <filterColumn colId="0" hiddenButton="1"/>
  </autoFilter>
  <tableColumns count="1">
    <tableColumn id="1" xr3:uid="{2A7A447A-2219-455E-82B0-D581A2728EE6}" name="Organic fertiliser type"/>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A18A0300-3763-47BD-BE5D-0B4AB32B2BF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9D81A0DB-12F2-46E3-BCA9-E3727E1FA602}" name="Element">
      <calculatedColumnFormula array="1">Common_InputFunctions.Utility_DisplayArrayInTable(Fertiliser_SourceData.Fertiliser_LimeDolomiteGypsumConstants_Data(), Table_SourceData_Fertiliser_LimeDolomiteConstants[[#Headers],[Element]], 0)</calculatedColumnFormula>
    </tableColumn>
    <tableColumn id="2" xr3:uid="{A8F07839-E221-43F3-9CF6-AA83A8F1E330}"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AC1B3A5-BD00-4758-A9DF-BA1FB1C8A0D8}"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75EAF9-E1D9-4D71-816A-F83E7F82328C}" name="Table2" displayName="Table2" ref="K19:L28" totalsRowShown="0" dataDxfId="265" dataCellStyle="Content normal">
  <autoFilter ref="K19:L28" xr:uid="{27B93029-EB1F-4C4A-A946-CD673A8A6C46}">
    <filterColumn colId="0" hiddenButton="1"/>
    <filterColumn colId="1" hiddenButton="1"/>
  </autoFilter>
  <tableColumns count="2">
    <tableColumn id="1" xr3:uid="{62625E1C-22AC-4AFB-8969-2DE4F0F18F15}"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ECFE7F59-7432-4AE5-A9D4-5946A9644C52}"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0A6BF99F-6775-4363-A0B8-4172BB2896B2}" name="Table28" displayName="Table28" ref="Q19:R28" totalsRowShown="0" dataDxfId="262" dataCellStyle="Content normal">
  <autoFilter ref="Q19:R28" xr:uid="{791CEA59-796C-47AB-86BC-41E8F699030C}">
    <filterColumn colId="0" hiddenButton="1"/>
    <filterColumn colId="1" hiddenButton="1"/>
  </autoFilter>
  <tableColumns count="2">
    <tableColumn id="1" xr3:uid="{6A156FAA-3FE7-4F01-9A9C-1AFBD6161EE5}"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D04E12DD-A75B-4E25-AE7E-D91E35E36BA1}"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8BAB233-279C-48AC-BE18-BB3315D0BFD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EEE5CB7-EE1B-464E-AB4C-6852358A7F18}"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8C6D1BF-11CE-4DD3-ACB1-3B2B5A6A44F1}"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D06D50A-10E4-4E62-8B78-38FF904730DA}"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DBF11988-FD40-46FA-B6ED-CF0C680DB120}"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4712E1C4-5A41-4669-8321-518376C48AD8}"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91A13D27-5FFE-4213-876B-BAC18DDC008F}"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24A241C6-C1B7-4F3C-AED2-5B8BB40CA04E}"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D1FB7426-133F-4932-BED9-DA68FC6184F7}"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A342D9B7-AEF9-403A-A52A-75ED9C4690F8}"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142A641A-6D2D-4F37-9D2F-362DE35B2358}"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6A750D16-86E9-473E-A1C5-7E0AF490A77F}"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1B56668-34A6-4918-8FCC-ECBB1A7B382F}" name="Transport type" dataDxfId="247">
      <calculatedColumnFormula array="1">Common_InputFunctions.Utility_DisplayArrayInTable(Fuel_SourceData.Fuel_Scope1Scope3EmissionFactorsTransport_Data(), Table_Fuel_EFs_Transport[[#Headers],[Transport type]], 0)</calculatedColumnFormula>
    </tableColumn>
    <tableColumn id="2" xr3:uid="{AB25EBFA-6166-484F-9B82-24CA908B9455}" name="Fuel combusted" dataDxfId="246">
      <calculatedColumnFormula array="1">Common_InputFunctions.Utility_DisplayArrayInTable(Fuel_SourceData.Fuel_Scope1Scope3EmissionFactorsTransport_Data(), Table_Fuel_EFs_Transport[[#Headers],[Transport type]], 0)</calculatedColumnFormula>
    </tableColumn>
    <tableColumn id="3" xr3:uid="{8A2889CD-6206-4BD4-9F25-C48C07D2F3FB}"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13A3ADA3-CCD1-4406-880B-110BC6E264AC}" name="Fuel unit" dataDxfId="244">
      <calculatedColumnFormula array="1">Common_InputFunctions.Utility_DisplayArrayInTable(Fuel_SourceData.Fuel_Scope1Scope3EmissionFactorsTransport_Data(), Table_Fuel_EFs_Transport[[#Headers],[Transport type]], 0)</calculatedColumnFormula>
    </tableColumn>
    <tableColumn id="8" xr3:uid="{19E78CCC-5D14-4369-9613-645768F1EE0B}"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6F856111-C4CC-46ED-9C34-8745D32C53EB}"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2BBFC45F-5F25-4193-926B-3CA6A707F640}"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A0DC62E1-5655-4572-95F9-2DABD9D17897}"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2893527F-CC7E-4D8A-B1BF-A32540F9DDDB}"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340EF512-D0BC-4545-819F-D5CF2CF4C928}"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C40DAF7-22B4-4E35-A99F-77FD65DF05BB}" name="Generators" dataDxfId="236"/>
    <tableColumn id="2" xr3:uid="{7F81145F-5A8B-4FF5-B509-230276DDFA9D}" name="Power standalone machinery or heating" dataDxfId="235"/>
    <tableColumn id="3" xr3:uid="{602C830E-56BA-4F77-A460-363AAF6AD0B5}" name="Aviation" dataDxfId="234"/>
    <tableColumn id="5" xr3:uid="{434259F1-C826-438A-B6A6-464B20D90FD1}" name="Cars and light commercial vehicles" dataDxfId="233"/>
    <tableColumn id="7" xr3:uid="{ECFB6757-D71B-4608-92B2-8B355D2D1179}" name="Off-road Agriculture and forestry equipment" dataDxfId="232" dataCellStyle="Content bold"/>
    <tableColumn id="8" xr3:uid="{64290112-05F5-453F-8A8D-1872A6F5BB86}" name="Vessels" dataDxfId="231" dataCellStyle="Content bold"/>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FD0B563D-F143-4B85-8254-156F0D48440D}"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EE729F6-5C8E-443A-AEB4-EF96A2A768E3}"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6D43ED79-6AC8-4B43-B14D-38C1F5595A06}"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3D22D2E0-6F33-4109-9756-2F25AA5AB591}"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51E68CB5-52C4-4AD2-82A8-CFAAD70FB468}"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C88EEA06-1B66-4A5A-B769-8CE4C53F966D}"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898853C3-E750-4AD5-8C8C-010DF504DB8D}"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EAA57092-18AA-48A1-90DA-2DB09842C691}"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41F471C2-A6EF-49A2-AFE9-19E0762AB9AF}"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CAFA97E8-8648-4B2F-ACDA-32F52AC07EE6}"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CADC9960-D490-492A-83D8-6EAF26B7606D}"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0687108F-6C15-4398-9299-390FDF20DCFB}"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349353B-24C2-47DE-8DEF-3FC3B717CEC4}"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834A032-A13F-4B77-8121-BD61B52A8E42}" name="Fuel type"/>
    <tableColumn id="2" xr3:uid="{A72EA26A-8778-4D10-B791-D35BC9C2A5A9}" name="Unit"/>
    <tableColumn id="3" xr3:uid="{3E461D42-2CDC-4E4A-8B9D-A5EF7F5D26BE}" name="Input Unit" dataDxfId="216"/>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8417CADC-7AEB-4C9E-B7C3-08231686B9A9}"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142088A-6A78-4756-9477-1366CA99C552}"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40DF117E-6A47-452C-82B0-DD8EEE00C9EE}"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24AE6C06-1D91-4651-B78D-6A796C854B09}"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05775D9-9FD0-4AD8-8D18-A23B53676ABA}"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A280D1D-92D1-4260-87A5-DAA59B7FF346}"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5846ECE-8D2B-4D22-B019-612A107209EA}"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F0D7F0C1-BEE0-4F6C-A8FE-886D03CA84DA}"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BB00AAB5-DC9D-4D53-B21A-1D45B9C7296A}"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2A68908F-B9B2-4EA4-AB2D-6DFDD49F2BD7}"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E4E6A4E4-2076-4DFE-BF4A-1135DD984DFD}" name="Product" dataDxfId="208" dataCellStyle="Content normal">
      <calculatedColumnFormula array="1">Common_InputFunctions.Utility_DisplayArrayInTable(Scope3_SourceData.Scope3_Livestock_Data(), Table_SourceData_Scope3_Animals[[#Headers],[Category]], 0, 2)</calculatedColumnFormula>
    </tableColumn>
    <tableColumn id="3" xr3:uid="{DABCE9FE-6B80-4035-93CA-7D1E4892257F}"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94964367-E514-4CDF-815C-7C317A513535}"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64E30CE3-FE2A-4B69-9690-8E327A5844CF}"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556FD88A-FA37-447B-B422-BE2BB54B1D9B}"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4F4659A0-90EE-4D0B-960A-757AB301B2EE}"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64A67AE6-757A-4FE7-9C56-4E3C7FED116F}"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B1E2558A-A600-4514-BB67-E08018FC783F}"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EF148175-15F0-451D-ACE6-EAABF48D6D09}"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83CEB859-E8BB-4D77-A92F-5491C0C98A80}"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6265E449-AB0A-41FA-9B80-AA55C872E307}"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4D240275-D1B4-4861-8EEB-25E3CE693D7B}"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9F28F38A-CD0C-4A77-A92E-C94F4D12F264}"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FB453F0F-7FA2-4BA4-BD00-FDBB42564D18}" name="Category" dataDxfId="196" dataCellStyle="Content normal">
      <calculatedColumnFormula array="1">Common_InputFunctions.Utility_DisplayArrayInTable(Scope3_SourceData.Scope3_Feed_Data(), Table_SourceData_Scope3_Feed[[#Headers],[Category]], 0, 2)</calculatedColumnFormula>
    </tableColumn>
    <tableColumn id="2" xr3:uid="{4D3A50FC-C909-4D2B-9124-11E513CB687F}" name="Product" dataDxfId="195" dataCellStyle="Content normal">
      <calculatedColumnFormula array="1">Common_InputFunctions.Utility_DisplayArrayInTable(Scope3_SourceData.Scope3_Feed_Data(), Table_SourceData_Scope3_Feed[[#Headers],[Category]], 0, 2)</calculatedColumnFormula>
    </tableColumn>
    <tableColumn id="3" xr3:uid="{1AEF33C3-A3FF-496E-A40F-30720337E670}"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150E9A73-0693-4EF7-8F6B-4291955A1D87}" name="Quantity Unit" dataDxfId="193" dataCellStyle="Content normal">
      <calculatedColumnFormula array="1">Common_InputFunctions.Utility_DisplayArrayInTable(Scope3_SourceData.Scope3_Feed_Data(), Table_SourceData_Scope3_Feed[[#Headers],[Category]], 0, 2)</calculatedColumnFormula>
    </tableColumn>
    <tableColumn id="9" xr3:uid="{81C4F469-90F1-4A9F-B469-9B6A5E0D5ABB}"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A2B2FC41-3870-440D-8251-937599A85D93}"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35624571-B1B5-4530-80C0-DEAA359DB5B5}"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73E3627-8CBE-434D-9233-B23D9DDBB616}" name="Category">
      <calculatedColumnFormula array="1">Common_InputFunctions.Utility_DisplayArrayInTable(Scope3_SourceData.Scope3_InorganicFertilisers_Data(), Table_SourceData_Scope3_InorganicFertiliser[[#Headers],[Category]], 0, 2)</calculatedColumnFormula>
    </tableColumn>
    <tableColumn id="2" xr3:uid="{E68888E3-3ED3-41E2-817C-07BE7621D350}" name="Product">
      <calculatedColumnFormula array="1">Common_InputFunctions.Utility_DisplayArrayInTable(Scope3_SourceData.Scope3_InorganicFertilisers_Data(), Table_SourceData_Scope3_InorganicFertiliser[[#Headers],[Category]], 0, 2)</calculatedColumnFormula>
    </tableColumn>
    <tableColumn id="3" xr3:uid="{CEE15954-4263-43EE-8952-E18D9B7C334D}" name="Region of origin">
      <calculatedColumnFormula array="1">Common_InputFunctions.Utility_DisplayArrayInTable(Scope3_SourceData.Scope3_InorganicFertilisers_Data(), Table_SourceData_Scope3_InorganicFertiliser[[#Headers],[Category]], 0, 2)</calculatedColumnFormula>
    </tableColumn>
    <tableColumn id="4" xr3:uid="{57F7CC78-C7C0-4E31-9B8C-A27C54F2E7F0}" name="Chemical compound"/>
    <tableColumn id="5" xr3:uid="{64A3E41F-A171-48B5-80E0-FA1DE7906FAF}" name="Urea source"/>
    <tableColumn id="6" xr3:uid="{13133EBD-E85A-4E2B-867E-65865B0535C7}" name="Ammonia source"/>
    <tableColumn id="7" xr3:uid="{3C8F929C-281B-4320-99C5-7C961369D0ED}" name="Quantity"/>
    <tableColumn id="8" xr3:uid="{DCA44674-B767-4FB5-8752-8D9A8FF82122}" name="Quantity Unit">
      <calculatedColumnFormula array="1">Common_InputFunctions.Utility_DisplayArrayInTable(Scope3_SourceData.Scope3_InorganicFertilisers_Data(), Table_SourceData_Scope3_InorganicFertiliser[[#Headers],[Category]], 0, -2)</calculatedColumnFormula>
    </tableColumn>
    <tableColumn id="9" xr3:uid="{03FDF030-D7DE-4F89-9E01-89498620629B}"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60B79B8-8965-4F70-B86E-41F6DA4C21EA}"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E0CDDF39-0B20-47CB-9411-19E54F571777}"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1995FB8F-251A-4CCE-B472-CB7506C4DFD1}" name="Category" dataDxfId="188" dataCellStyle="Content normal">
      <calculatedColumnFormula array="1">Common_InputFunctions.Utility_DisplayArrayInTable(Scope3_SourceData.Scope3_Other_Data(), Table_SourceData_Scope3_Other[[#Headers],[Category]], 0, 2)</calculatedColumnFormula>
    </tableColumn>
    <tableColumn id="2" xr3:uid="{05F23676-7898-45A3-977E-799A62BECEDE}" name="Product" dataDxfId="187" dataCellStyle="Content normal">
      <calculatedColumnFormula array="1">Common_InputFunctions.Utility_DisplayArrayInTable(Scope3_SourceData.Scope3_Other_Data(), Table_SourceData_Scope3_Other[[#Headers],[Category]], 0, 2)</calculatedColumnFormula>
    </tableColumn>
    <tableColumn id="3" xr3:uid="{7C18D136-2A34-4519-8E6B-8AF28DE48589}"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D4BE834A-6959-4D19-8CF2-F9E20552A7EA}" name="Quantity Unit" dataDxfId="185" dataCellStyle="Content normal">
      <calculatedColumnFormula array="1">Common_InputFunctions.Utility_DisplayArrayInTable(Scope3_SourceData.Scope3_Other_Data(), Table_SourceData_Scope3_Other[[#Headers],[Category]], 0, 2)</calculatedColumnFormula>
    </tableColumn>
    <tableColumn id="9" xr3:uid="{38EE49DB-BA12-4650-9300-AA0523B7551E}"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8E269266-C37A-45FB-98C1-8E1D6CC6C193}"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3B802AC7-A821-4953-8EF6-FDAC46DB2A5D}"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56F24329-19D8-4109-BE7A-F22D18758FB4}"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9007A094-3A1A-453B-A683-50F1443FFA3A}"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6CAC293E-F9F1-4AE7-A88E-C43E4D109494}"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0FDDAFBD-7B1C-444D-ADD1-94CD09708328}"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AF8BFF24-62E2-481B-BAC8-A7C83DE09EFC}"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28A90E9A-1D37-49F9-83C2-587ACC07D3F7}"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3FA378B-CEB5-4A75-9A45-F3E2DD235F3E}"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0993DB64-4106-4F78-98FE-BDBB6135FA76}"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C9B6DF60-F4A1-41FD-AC54-2B5FF79FF83F}"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2B5FB1EA-3F4C-4EED-9BBF-E99E0992B066}"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C8257F48-828E-484C-8E41-614D524632C6}"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082E88FF-DA7F-4EB9-B28B-396F435B4326}"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FD3D935A-585D-4CD3-8211-651A30C88011}"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55A3D986-A656-4D8C-8376-D973752F809B}"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49E89CD-A057-44F6-90BF-7954BF6BF3FB}"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71D5FCF2-3A7B-4826-8CD7-1455707B988A}"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D5C4F192-1E8A-46B6-9BC1-58D9A523C575}"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46AC82E6-73B1-4E78-B34C-7B222B149E7A}"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C1E1FEFC-7AAB-4881-B107-9F546A432743}"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478BDA5D-C8A2-4596-B50B-A6FE90903006}"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287C85E3-19B6-4E40-A505-4356D4CE244B}"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E9F92A06-61CC-4B6D-AC13-E9CE4470EDE1}"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B4A8FCCF-D86D-40FE-AE1C-37D800F7B0A8}"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0720DED6-29D9-4CDA-8D3B-2BC88C277BBB}"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DD31B627-08B2-4BFA-8F7D-57A390539A41}"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02913C14-15EB-455B-B053-D0F970259FAE}"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3D586F6F-6AE1-4A6B-928E-BDC7164162FD}"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C004FB8-9A31-4700-886D-439AB097D9A5}"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FA6EB056-C622-4CA1-B697-A1F970A8C2F2}" name="Category" dataDxfId="153" dataCellStyle="Content normal">
      <calculatedColumnFormula array="1">Common_InputFunctions.Utility_DisplayArrayInTable(Scope3_SourceData.Scope3_Feed_Data(), Table_SourceData_Scope3_LickBlocks[[#Headers],[Category]], -73, 2)</calculatedColumnFormula>
    </tableColumn>
    <tableColumn id="2" xr3:uid="{96F18C59-A3A7-495E-BE93-84625A1DF9A6}" name="Product" dataDxfId="152" dataCellStyle="Content normal">
      <calculatedColumnFormula array="1">Common_InputFunctions.Utility_DisplayArrayInTable(Scope3_SourceData.Scope3_Feed_Data(), Table_SourceData_Scope3_LickBlocks[[#Headers],[Category]], -73, 2)</calculatedColumnFormula>
    </tableColumn>
    <tableColumn id="3" xr3:uid="{ADF6A7FD-73BF-4025-9230-D3DAF071BC1F}"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469AD281-2A22-4BD8-8DCA-D7BCADBA429E}"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7CF0A083-4E8E-4E26-9C07-9D6C0530C245}"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D164758F-8A5E-4709-97B3-D8F299AEFF8D}"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E39C29BE-CFE6-4B84-925A-BDC255598BFB}"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5FA3243A-F946-4569-AE3E-16E0DC0797DA}"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8196BAD6-6833-47BD-908B-5E361881A89B}"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E5FED57A-BCEE-4A8E-88C4-2A324BAA4E99}"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0A978C13-3DAD-4885-91B0-0BA9523063D4}"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D06CD754-2CA4-4EF5-BE19-182BD2F2B7BC}"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0A7B888D-1E92-4018-9A20-6A7CC8CB7423}"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F4ACC62-4E77-476F-8F3D-8AF520092EBD}"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86EBD3B3-22ED-4527-8E13-EA5A4961E223}" name="Product">
      <calculatedColumnFormula>Table_SourceData_Scope3_Feed[[#This Row],[Product]]</calculatedColumnFormula>
    </tableColumn>
    <tableColumn id="2" xr3:uid="{A076F7B2-5F1A-4B51-BB76-9E75657EAF65}"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3492DDA2-E149-4C6B-A048-B398FBE303CF}"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EF6E43A4-2B8B-4B76-ABF8-2FC65E64A938}" name="Product">
      <calculatedColumnFormula>Table_SourceData_Scope3_Feed[[#This Row],[Product]]</calculatedColumnFormula>
    </tableColumn>
    <tableColumn id="2" xr3:uid="{04666EA9-3E69-48A0-AC1D-BB85647F7DFC}" name="Region">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333A6343-1D59-4CCD-9486-38C9D52B4DFD}"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A1A9BCF2-EBEB-4B5E-88B5-E3A8CA8D1837}" name="Product">
      <calculatedColumnFormula>Table_SourceData_Scope3_Feed[[#This Row],[Product]]</calculatedColumnFormula>
    </tableColumn>
    <tableColumn id="2" xr3:uid="{1C8FC890-CBC0-448D-8D09-395AE6DD1DF7}"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488026C4-9F29-463A-8CA8-43E5C7991BD2}"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AEDAC7C3-7414-4D42-A069-9E6E0EBFCD51}" name="Product">
      <calculatedColumnFormula>Table_SourceData_Scope3_Feed[[#This Row],[Product]]</calculatedColumnFormula>
    </tableColumn>
    <tableColumn id="2" xr3:uid="{ECDF32EC-CE30-4184-997D-1319137F6B5D}"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C4212050-087E-445C-9052-44E5CF0639F8}"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EF3702FF-F544-4A22-B8AB-90F1DAEC915C}" name="Product">
      <calculatedColumnFormula>Table_SourceData_Scope3_Feed[[#This Row],[Product]]</calculatedColumnFormula>
    </tableColumn>
    <tableColumn id="2" xr3:uid="{C6A4AAE9-D9F2-46AA-BFC2-05B2F735E93C}"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B4569D24-F0B8-4FB6-9E58-BF341C2327F7}"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C584B91B-CAD7-4AF7-BCBA-9183F408C2AC}" name="Product">
      <calculatedColumnFormula>Table_SourceData_Scope3_Feed[[#This Row],[Product]]</calculatedColumnFormula>
    </tableColumn>
    <tableColumn id="2" xr3:uid="{3319383D-D2C2-4C15-9164-81C7AD96AEE6}"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5CB1F02D-B4FF-4746-8670-A44D6A855631}"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A946C666-5A49-4871-89E8-2CC9CC82ADB7}" name="Product">
      <calculatedColumnFormula>Table_SourceData_Scope3_Feed[[#This Row],[Product]]</calculatedColumnFormula>
    </tableColumn>
    <tableColumn id="2" xr3:uid="{D305C170-7992-4631-AF99-561CC9E49C4F}"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D9EF5176-7002-49AF-B9AE-814D7F4834CE}"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87F8E23E-DB69-4A7A-8854-599C22D1568B}" name="Product">
      <calculatedColumnFormula>Table_SourceData_Scope3_Feed[[#This Row],[Product]]</calculatedColumnFormula>
    </tableColumn>
    <tableColumn id="2" xr3:uid="{ADE34473-7B5D-4D22-BB7B-2D29C2AAF96E}"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5E0C5834-8B34-4926-B499-A3AA2C269A3F}"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44AD741D-BB70-427A-A8BC-120086D278D4}" name="Product">
      <calculatedColumnFormula>Table_SourceData_Scope3_Feed[[#This Row],[Product]]</calculatedColumnFormula>
    </tableColumn>
    <tableColumn id="2" xr3:uid="{9F162751-0122-4864-A2CA-1ABFDF8F4BF6}"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0148C3CE-5CFC-4F41-9CED-E9CE579D9801}"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157DA361-FF3D-4785-B2C5-C130B99BDE93}" name="Product">
      <calculatedColumnFormula>Table_SourceData_Scope3_Feed[[#This Row],[Product]]</calculatedColumnFormula>
    </tableColumn>
    <tableColumn id="2" xr3:uid="{D18A3FD5-96CE-4598-B107-B86BEC795074}"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B13D4B2B-AE2F-4697-B2B7-24502F0A4278}"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E33A6CE0-6215-424E-8B45-A0430951593F}" name="Product" dataCellStyle="Content normal">
      <calculatedColumnFormula>Table_SourceData_Scope3_Feed[[#This Row],[Product]]</calculatedColumnFormula>
    </tableColumn>
    <tableColumn id="2" xr3:uid="{4FFB32C4-51E5-4AE6-8453-A9FCD48E440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75BFB038-EAA5-46E0-A9C1-43FD132AC50C}"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26C56C57-2C22-4131-BF90-3E0CA725B02F}" name="Product">
      <calculatedColumnFormula>Table_SourceData_Scope3_Feed[[#This Row],[Product]]</calculatedColumnFormula>
    </tableColumn>
    <tableColumn id="2" xr3:uid="{E1C8F465-DA62-4A4E-8156-AFEDB21D8BF0}"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DA3F542A-B6D7-4042-ACF8-B5BEB5A96643}"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0AF6D45B-84C8-4C2F-8DC6-5ADFC7150539}" name="Product">
      <calculatedColumnFormula>Table_SourceData_Scope3_Feed[[#This Row],[Product]]</calculatedColumnFormula>
    </tableColumn>
    <tableColumn id="2" xr3:uid="{F72D99F6-1286-4E16-B7BC-BE5C5E9422BE}" name="Region">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2F99CCE2-5867-46B2-BB8F-872BD78AA2E9}"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BB7C5C56-134F-49DC-A42C-36FD14374B95}" name="Product">
      <calculatedColumnFormula>Table_SourceData_Scope3_Feed[[#This Row],[Product]]</calculatedColumnFormula>
    </tableColumn>
    <tableColumn id="2" xr3:uid="{4356A134-A1CF-4222-BE97-F8D2B3E87F8E}"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69A3C6CC-FE04-4F7D-9D0E-B445546A40F9}"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F8FE939C-72C7-4A0C-B069-3310154A4D91}" name="Product">
      <calculatedColumnFormula>Table_SourceData_Scope3_Feed[[#This Row],[Product]]</calculatedColumnFormula>
    </tableColumn>
    <tableColumn id="2" xr3:uid="{CD58AC87-4E10-4935-A82F-53580A03883B}"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6A65FCC4-F335-4D82-BF3B-1BB54788FC8C}"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0B8A9CDE-1482-4BC5-BB05-22D2D3238738}" name="Product">
      <calculatedColumnFormula>Table_SourceData_Scope3_Feed[[#This Row],[Product]]</calculatedColumnFormula>
    </tableColumn>
    <tableColumn id="2" xr3:uid="{8BF23F64-64AC-41D7-9EE1-32C517DA1EA8}"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69F8C063-FDA0-44FF-AA1E-F8891B27DDDD}"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1C7BCCB4-D632-4517-82A9-53F8C45BDC3C}" name="Product">
      <calculatedColumnFormula>Table_SourceData_Scope3_Feed[[#This Row],[Product]]</calculatedColumnFormula>
    </tableColumn>
    <tableColumn id="2" xr3:uid="{1E39ADB4-61BE-4CB4-A98E-69895BAC478E}"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FA734A0C-8901-4BC5-9E7D-38CE4F9D5E80}"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D7AE49AB-24F9-4F6D-BAE5-E8CB0E2406D9}" name="Product">
      <calculatedColumnFormula>Table_SourceData_Scope3_Feed[[#This Row],[Product]]</calculatedColumnFormula>
    </tableColumn>
    <tableColumn id="2" xr3:uid="{ECEA2DC3-475B-4724-996F-FABDD67D3A55}"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9ECEA899-4A76-4BE3-A667-164EC5E4DC10}"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D314A9B-F434-4F09-B3D8-3BCD2629933B}" name="Region"/>
    <tableColumn id="2" xr3:uid="{5865FFBF-A8E9-46ED-8A8E-7326BEADFDA7}" name="Scope3 regio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761003CE-E0B0-45E7-B203-2A12A2AAB8B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4AC8CA0-E7F3-4F96-B388-462D947E33E5}" name="Description"/>
    <tableColumn id="5" xr3:uid="{910974A3-95B6-400A-8094-57651FF2AE4D}" name="Treatment type (select)" dataCellStyle="Input select"/>
    <tableColumn id="2" xr3:uid="{4EE9A695-2588-40B0-A044-1EBE56F64FEF}" name="Waste type (select)" dataCellStyle="Input select"/>
    <tableColumn id="3" xr3:uid="{21F74FF8-D296-4F84-A852-F1C047151D0D}" name="Treatment location (select)" dataCellStyle="Input select"/>
    <tableColumn id="4" xr3:uid="{59EFA898-4588-43E5-97A7-E0841CA302E3}" name="Amount" dataCellStyle="Input number general"/>
    <tableColumn id="7" xr3:uid="{FEA5689F-491A-4268-9844-22A108C9969D}" name="Amount unit (select)" dataCellStyle="Input select"/>
  </tableColumns>
  <tableStyleInfo name="Editable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E165297A-E2AF-448A-9319-1E69F759F0C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D788C71-A955-41D5-8F38-88719E90CEA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075A1E7D-CD7A-40C4-8676-5787F8C6B815}"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6A97555-E912-4947-94DC-5B4FD791992E}"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97206A88-E283-4F49-80D9-887238A28668}"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DAFBB45-0187-4C95-8220-14EE560612BB}"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B45740EC-25B0-4523-A0B8-A7A020D2F584}"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86A49C4-529D-402D-85E7-E2B738EE108D}"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C570F42-0101-4418-B32B-FE246512344A}" name="Table_WasteTypes_Landfill" displayName="Table_WasteTypes_Landfill" ref="I16:I27" totalsRowShown="0">
  <autoFilter ref="I16:I27" xr:uid="{99B942E3-1D24-4166-921C-DCC10960718D}">
    <filterColumn colId="0" hiddenButton="1"/>
  </autoFilter>
  <tableColumns count="1">
    <tableColumn id="1" xr3:uid="{C1998138-CF0D-4287-865C-EB0FE3453B5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11D545C-E772-4A04-8D8B-A9B7513F968F}"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0B3A0F5D-9A42-4761-807E-E081F3BC72B3}" name="Waste type w" dataCellStyle="Content normal">
      <calculatedColumnFormula>E29</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8FC416D8-DCFF-4D49-A892-972198F461A6}"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61D58309-1CF1-4D85-8EDA-DDC4520090EB}" name="Waste type w" totalsRowDxfId="94" dataCellStyle="Content normal">
      <calculatedColumnFormula>E40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120C347-6069-425A-8099-8C19242DE16A}"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C9ACAC3A-B2C4-40BF-B1BC-CCAFB905872B}" name="Waste type w" totalsRowDxfId="92" dataCellStyle="Content normal">
      <calculatedColumnFormula>E46</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A0A1CD-8E5B-46C1-9B1B-A6414BB18D09}"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2D91677-2A2D-42DA-8119-4ECEF8794C8C}" name="Input"/>
    <tableColumn id="2" xr3:uid="{D0F60017-C58D-42ED-9BF1-8D01902E8D4D}" name="Temporal representativeness" dataCellStyle="Input select"/>
    <tableColumn id="3" xr3:uid="{08DBDF97-0155-4B2F-8291-54B61FF408BD}" name="Spatial resolution" dataCellStyle="Input select"/>
    <tableColumn id="4" xr3:uid="{022C6E4C-4A1B-4829-929A-D1AA689758A2}" name="Sample size" dataCellStyle="Input select"/>
    <tableColumn id="5" xr3:uid="{28F01E09-BECE-484C-81F3-93DFF53DC900}" name="Notes"/>
    <tableColumn id="6" xr3:uid="{DDF62FEF-8F18-4588-8C64-94585E6BFF74}" name="Evidence files"/>
    <tableColumn id="7" xr3:uid="{05442818-31FF-4B7D-911F-5A30BA48670D}"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8.bin"/><Relationship Id="rId4"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25.xml"/><Relationship Id="rId13" Type="http://schemas.openxmlformats.org/officeDocument/2006/relationships/table" Target="../tables/table30.xml"/><Relationship Id="rId3" Type="http://schemas.openxmlformats.org/officeDocument/2006/relationships/table" Target="../tables/table20.xml"/><Relationship Id="rId7" Type="http://schemas.openxmlformats.org/officeDocument/2006/relationships/table" Target="../tables/table24.xml"/><Relationship Id="rId12" Type="http://schemas.openxmlformats.org/officeDocument/2006/relationships/table" Target="../tables/table29.xml"/><Relationship Id="rId2" Type="http://schemas.openxmlformats.org/officeDocument/2006/relationships/table" Target="../tables/table19.xml"/><Relationship Id="rId16" Type="http://schemas.openxmlformats.org/officeDocument/2006/relationships/table" Target="../tables/table33.xml"/><Relationship Id="rId1" Type="http://schemas.openxmlformats.org/officeDocument/2006/relationships/table" Target="../tables/table18.xml"/><Relationship Id="rId6" Type="http://schemas.openxmlformats.org/officeDocument/2006/relationships/table" Target="../tables/table23.xml"/><Relationship Id="rId11" Type="http://schemas.openxmlformats.org/officeDocument/2006/relationships/table" Target="../tables/table28.xml"/><Relationship Id="rId5" Type="http://schemas.openxmlformats.org/officeDocument/2006/relationships/table" Target="../tables/table22.xml"/><Relationship Id="rId15" Type="http://schemas.openxmlformats.org/officeDocument/2006/relationships/table" Target="../tables/table32.xml"/><Relationship Id="rId10" Type="http://schemas.openxmlformats.org/officeDocument/2006/relationships/table" Target="../tables/table27.xml"/><Relationship Id="rId4" Type="http://schemas.openxmlformats.org/officeDocument/2006/relationships/table" Target="../tables/table21.xml"/><Relationship Id="rId9" Type="http://schemas.openxmlformats.org/officeDocument/2006/relationships/table" Target="../tables/table26.xml"/><Relationship Id="rId14"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2" Type="http://schemas.openxmlformats.org/officeDocument/2006/relationships/table" Target="../tables/table34.xml"/><Relationship Id="rId1" Type="http://schemas.openxmlformats.org/officeDocument/2006/relationships/printerSettings" Target="../printerSettings/printerSettings20.bin"/><Relationship Id="rId6" Type="http://schemas.openxmlformats.org/officeDocument/2006/relationships/table" Target="../tables/table38.xml"/><Relationship Id="rId5" Type="http://schemas.openxmlformats.org/officeDocument/2006/relationships/table" Target="../tables/table37.xml"/><Relationship Id="rId4" Type="http://schemas.openxmlformats.org/officeDocument/2006/relationships/table" Target="../tables/table36.xml"/><Relationship Id="rId9" Type="http://schemas.openxmlformats.org/officeDocument/2006/relationships/table" Target="../tables/table41.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21.bin"/></Relationships>
</file>

<file path=xl/worksheets/_rels/sheet35.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table" Target="../tables/table43.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51.xml"/><Relationship Id="rId3" Type="http://schemas.openxmlformats.org/officeDocument/2006/relationships/table" Target="../tables/table46.xml"/><Relationship Id="rId7" Type="http://schemas.openxmlformats.org/officeDocument/2006/relationships/table" Target="../tables/table50.xml"/><Relationship Id="rId12" Type="http://schemas.openxmlformats.org/officeDocument/2006/relationships/table" Target="../tables/table55.xml"/><Relationship Id="rId2" Type="http://schemas.openxmlformats.org/officeDocument/2006/relationships/table" Target="../tables/table45.xml"/><Relationship Id="rId1" Type="http://schemas.openxmlformats.org/officeDocument/2006/relationships/printerSettings" Target="../printerSettings/printerSettings22.bin"/><Relationship Id="rId6" Type="http://schemas.openxmlformats.org/officeDocument/2006/relationships/table" Target="../tables/table49.xml"/><Relationship Id="rId11" Type="http://schemas.openxmlformats.org/officeDocument/2006/relationships/table" Target="../tables/table54.xml"/><Relationship Id="rId5" Type="http://schemas.openxmlformats.org/officeDocument/2006/relationships/table" Target="../tables/table48.xml"/><Relationship Id="rId10" Type="http://schemas.openxmlformats.org/officeDocument/2006/relationships/table" Target="../tables/table53.xml"/><Relationship Id="rId4" Type="http://schemas.openxmlformats.org/officeDocument/2006/relationships/table" Target="../tables/table47.xml"/><Relationship Id="rId9" Type="http://schemas.openxmlformats.org/officeDocument/2006/relationships/table" Target="../tables/table52.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58.xml"/><Relationship Id="rId7" Type="http://schemas.openxmlformats.org/officeDocument/2006/relationships/table" Target="../tables/table62.xml"/><Relationship Id="rId2" Type="http://schemas.openxmlformats.org/officeDocument/2006/relationships/table" Target="../tables/table57.xml"/><Relationship Id="rId1" Type="http://schemas.openxmlformats.org/officeDocument/2006/relationships/table" Target="../tables/table56.xml"/><Relationship Id="rId6" Type="http://schemas.openxmlformats.org/officeDocument/2006/relationships/table" Target="../tables/table61.xml"/><Relationship Id="rId5" Type="http://schemas.openxmlformats.org/officeDocument/2006/relationships/table" Target="../tables/table60.xml"/><Relationship Id="rId4" Type="http://schemas.openxmlformats.org/officeDocument/2006/relationships/table" Target="../tables/table59.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70.xml"/><Relationship Id="rId13" Type="http://schemas.openxmlformats.org/officeDocument/2006/relationships/table" Target="../tables/table75.xml"/><Relationship Id="rId18" Type="http://schemas.openxmlformats.org/officeDocument/2006/relationships/table" Target="../tables/table80.xml"/><Relationship Id="rId26" Type="http://schemas.openxmlformats.org/officeDocument/2006/relationships/table" Target="../tables/table88.xml"/><Relationship Id="rId3" Type="http://schemas.openxmlformats.org/officeDocument/2006/relationships/table" Target="../tables/table65.xml"/><Relationship Id="rId21" Type="http://schemas.openxmlformats.org/officeDocument/2006/relationships/table" Target="../tables/table83.xml"/><Relationship Id="rId7" Type="http://schemas.openxmlformats.org/officeDocument/2006/relationships/table" Target="../tables/table69.xml"/><Relationship Id="rId12" Type="http://schemas.openxmlformats.org/officeDocument/2006/relationships/table" Target="../tables/table74.xml"/><Relationship Id="rId17" Type="http://schemas.openxmlformats.org/officeDocument/2006/relationships/table" Target="../tables/table79.xml"/><Relationship Id="rId25" Type="http://schemas.openxmlformats.org/officeDocument/2006/relationships/table" Target="../tables/table87.xml"/><Relationship Id="rId2" Type="http://schemas.openxmlformats.org/officeDocument/2006/relationships/table" Target="../tables/table64.xml"/><Relationship Id="rId16" Type="http://schemas.openxmlformats.org/officeDocument/2006/relationships/table" Target="../tables/table78.xml"/><Relationship Id="rId20" Type="http://schemas.openxmlformats.org/officeDocument/2006/relationships/table" Target="../tables/table82.xml"/><Relationship Id="rId29" Type="http://schemas.openxmlformats.org/officeDocument/2006/relationships/table" Target="../tables/table91.xml"/><Relationship Id="rId1" Type="http://schemas.openxmlformats.org/officeDocument/2006/relationships/table" Target="../tables/table63.xml"/><Relationship Id="rId6" Type="http://schemas.openxmlformats.org/officeDocument/2006/relationships/table" Target="../tables/table68.xml"/><Relationship Id="rId11" Type="http://schemas.openxmlformats.org/officeDocument/2006/relationships/table" Target="../tables/table73.xml"/><Relationship Id="rId24" Type="http://schemas.openxmlformats.org/officeDocument/2006/relationships/table" Target="../tables/table86.xml"/><Relationship Id="rId5" Type="http://schemas.openxmlformats.org/officeDocument/2006/relationships/table" Target="../tables/table67.xml"/><Relationship Id="rId15" Type="http://schemas.openxmlformats.org/officeDocument/2006/relationships/table" Target="../tables/table77.xml"/><Relationship Id="rId23" Type="http://schemas.openxmlformats.org/officeDocument/2006/relationships/table" Target="../tables/table85.xml"/><Relationship Id="rId28" Type="http://schemas.openxmlformats.org/officeDocument/2006/relationships/table" Target="../tables/table90.xml"/><Relationship Id="rId10" Type="http://schemas.openxmlformats.org/officeDocument/2006/relationships/table" Target="../tables/table72.xml"/><Relationship Id="rId19" Type="http://schemas.openxmlformats.org/officeDocument/2006/relationships/table" Target="../tables/table81.xml"/><Relationship Id="rId4" Type="http://schemas.openxmlformats.org/officeDocument/2006/relationships/table" Target="../tables/table66.xml"/><Relationship Id="rId9" Type="http://schemas.openxmlformats.org/officeDocument/2006/relationships/table" Target="../tables/table71.xml"/><Relationship Id="rId14" Type="http://schemas.openxmlformats.org/officeDocument/2006/relationships/table" Target="../tables/table76.xml"/><Relationship Id="rId22" Type="http://schemas.openxmlformats.org/officeDocument/2006/relationships/table" Target="../tables/table84.xml"/><Relationship Id="rId27" Type="http://schemas.openxmlformats.org/officeDocument/2006/relationships/table" Target="../tables/table89.xml"/><Relationship Id="rId30" Type="http://schemas.openxmlformats.org/officeDocument/2006/relationships/table" Target="../tables/table92.xml"/></Relationships>
</file>

<file path=xl/worksheets/_rels/sheet39.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18" Type="http://schemas.openxmlformats.org/officeDocument/2006/relationships/table" Target="../tables/table109.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17" Type="http://schemas.openxmlformats.org/officeDocument/2006/relationships/table" Target="../tables/table108.xml"/><Relationship Id="rId2" Type="http://schemas.openxmlformats.org/officeDocument/2006/relationships/table" Target="../tables/table93.xml"/><Relationship Id="rId16" Type="http://schemas.openxmlformats.org/officeDocument/2006/relationships/table" Target="../tables/table107.xml"/><Relationship Id="rId1" Type="http://schemas.openxmlformats.org/officeDocument/2006/relationships/printerSettings" Target="../printerSettings/printerSettings23.bin"/><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41.xml.rels><?xml version="1.0" encoding="UTF-8" standalone="yes"?>
<Relationships xmlns="http://schemas.openxmlformats.org/package/2006/relationships"><Relationship Id="rId2" Type="http://schemas.openxmlformats.org/officeDocument/2006/relationships/table" Target="../tables/table110.xml"/><Relationship Id="rId1" Type="http://schemas.openxmlformats.org/officeDocument/2006/relationships/printerSettings" Target="../printerSettings/printerSettings24.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51.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2.xml.rels><?xml version="1.0" encoding="UTF-8" standalone="yes"?>
<Relationships xmlns="http://schemas.openxmlformats.org/package/2006/relationships"><Relationship Id="rId3" Type="http://schemas.openxmlformats.org/officeDocument/2006/relationships/table" Target="../tables/table112.xml"/><Relationship Id="rId7" Type="http://schemas.openxmlformats.org/officeDocument/2006/relationships/table" Target="../tables/table116.xml"/><Relationship Id="rId2" Type="http://schemas.openxmlformats.org/officeDocument/2006/relationships/table" Target="../tables/table111.xml"/><Relationship Id="rId1" Type="http://schemas.openxmlformats.org/officeDocument/2006/relationships/printerSettings" Target="../printerSettings/printerSettings35.bin"/><Relationship Id="rId6" Type="http://schemas.openxmlformats.org/officeDocument/2006/relationships/table" Target="../tables/table115.xml"/><Relationship Id="rId5" Type="http://schemas.openxmlformats.org/officeDocument/2006/relationships/table" Target="../tables/table114.xml"/><Relationship Id="rId4" Type="http://schemas.openxmlformats.org/officeDocument/2006/relationships/table" Target="../tables/table113.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1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5"/>
  <sheetViews>
    <sheetView workbookViewId="0" zoomScale="100" zoomScaleNormal="100">
      <selection activeCell="A65" sqref="A65"/>
    </sheetView>
  </sheetViews>
  <sheetFormatPr defaultRowHeight="15" x14ac:dyDescent="0.25"/>
  <sheetData>
    <row r="1" spans="1:1" ht="25.5" x14ac:dyDescent="0.35">
      <c r="A1" s="16" t="e" vm="1">
        <v>#VALUE!</v>
      </c>
    </row>
    <row r="3" spans="1:1" ht="15.75" x14ac:dyDescent="0.25">
      <c r="A3" s="284"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HYPERLINK("#'5.1.1.1-2 Inorganic fert N2O'!A1", "5.1.1.1-2 Inorganic fert N2O")</f>
        <v>5.1.1.1-2 Inorganic fert N2O</v>
      </c>
    </row>
    <row r="31" spans="1:1" ht="15.75" x14ac:dyDescent="0.25">
      <c r="A31" s="5" t="str">
        <f>HYPERLINK("#'5.1.1.3-4 Inorganic fert CO2'!A1", "5.1.1.3-4 Inorganic fert CO2")</f>
        <v>5.1.1.3-4 Inorganic fert CO2</v>
      </c>
    </row>
    <row r="32" spans="1:1" ht="15.75" x14ac:dyDescent="0.25">
      <c r="A32" s="5" t="str">
        <f>HYPERLINK("#'5.2.1.1-2 Organic Fert N2O'!A1", "5.2.1.1-2 Organic fert N2O")</f>
        <v>5.2.1.1-2 Organic fert N2O</v>
      </c>
    </row>
    <row r="33" spans="1:1" ht="15.75" x14ac:dyDescent="0.25">
      <c r="A33" s="5" t="str">
        <f>HYPERLINK("#'5.3.1.1-2 Lime CO2'!A1", "5.3.1.1-2 Lime CO2")</f>
        <v>5.3.1.1-2 Lime CO2</v>
      </c>
    </row>
    <row r="34" spans="1:1" ht="15.75" x14ac:dyDescent="0.25">
      <c r="A34" s="5" t="str">
        <f>HYPERLINK("#'5.4.1.1-4 Atmos deposition'!A1", "5.4.1.1-4 Atmos. deposition")</f>
        <v>5.4.1.1-4 Atmos. deposition</v>
      </c>
    </row>
    <row r="35" spans="1:1" ht="15.75" x14ac:dyDescent="0.25">
      <c r="A35" s="5" t="str">
        <f>HYPERLINK("#'5.5.1.1-2 Leaching and runoff'!A1", "5.5.1.1-2 Leaching &amp; runoff")</f>
        <v>5.5.1.1-2 Leaching &amp; runoff</v>
      </c>
    </row>
    <row r="36" spans="1:1" ht="15.75" x14ac:dyDescent="0.25">
      <c r="A36" s="5" t="str">
        <f>HYPERLINK("#'6.2.1.1-2 Pasture residue N2O'!A1", "6.2.1.1-2 Pasture residue N2O")</f>
        <v>6.2.1.1-2 Pasture residue N2O</v>
      </c>
    </row>
    <row r="37" spans="1:1" ht="15.75" x14ac:dyDescent="0.25">
      <c r="A37" s="5" t="str">
        <f>HYPERLINK("#'6.3.1.1-2 Leach runoff pasture'!A1", "6.3.1.1-2 Leach &amp; runoff (pasture)")</f>
        <v>6.3.1.1-2 Leach &amp; runoff (pasture)</v>
      </c>
    </row>
    <row r="38" spans="1:1" ht="15.75" x14ac:dyDescent="0.25">
      <c r="A38" s="5" t="str">
        <f>HYPERLINK("#'8.1.1.1-2 Transport fuel'!A1", "8.1.1.1-2 Transport fuel")</f>
        <v>8.1.1.1-2 Transport fuel</v>
      </c>
    </row>
    <row r="39" spans="1:1" ht="15.75" x14ac:dyDescent="0.25">
      <c r="A39" s="5" t="str">
        <f>HYPERLINK("#'8.2.1.1-2 Stationary fuel'!A1", "8.2.1.1-2 Stationary fuel")</f>
        <v>8.2.1.1-2 Stationary fuel</v>
      </c>
    </row>
    <row r="40" spans="1:1" ht="15.75" x14ac:dyDescent="0.25">
      <c r="A40" s="5" t="str">
        <f>HYPERLINK("#'14.1.1-2 Purchased electricity'!A1", "14.1.1-2 Purchased electricity")</f>
        <v>14.1.1-2 Purchased electricity</v>
      </c>
    </row>
    <row r="41" spans="1:1" ht="15.75" x14ac:dyDescent="0.25">
      <c r="A41" s="5" t="str">
        <f>HYPERLINK("#'15 Scope 3'!A1", "15 Scope 3")</f>
        <v>15 Scope 3</v>
      </c>
    </row>
    <row r="42" spans="1:1" ht="15.75" x14ac:dyDescent="0.25">
      <c r="A42" s="5" t="str">
        <f>HYPERLINK("#'Calcs - Manure sent off-site'!A1", "Calcs - Manure sent off-site")</f>
        <v>Calcs - Manure sent off-site</v>
      </c>
    </row>
    <row r="43" spans="1:1" ht="15.75" x14ac:dyDescent="0.25">
      <c r="A43" s="5" t="str">
        <f>HYPERLINK("#'4.3.1.1-2 Methane'!A1", "4.3.1.1-2 Methane")</f>
        <v>4.3.1.1-2 Methane</v>
      </c>
    </row>
    <row r="44" spans="1:1" ht="15.75" x14ac:dyDescent="0.25">
      <c r="A44" s="5" t="str">
        <f>HYPERLINK("#'4.3.1.3-4 Direct N20'!A1", "4.3.1.3-4 Direct N20")</f>
        <v>4.3.1.3-4 Direct N20</v>
      </c>
    </row>
    <row r="45" spans="1:1" ht="15.75" x14ac:dyDescent="0.25">
      <c r="A45" s="5" t="str">
        <f>HYPERLINK("#'4.3.1.5 Atmos deposition'!A1", "4.3.1.5 Atmos deposition")</f>
        <v>4.3.1.5 Atmos deposition</v>
      </c>
    </row>
    <row r="46" spans="1:1" ht="15.75" x14ac:dyDescent="0.25">
      <c r="A46" s="5" t="str">
        <f>HYPERLINK("#'4.3.1.6-7 Leaching and runoff'!A1", "4.3.1.6-7 Leaching and runoff")</f>
        <v>4.3.1.6-7 Leaching and runoff</v>
      </c>
    </row>
    <row r="47" spans="1:1" ht="15.75" x14ac:dyDescent="0.25">
      <c r="A47" s="5" t="str">
        <f>HYPERLINK("#'4.3.1.8 Manure applied to soils'!A1", "4.3.1.8 Manure applied to soils")</f>
        <v>4.3.1.8 Manure applied to soils</v>
      </c>
    </row>
    <row r="48" spans="1:1" ht="15.75" x14ac:dyDescent="0.25">
      <c r="A48" s="5" t="str">
        <f>HYPERLINK("#'4.3.1.9 Soil direct N2O'!A1", "4.3.1.9 Soil direct N2O")</f>
        <v>4.3.1.9 Soil direct N2O</v>
      </c>
    </row>
    <row r="49" spans="1:1" ht="15.75" x14ac:dyDescent="0.25">
      <c r="A49" s="5" t="str">
        <f>HYPERLINK("#'4.3.1.10-11 Soil Atmos Dep'!A1", "4.3.1.10-11 Soil Atmos Dep")</f>
        <v>4.3.1.10-11 Soil Atmos Dep</v>
      </c>
    </row>
    <row r="50" spans="1:1" ht="15.75" x14ac:dyDescent="0.25">
      <c r="A50" s="5" t="str">
        <f>HYPERLINK("#'4.3.1.12-13 Soil leach runoff'!A1", "4.3.1.12-13 Soil leach runoff")</f>
        <v>4.3.1.12-13 Soil leach runoff</v>
      </c>
    </row>
    <row r="51" spans="1:1" ht="15.75" x14ac:dyDescent="0.25">
      <c r="A51" s="5" t="str">
        <f>HYPERLINK("#'3.3.1.1-2 Enteric Methane'!A1", "3.3.1.1-2 Enteric Methane")</f>
        <v>3.3.1.1-2 Enteric Methane</v>
      </c>
    </row>
    <row r="52" spans="1:1" ht="15.75" x14ac:dyDescent="0.25">
      <c r="A52" s="5" t="str">
        <f>HYPERLINK("#'10.1.1-2 Solid waste treatment'!A1", "10.1.1-2 Solid waste treatment")</f>
        <v>10.1.1-2 Solid waste treatment</v>
      </c>
    </row>
    <row r="55" spans="1:1" x14ac:dyDescent="0.25">
      <c r="A55" s="100" t="s">
        <v>1</v>
      </c>
    </row>
    <row r="56" spans="1:1" ht="15.75" x14ac:dyDescent="0.25">
      <c r="A56" s="5" t="str">
        <f>HYPERLINK("#'Constants - Dairy'!A1", "Constants - Dairy")</f>
        <v>Constants - Dairy</v>
      </c>
    </row>
    <row r="57" spans="1:1" ht="15.75" x14ac:dyDescent="0.25">
      <c r="A57" s="5" t="str">
        <f>HYPERLINK("#'Constants - Ag Residue'!A1", "Constants - Ag residue")</f>
        <v>Constants - Ag residue</v>
      </c>
    </row>
    <row r="58" spans="1:1" ht="15.75" x14ac:dyDescent="0.25">
      <c r="A58" s="5" t="str">
        <f>HYPERLINK("#'Constants - Common Livestock'!A1", "Constants - Common Livestock")</f>
        <v>Constants - Common Livestock</v>
      </c>
    </row>
    <row r="59" spans="1:1" ht="15.75" x14ac:dyDescent="0.25">
      <c r="A59" s="5" t="str">
        <f>HYPERLINK("#'Constants - Electricity'!A1", "Constants - Electricity")</f>
        <v>Constants - Electricity</v>
      </c>
    </row>
    <row r="60" spans="1:1" ht="15.75" x14ac:dyDescent="0.25">
      <c r="A60" s="5" t="str">
        <f>HYPERLINK("#'Constants - Fertiliser'!A1", "Constants - Fertiliser")</f>
        <v>Constants - Fertiliser</v>
      </c>
    </row>
    <row r="61" spans="1:1" ht="15.75" x14ac:dyDescent="0.25">
      <c r="A61" s="5" t="str">
        <f>HYPERLINK("#'Constants - Fuel'!A1", "Constants - Fuel")</f>
        <v>Constants - Fuel</v>
      </c>
    </row>
    <row r="62" spans="1:1" ht="15.75" x14ac:dyDescent="0.25">
      <c r="A62" s="5" t="str">
        <f>HYPERLINK("#'Constants - Scope 3'!A1", "Constants - Scope 3")</f>
        <v>Constants - Scope 3</v>
      </c>
    </row>
    <row r="63" spans="1:1" ht="15.75" x14ac:dyDescent="0.25">
      <c r="A63" s="5" t="str">
        <f>HYPERLINK("#'Constants - Common'!A1", "Constants - Common")</f>
        <v>Constants - Common</v>
      </c>
    </row>
    <row r="64" spans="1:1" ht="15.75" x14ac:dyDescent="0.25">
      <c r="A64" s="5" t="str">
        <f>HYPERLINK("#'Acknowledgements'!A1", "Acknowledgements")</f>
        <v>Acknowledgements</v>
      </c>
    </row>
    <row r="65" spans="1:1" ht="15.75" x14ac:dyDescent="0.25">
      <c r="A65"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opLeftCell="A24" workbookViewId="0" zoomScale="100" zoomScaleNormal="100">
      <selection activeCell="A65" sqref="A65"/>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173</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4"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174</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175</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176</v>
      </c>
      <c r="E9" s="18" cm="1">
        <f t="array" ref="E9">VEERG_4_3_1_3__1_TotalAnnualDirectNitrousOxideEmissionsFromMMS_Result_Method1</f>
        <v>5.8975625860183567E-2</v>
      </c>
      <c r="F9" s="18" cm="1">
        <f t="array" ref="F9">VEERG_4_3_1_3__1_TotalAnnualDirectNitrousOxideEmissionsFromMMS_Result_Method2</f>
        <v>5.8975625860183567E-2</v>
      </c>
      <c r="G9" s="15" t="s">
        <v>12</v>
      </c>
      <c r="H9" s="18" cm="1">
        <f t="array" ref="H9">Common_Equations.Common_ConvertN2OToCO2e(E9,_xlfn.XLOOKUP("N2O", Table_GWPData[Gas],Table_GWPData[CO2-e factor]))</f>
        <v>15.628540852948646</v>
      </c>
      <c r="I9" s="18" cm="1">
        <f t="array" ref="I9">Common_Equations.Common_ConvertN2OToCO2e(F9,_xlfn.XLOOKUP("N2O", Table_GWPData[Gas],Table_GWPData[CO2-e factor]))</f>
        <v>15.628540852948646</v>
      </c>
      <c r="J9" s="15" t="s">
        <v>7</v>
      </c>
      <c r="K9" s="8"/>
    </row>
    <row r="10" spans="1:11" ht="20.100000000000001" customHeight="1" x14ac:dyDescent="0.25">
      <c r="A10" s="5" t="str">
        <f>HYPERLINK("#'Input - Site'!A1", "Site")</f>
        <v>Site</v>
      </c>
      <c r="C10" s="8"/>
      <c r="D10" s="1" t="s">
        <v>177</v>
      </c>
      <c r="E10" s="18" cm="1">
        <f t="array" ref="E10">VEERG_4_3_1_5__1_AnnualAtmosphericDepositionEmissionsFromMMS_Result_Method1</f>
        <v>4.7299753181434263E-2</v>
      </c>
      <c r="F10" s="18" cm="1">
        <f t="array" ref="F10">VEERG_4_3_1_5__1_AnnualAtmosphericDepositionEmissionsFromMMS_Result_Method2</f>
        <v>4.7299753181434263E-2</v>
      </c>
      <c r="G10" s="15" t="s">
        <v>12</v>
      </c>
      <c r="H10" s="18" cm="1">
        <f t="array" ref="H10">Common_Equations.Common_ConvertN2OToCO2e(E10,_xlfn.XLOOKUP("N2O", Table_GWPData[Gas],Table_GWPData[CO2-e factor]))</f>
        <v>12.53443459308008</v>
      </c>
      <c r="I10" s="18" cm="1">
        <f t="array" ref="I10">Common_Equations.Common_ConvertN2OToCO2e(F10,_xlfn.XLOOKUP("N2O", Table_GWPData[Gas],Table_GWPData[CO2-e factor]))</f>
        <v>12.53443459308008</v>
      </c>
      <c r="J10" s="15" t="s">
        <v>7</v>
      </c>
      <c r="K10" s="8"/>
    </row>
    <row r="11" spans="1:11" ht="20.100000000000001" customHeight="1" x14ac:dyDescent="0.25">
      <c r="A11" s="5" t="str">
        <f>HYPERLINK("#'Input - Dairy'!A1", "Dairy")</f>
        <v>Dairy</v>
      </c>
      <c r="C11" s="8"/>
      <c r="D11" s="1" t="s">
        <v>178</v>
      </c>
      <c r="E11" s="18" cm="1">
        <f t="array" ref="E11">VEERG_4_3_1_6__1_AnnualEmissionsFromLeachingAndRunoffFromMMS_Result_Method1</f>
        <v>2.5949275378480772E-3</v>
      </c>
      <c r="F11" s="18" cm="1">
        <f t="array" ref="F11">VEERG_4_3_1_6__1_AnnualEmissionsFromLeachingAndRunoffFromMMS_Result_Method2</f>
        <v>2.5949275378480772E-3</v>
      </c>
      <c r="G11" s="15" t="s">
        <v>12</v>
      </c>
      <c r="H11" s="18" cm="1">
        <f t="array" ref="H11">Common_Equations.Common_ConvertN2OToCO2e(E11,_xlfn.XLOOKUP("N2O", Table_GWPData[Gas],Table_GWPData[CO2-e factor]))</f>
        <v>0.68765579752974049</v>
      </c>
      <c r="I11" s="18" cm="1">
        <f t="array" ref="I11">Common_Equations.Common_ConvertN2OToCO2e(F11,_xlfn.XLOOKUP("N2O", Table_GWPData[Gas],Table_GWPData[CO2-e factor]))</f>
        <v>0.68765579752974049</v>
      </c>
      <c r="J11" s="15" t="s">
        <v>7</v>
      </c>
      <c r="K11" s="8"/>
    </row>
    <row r="12" spans="1:11" ht="20.100000000000001" customHeight="1" x14ac:dyDescent="0.25">
      <c r="A12" s="5" t="str">
        <f>HYPERLINK("#'Input - Dairy (Enteric)'!A1", "Dairy (Enteric)")</f>
        <v>Dairy (Enteric)</v>
      </c>
      <c r="C12" s="8"/>
      <c r="D12" s="1" t="s">
        <v>179</v>
      </c>
      <c r="E12" s="18" cm="1">
        <f t="array" ref="E12">VEERG_4_3_1_9__1_DirectNitrousOxideEmissionsOnPasture_Result_Method1</f>
        <v>7.4716451267705888E-2</v>
      </c>
      <c r="F12" s="18" cm="1">
        <f t="array" ref="F12">VEERG_4_3_1_9__1_DirectNitrousOxideEmissionsOnPasture_Result_Method2</f>
        <v>7.4716451267705888E-2</v>
      </c>
      <c r="G12" s="15" t="s">
        <v>12</v>
      </c>
      <c r="H12" s="18" cm="1">
        <f t="array" ref="H12">Common_Equations.Common_ConvertN2OToCO2e(E12,_xlfn.XLOOKUP("N2O", Table_GWPData[Gas],Table_GWPData[CO2-e factor]))</f>
        <v>19.799859585942059</v>
      </c>
      <c r="I12" s="18" cm="1">
        <f t="array" ref="I12">Common_Equations.Common_ConvertN2OToCO2e(F12,_xlfn.XLOOKUP("N2O", Table_GWPData[Gas],Table_GWPData[CO2-e factor]))</f>
        <v>19.799859585942059</v>
      </c>
      <c r="J12" s="15" t="s">
        <v>7</v>
      </c>
      <c r="K12" s="8"/>
    </row>
    <row r="13" spans="1:11" ht="20.100000000000001" customHeight="1" x14ac:dyDescent="0.25">
      <c r="A13" s="5" t="str">
        <f>HYPERLINK("#'Input - Livestock sales'!A1", "Livestock sales")</f>
        <v>Livestock sales</v>
      </c>
      <c r="C13" s="8"/>
      <c r="D13" s="1" t="s">
        <v>180</v>
      </c>
      <c r="E13" s="18" cm="1">
        <f t="array" ref="E13">VEERG_4_3_1_10__1_AtmosphericDepositionEmissionsFromUrineAndDungOnPasture_Result_Method1</f>
        <v>4.6286841560343794E-2</v>
      </c>
      <c r="F13" s="18" cm="1">
        <f t="array" ref="F13">VEERG_4_3_1_10__1_AtmosphericDepositionEmissionsFromUrineAndDungOnPasture_Result_Method2</f>
        <v>4.6286841560343794E-2</v>
      </c>
      <c r="G13" s="15" t="s">
        <v>12</v>
      </c>
      <c r="H13" s="18" cm="1">
        <f t="array" ref="H13">Common_Equations.Common_ConvertN2OToCO2e(E13,_xlfn.XLOOKUP("N2O", Table_GWPData[Gas],Table_GWPData[CO2-e factor]))</f>
        <v>12.266013013491106</v>
      </c>
      <c r="I13" s="18" cm="1">
        <f t="array" ref="I13">Common_Equations.Common_ConvertN2OToCO2e(F13,_xlfn.XLOOKUP("N2O", Table_GWPData[Gas],Table_GWPData[CO2-e factor]))</f>
        <v>12.266013013491106</v>
      </c>
      <c r="J13" s="15" t="s">
        <v>7</v>
      </c>
      <c r="K13" s="8"/>
    </row>
    <row r="14" spans="1:11" ht="20.100000000000001" customHeight="1" x14ac:dyDescent="0.25">
      <c r="A14" s="5" t="str">
        <f>HYPERLINK("#'Input - Dairy cattle purchases'!A1", "Dairy cattle purchases")</f>
        <v>Dairy cattle purchases</v>
      </c>
      <c r="C14" s="8"/>
      <c r="D14" s="1" t="s">
        <v>181</v>
      </c>
      <c r="E14" s="18" cm="1">
        <f t="array" ref="E14">VEERG_4_3_1_12__1_LeachingAndRunoffEmissionsFromUrineAndDungOnPasture_Result_Method1</f>
        <v>9.8625715673371778E-2</v>
      </c>
      <c r="F14" s="18" cm="1">
        <f t="array" ref="F14">VEERG_4_3_1_12__1_LeachingAndRunoffEmissionsFromUrineAndDungOnPasture_Result_Method2</f>
        <v>9.8625715673371778E-2</v>
      </c>
      <c r="G14" s="15" t="s">
        <v>12</v>
      </c>
      <c r="H14" s="18" cm="1">
        <f t="array" ref="H14">Common_Equations.Common_ConvertN2OToCO2e(E14,_xlfn.XLOOKUP("N2O", Table_GWPData[Gas],Table_GWPData[CO2-e factor]))</f>
        <v>26.135814653443521</v>
      </c>
      <c r="I14" s="18" cm="1">
        <f t="array" ref="I14">Common_Equations.Common_ConvertN2OToCO2e(F14,_xlfn.XLOOKUP("N2O", Table_GWPData[Gas],Table_GWPData[CO2-e factor]))</f>
        <v>26.135814653443521</v>
      </c>
      <c r="J14" s="15" t="s">
        <v>7</v>
      </c>
      <c r="K14" s="8"/>
    </row>
    <row r="15" spans="1:11" ht="20.100000000000001" customHeight="1" x14ac:dyDescent="0.25">
      <c r="A15" s="5" t="str">
        <f>HYPERLINK("#'Input - Pasture'!A1", "Pasture")</f>
        <v>Pasture</v>
      </c>
      <c r="C15" s="8"/>
      <c r="D15" s="1" t="s">
        <v>139</v>
      </c>
      <c r="E15" s="18" cm="1">
        <f t="array" ref="E15">VEERG_5_1_1_1__1_InorganicFertiliserApplicationN2OEmissions_Result_Method1</f>
        <v>1.6950488729428572</v>
      </c>
      <c r="F15" s="18" cm="1">
        <f t="array" ref="F15">VEERG_5_1_1_1__1_InorganicFertiliserApplicationN2OEmissions_Result_Method2</f>
        <v>1.6950489285714285</v>
      </c>
      <c r="G15" s="15" t="s">
        <v>12</v>
      </c>
      <c r="H15" s="18" cm="1">
        <f t="array" ref="H15">Common_Equations.Common_ConvertN2OToCO2e(E15,_xlfn.XLOOKUP("N2O", Table_GWPData[Gas],Table_GWPData[CO2-e factor]))</f>
        <v>449.18795132985719</v>
      </c>
      <c r="I15" s="18" cm="1">
        <f t="array" ref="I15">Common_Equations.Common_ConvertN2OToCO2e(F15,_xlfn.XLOOKUP("N2O", Table_GWPData[Gas],Table_GWPData[CO2-e factor]))</f>
        <v>449.18796607142855</v>
      </c>
      <c r="J15" s="15" t="s">
        <v>7</v>
      </c>
      <c r="K15" s="8"/>
    </row>
    <row r="16" spans="1:11" ht="20.100000000000001" customHeight="1" x14ac:dyDescent="0.25">
      <c r="A16" s="5" t="str">
        <f>HYPERLINK("#'Input - Fert Prod System'!A1", "Fert Prod System")</f>
        <v>Fert Prod System</v>
      </c>
      <c r="C16" s="8"/>
      <c r="D16" s="1" t="s">
        <v>140</v>
      </c>
      <c r="E16" s="18" cm="1">
        <f t="array" ref="E16">VEERG_5_1_1_3__1_InorganicFertiliserApplicationCO2Emissions_Result_Method1</f>
        <v>184.92752666666664</v>
      </c>
      <c r="F16" s="18">
        <f>E16</f>
        <v>184.92752666666664</v>
      </c>
      <c r="G16" s="15" t="s">
        <v>132</v>
      </c>
      <c r="H16" s="18">
        <f>E16</f>
        <v>184.92752666666664</v>
      </c>
      <c r="I16" s="18">
        <f>F16</f>
        <v>184.92752666666664</v>
      </c>
      <c r="J16" s="15" t="s">
        <v>7</v>
      </c>
      <c r="K16" s="8"/>
    </row>
    <row r="17" spans="1:11" ht="20.100000000000001" customHeight="1" x14ac:dyDescent="0.25">
      <c r="A17" s="5" t="str">
        <f>HYPERLINK("#'Input - Fertiliser'!A1", "Fertiliser")</f>
        <v>Fertiliser</v>
      </c>
      <c r="C17" s="8"/>
      <c r="D17" s="1" t="s">
        <v>141</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142</v>
      </c>
      <c r="E18" s="18" cm="1">
        <f t="array" ref="E18">VEERG_5_3_1_1__1_LimeApplicationCO2Emissions_Result_Method1</f>
        <v>758.08333333333326</v>
      </c>
      <c r="F18" s="18">
        <f>E18</f>
        <v>758.08333333333326</v>
      </c>
      <c r="G18" s="15" t="s">
        <v>132</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143</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Common farm inputs'!A1", "Common farm inputs")</f>
        <v>Common farm inputs</v>
      </c>
      <c r="C20" s="8"/>
      <c r="D20" s="1" t="s">
        <v>144</v>
      </c>
      <c r="E20" s="18" cm="1">
        <f t="array" ref="E20">VEERG_5_5_1_1__1_FertiliserLeachingAndRunoffN2OEmissions_result_Method1</f>
        <v>0.78791740368000007</v>
      </c>
      <c r="F20" s="18">
        <f>E20</f>
        <v>0.78791740368000007</v>
      </c>
      <c r="G20" s="15" t="s">
        <v>12</v>
      </c>
      <c r="H20" s="18" cm="1">
        <f t="array" ref="H20">Common_Equations.Common_ConvertN2OToCO2e(E20,_xlfn.XLOOKUP("N2O", Table_GWPData[Gas],Table_GWPData[CO2-e factor]))</f>
        <v>208.79811197520002</v>
      </c>
      <c r="I20" s="18" cm="1">
        <f t="array" ref="I20">Common_Equations.Common_ConvertN2OToCO2e(F20,_xlfn.XLOOKUP("N2O", Table_GWPData[Gas],Table_GWPData[CO2-e factor]))</f>
        <v>208.79811197520002</v>
      </c>
      <c r="J20" s="15" t="s">
        <v>7</v>
      </c>
      <c r="K20" s="8"/>
    </row>
    <row r="21" spans="1:11" ht="20.100000000000001" customHeight="1" x14ac:dyDescent="0.25">
      <c r="A21" s="5" t="str">
        <f>HYPERLINK("#'Input - Crop pasture farm input'!A1", "Crop pasture farm input")</f>
        <v>Crop pasture farm input</v>
      </c>
      <c r="C21" s="8"/>
      <c r="D21" s="1" t="s">
        <v>145</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Livestock farm Inputs'!A1", "Livestock farm Inputs")</f>
        <v>Livestock farm Inputs</v>
      </c>
      <c r="C22" s="8"/>
      <c r="D22" s="1" t="s">
        <v>146</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Freight'!A1", "Freight")</f>
        <v>Freight</v>
      </c>
      <c r="C23" s="8"/>
      <c r="D23" s="1" t="s">
        <v>147</v>
      </c>
      <c r="E23" s="18" cm="1">
        <f t="array" ref="E23">VEERG_8_1_1_1__1_FuelCombustionTransport_Result_CO2</f>
        <v>83.182000000000002</v>
      </c>
      <c r="F23" s="18">
        <f>E23</f>
        <v>83.182000000000002</v>
      </c>
      <c r="G23" s="15" t="s">
        <v>132</v>
      </c>
      <c r="H23" s="18">
        <f>E23</f>
        <v>83.182000000000002</v>
      </c>
      <c r="I23" s="18">
        <f>F23</f>
        <v>83.182000000000002</v>
      </c>
      <c r="J23" s="15" t="s">
        <v>7</v>
      </c>
      <c r="K23" s="8"/>
    </row>
    <row r="24" spans="1:11" ht="20.100000000000001" customHeight="1" x14ac:dyDescent="0.25">
      <c r="A24" s="5" t="str">
        <f>HYPERLINK("#'Input - Manure sent off-site'!A1", "Manure sent off-site")</f>
        <v>Manure sent off-site</v>
      </c>
      <c r="C24" s="8"/>
      <c r="D24" s="1" t="s">
        <v>149</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A25" s="5" t="str">
        <f>HYPERLINK("#'Input - Solid waste'!A1", "Solid waste")</f>
        <v>Solid waste</v>
      </c>
      <c r="C25" s="8"/>
      <c r="D25" s="1" t="s">
        <v>148</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5" t="str">
        <f>HYPERLINK("#'Input - Data quality'!A1", "Data quality")</f>
        <v>Data quality</v>
      </c>
      <c r="C26" s="8"/>
      <c r="D26" s="1" t="s">
        <v>150</v>
      </c>
      <c r="E26" s="18" cm="1">
        <f t="array" ref="E26">VEERG_8_2_1_1__1_FuelCombustionStationary_Result_CO2</f>
        <v>29.070800000000002</v>
      </c>
      <c r="F26" s="18">
        <f>E26</f>
        <v>29.070800000000002</v>
      </c>
      <c r="G26" s="15" t="s">
        <v>132</v>
      </c>
      <c r="H26" s="18">
        <f>E26</f>
        <v>29.070800000000002</v>
      </c>
      <c r="I26" s="18">
        <f>F26</f>
        <v>29.070800000000002</v>
      </c>
      <c r="J26" s="15" t="s">
        <v>7</v>
      </c>
      <c r="K26" s="8"/>
    </row>
    <row r="27" spans="1:11" ht="20.100000000000001" customHeight="1" x14ac:dyDescent="0.25">
      <c r="C27" s="8"/>
      <c r="D27" s="1" t="s">
        <v>151</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C28" s="8"/>
      <c r="D28" s="1" t="s">
        <v>152</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6" t="s">
        <v>2</v>
      </c>
      <c r="C29" s="8"/>
      <c r="D29" s="1" t="s">
        <v>153</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HYPERLINK("#'5.1.1.1-2 Inorganic fert N2O'!A1", "5.1.1.1-2 Inorganic fert N2O")</f>
        <v>5.1.1.1-2 Inorganic fert N2O</v>
      </c>
      <c r="C30" s="8"/>
      <c r="D30" s="1" t="s">
        <v>154</v>
      </c>
      <c r="E30" s="18" cm="1">
        <f t="array" ref="E30">VEERG_14_1_2__1_MarketBasedScopeElectricityEmissionsVariation_Result_Method1</f>
        <v>14.580000000000002</v>
      </c>
      <c r="F30" s="18">
        <f t="shared" si="0"/>
        <v>14.580000000000002</v>
      </c>
      <c r="G30" s="15" t="s">
        <v>7</v>
      </c>
      <c r="H30" s="18">
        <f>E30</f>
        <v>14.580000000000002</v>
      </c>
      <c r="I30" s="18">
        <f>F30</f>
        <v>14.580000000000002</v>
      </c>
      <c r="J30" s="15" t="s">
        <v>7</v>
      </c>
      <c r="K30" s="8"/>
    </row>
    <row r="31" spans="1:11" ht="20.100000000000001" customHeight="1" x14ac:dyDescent="0.3">
      <c r="A31" s="5" t="str">
        <f>HYPERLINK("#'5.1.1.3-4 Inorganic fert CO2'!A1", "5.1.1.3-4 Inorganic fert CO2")</f>
        <v>5.1.1.3-4 Inorganic fert CO2</v>
      </c>
      <c r="C31" s="8"/>
      <c r="D31" s="14" t="s">
        <v>4</v>
      </c>
      <c r="E31" s="9"/>
      <c r="F31" s="9"/>
      <c r="G31" s="14"/>
      <c r="H31" s="19">
        <f ca="1">SUM(H7:H30)</f>
        <v>3229.3559433402875</v>
      </c>
      <c r="I31" s="19">
        <f ca="1">SUM(I7:I30)</f>
        <v>3238.4940686265627</v>
      </c>
      <c r="J31" s="15" t="s">
        <v>7</v>
      </c>
      <c r="K31" s="8"/>
    </row>
    <row r="32" spans="1:11" ht="20.100000000000001" customHeight="1" x14ac:dyDescent="0.3">
      <c r="A32" s="5" t="str">
        <f>HYPERLINK("#'5.2.1.1-2 Organic Fert N2O'!A1", "5.2.1.1-2 Organic fert N2O")</f>
        <v>5.2.1.1-2 Organic fert N2O</v>
      </c>
      <c r="C32" s="8"/>
      <c r="D32" s="1"/>
      <c r="E32" s="1"/>
      <c r="F32" s="1"/>
      <c r="G32" s="1"/>
      <c r="H32" s="13"/>
      <c r="I32" s="8"/>
      <c r="J32" s="8"/>
      <c r="K32" s="8"/>
    </row>
    <row r="33" spans="1:11" ht="20.100000000000001" customHeight="1" x14ac:dyDescent="0.3">
      <c r="A33" s="5" t="str">
        <f>HYPERLINK("#'5.3.1.1-2 Lime CO2'!A1", "5.3.1.1-2 Lime CO2")</f>
        <v>5.3.1.1-2 Lime CO2</v>
      </c>
      <c r="C33" s="8"/>
      <c r="D33" s="1"/>
      <c r="E33" s="1"/>
      <c r="F33" s="1"/>
      <c r="G33" s="1"/>
      <c r="H33" s="13"/>
      <c r="I33" s="8"/>
      <c r="J33" s="8"/>
      <c r="K33" s="8"/>
    </row>
    <row r="34" spans="1:11" ht="20.100000000000001" customHeight="1" x14ac:dyDescent="0.3">
      <c r="A34" s="5" t="str">
        <f>HYPERLINK("#'5.4.1.1-4 Atmos deposition'!A1", "5.4.1.1-4 Atmos. deposition")</f>
        <v>5.4.1.1-4 Atmos. deposition</v>
      </c>
      <c r="C34" s="8"/>
      <c r="D34" s="1"/>
      <c r="E34" s="1"/>
      <c r="F34" s="1"/>
      <c r="G34" s="1"/>
      <c r="H34" s="13"/>
      <c r="I34" s="8"/>
      <c r="J34" s="8"/>
      <c r="K34" s="8"/>
    </row>
    <row r="35" spans="1:11" ht="20.100000000000001" customHeight="1" x14ac:dyDescent="0.3">
      <c r="A35" s="5" t="str">
        <f>HYPERLINK("#'5.5.1.1-2 Leaching and runoff'!A1", "5.5.1.1-2 Leaching &amp; runoff")</f>
        <v>5.5.1.1-2 Leaching &amp; runoff</v>
      </c>
      <c r="C35" s="8"/>
      <c r="D35" s="2" t="s">
        <v>116</v>
      </c>
      <c r="E35" s="1"/>
      <c r="F35" s="1"/>
      <c r="G35" s="1"/>
      <c r="H35" s="13"/>
      <c r="I35" s="8"/>
      <c r="J35" s="8"/>
      <c r="K35" s="8"/>
    </row>
    <row r="36" spans="1:11" ht="20.100000000000001" customHeight="1" x14ac:dyDescent="0.3">
      <c r="A36" s="5" t="str">
        <f>HYPERLINK("#'6.2.1.1-2 Pasture residue N2O'!A1", "6.2.1.1-2 Pasture residue N2O")</f>
        <v>6.2.1.1-2 Pasture residue N2O</v>
      </c>
      <c r="C36" s="8"/>
      <c r="D36" s="87"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HYPERLINK("#'6.3.1.1-2 Leach runoff pasture'!A1", "6.3.1.1-2 Leach &amp; runoff (pasture)")</f>
        <v>6.3.1.1-2 Leach &amp; runoff (pasture)</v>
      </c>
      <c r="C37" s="8"/>
      <c r="D37" s="1" t="s">
        <v>118</v>
      </c>
      <c r="E37" s="1"/>
      <c r="F37" s="1"/>
      <c r="G37" s="1"/>
      <c r="H37" s="13"/>
      <c r="I37" s="8"/>
      <c r="J37" s="8"/>
      <c r="K37" s="8"/>
    </row>
    <row r="38" spans="1:11" ht="20.100000000000001" customHeight="1" x14ac:dyDescent="0.3">
      <c r="A38" s="5" t="str">
        <f>HYPERLINK("#'8.1.1.1-2 Transport fuel'!A1", "8.1.1.1-2 Transport fuel")</f>
        <v>8.1.1.1-2 Transport fuel</v>
      </c>
      <c r="C38" s="8"/>
      <c r="D38" s="1"/>
      <c r="E38" s="1"/>
      <c r="F38" s="1"/>
      <c r="G38" s="1"/>
      <c r="H38" s="13"/>
      <c r="I38" s="8"/>
      <c r="J38" s="8"/>
      <c r="K38" s="8"/>
    </row>
    <row r="39" spans="1:11" ht="20.100000000000001" customHeight="1" x14ac:dyDescent="0.3">
      <c r="A39" s="5" t="str">
        <f>HYPERLINK("#'8.2.1.1-2 Stationary fuel'!A1", "8.2.1.1-2 Stationary fuel")</f>
        <v>8.2.1.1-2 Stationary fuel</v>
      </c>
      <c r="C39" s="8"/>
      <c r="D39" s="20" t="s">
        <v>117</v>
      </c>
      <c r="E39" s="20" t="s">
        <v>10</v>
      </c>
      <c r="F39" s="20" t="s">
        <v>11</v>
      </c>
      <c r="G39" s="1"/>
      <c r="H39" s="13"/>
      <c r="I39" s="8"/>
      <c r="J39" s="8"/>
      <c r="K39" s="8"/>
    </row>
    <row r="40" spans="1:11" ht="20.100000000000001" customHeight="1" x14ac:dyDescent="0.3">
      <c r="A40" s="5" t="str">
        <f>HYPERLINK("#'14.1.1-2 Purchased electricity'!A1", "14.1.1-2 Purchased electricity")</f>
        <v>14.1.1-2 Purchased electricity</v>
      </c>
      <c r="C40" s="8"/>
      <c r="D40" s="1" t="str" cm="1">
        <f t="array" ref="D40:D42">Common_InputFunctions.getOverlappingReportingPeriods(X_Cell_Enterprise_ProductionTimeframeStart,X_Cell_Enterprise_ProductionTimeframeEnd,X_Cell_Site_StartDate)</f>
        <v>01 Jan 2023 to 31 Dec 2023</v>
      </c>
      <c r="E40" s="85" t="str">
        <f>IF(ISBLANK($D40), 0, IF(ISNUMBER(SEARCH("reporting", $D40)), Result_Enterprise_Method1, "Enter value"))</f>
        <v>Enter value</v>
      </c>
      <c r="F40" s="85" t="str">
        <f>IF(ISBLANK($D40), 0, IF(ISNUMBER(SEARCH("reporting", $D40)), Result_Enterprise_Method2, "Enter value"))</f>
        <v>Enter value</v>
      </c>
      <c r="G40" s="15" t="s">
        <v>7</v>
      </c>
      <c r="H40" s="13"/>
      <c r="I40" s="8"/>
      <c r="J40" s="8"/>
      <c r="K40" s="8"/>
    </row>
    <row r="41" spans="1:11" ht="20.100000000000001" customHeight="1" x14ac:dyDescent="0.3">
      <c r="A41" s="5" t="str">
        <f>HYPERLINK("#'15 Scope 3'!A1", "15 Scope 3")</f>
        <v>15 Scope 3</v>
      </c>
      <c r="C41" s="8"/>
      <c r="D41" s="1" t="str">
        <v>01 Jan 2024 to 31 Dec 2024 (This reporting cycle)</v>
      </c>
      <c r="E41" s="85">
        <f ca="1">IF(ISBLANK($D41), 0, IF(ISNUMBER(SEARCH("reporting", $D41)), Result_Enterprise_Method1, "Enter value"))</f>
        <v>3229.3559433402875</v>
      </c>
      <c r="F41" s="85">
        <f ca="1">IF(ISBLANK($D41), 0, IF(ISNUMBER(SEARCH("reporting", $D41)), Result_Enterprise_Method2, "Enter value"))</f>
        <v>3238.4940686265627</v>
      </c>
      <c r="G41" s="15" t="s">
        <v>7</v>
      </c>
      <c r="H41" s="13"/>
      <c r="I41" s="8"/>
      <c r="J41" s="8"/>
      <c r="K41" s="8"/>
    </row>
    <row r="42" spans="1:11" ht="20.100000000000001" customHeight="1" x14ac:dyDescent="0.3">
      <c r="A42" s="5" t="str">
        <f>HYPERLINK("#'Calcs - Manure sent off-site'!A1", "Calcs - Manure sent off-site")</f>
        <v>Calcs - Manure sent off-site</v>
      </c>
      <c r="C42" s="8"/>
      <c r="D42" s="1" t="str">
        <v>01 Jan 2025 to 31 Dec 2025</v>
      </c>
      <c r="E42" s="85" t="str">
        <f>IF(ISBLANK($D42), 0, IF(ISNUMBER(SEARCH("reporting", $D42)), Result_Enterprise_Method1, "Enter value"))</f>
        <v>Enter value</v>
      </c>
      <c r="F42" s="85" t="str">
        <f>IF(ISBLANK($D42), 0, IF(ISNUMBER(SEARCH("reporting", $D42)), Result_Enterprise_Method2, "Enter value"))</f>
        <v>Enter value</v>
      </c>
      <c r="G42" s="15" t="s">
        <v>7</v>
      </c>
      <c r="H42" s="13"/>
      <c r="I42" s="8"/>
      <c r="J42" s="8"/>
      <c r="K42" s="8"/>
    </row>
    <row r="43" spans="1:11" ht="20.100000000000001" customHeight="1" x14ac:dyDescent="0.3">
      <c r="A43" s="5" t="str">
        <f>HYPERLINK("#'4.3.1.1-2 Methane'!A1", "4.3.1.1-2 Methane")</f>
        <v>4.3.1.1-2 Methane</v>
      </c>
      <c r="C43" s="8"/>
      <c r="D43" s="1"/>
      <c r="E43" s="85">
        <f>IF(ISBLANK($D43), 0, IF(ISNUMBER(SEARCH("reporting", $D43)), Result_Enterprise_Method1, "Enter value"))</f>
        <v>0</v>
      </c>
      <c r="F43" s="85">
        <f>IF(ISBLANK($D43), 0, IF(ISNUMBER(SEARCH("reporting", $D43)), Result_Enterprise_Method2, "Enter value"))</f>
        <v>0</v>
      </c>
      <c r="G43" s="15" t="s">
        <v>7</v>
      </c>
      <c r="H43" s="13"/>
      <c r="I43" s="8"/>
      <c r="J43" s="8"/>
      <c r="K43" s="8"/>
    </row>
    <row r="44" spans="1:11" ht="20.100000000000001" customHeight="1" x14ac:dyDescent="0.3">
      <c r="A44" s="5" t="str">
        <f>HYPERLINK("#'4.3.1.3-4 Direct N20'!A1", "4.3.1.3-4 Direct N20")</f>
        <v>4.3.1.3-4 Direct N20</v>
      </c>
      <c r="C44" s="8"/>
      <c r="D44" s="87"/>
      <c r="E44" s="85">
        <f>IF(ISBLANK($D44), 0, IF(ISNUMBER(SEARCH("reporting", $D44)), Result_Enterprise_Method1, "Enter value"))</f>
        <v>0</v>
      </c>
      <c r="F44" s="85">
        <f>IF(ISBLANK($D44), 0, IF(ISNUMBER(SEARCH("reporting", $D44)), Result_Enterprise_Method2, "Enter value"))</f>
        <v>0</v>
      </c>
      <c r="G44" s="15" t="s">
        <v>7</v>
      </c>
      <c r="H44" s="13"/>
      <c r="I44" s="8"/>
      <c r="J44" s="8"/>
      <c r="K44" s="8"/>
    </row>
    <row r="45" spans="1:11" ht="20.100000000000001" customHeight="1" x14ac:dyDescent="0.3">
      <c r="A45" s="5" t="str">
        <f>HYPERLINK("#'4.3.1.5 Atmos deposition'!A1", "4.3.1.5 Atmos deposition")</f>
        <v>4.3.1.5 Atmos deposition</v>
      </c>
      <c r="C45" s="8"/>
      <c r="D45" s="14" t="s">
        <v>133</v>
      </c>
      <c r="E45" s="19">
        <f ca="1">SUM(E40:E44)</f>
        <v>3229.3559433402875</v>
      </c>
      <c r="F45" s="19">
        <f ca="1">SUM(F40:F44)</f>
        <v>3238.4940686265627</v>
      </c>
      <c r="G45" s="1"/>
      <c r="H45" s="1"/>
      <c r="I45" s="1"/>
      <c r="J45" s="8"/>
      <c r="K45" s="8"/>
    </row>
    <row r="46" spans="1:11" ht="20.100000000000001" customHeight="1" x14ac:dyDescent="0.25">
      <c r="A46" s="5" t="str">
        <f>HYPERLINK("#'4.3.1.6-7 Leaching and runoff'!A1", "4.3.1.6-7 Leaching and runoff")</f>
        <v>4.3.1.6-7 Leaching and runoff</v>
      </c>
      <c r="C46" s="8"/>
      <c r="D46" s="1"/>
      <c r="E46" s="1"/>
      <c r="F46" s="1"/>
      <c r="G46" s="1"/>
      <c r="H46" s="1"/>
      <c r="I46" s="1"/>
      <c r="J46" s="8"/>
      <c r="K46" s="8"/>
    </row>
    <row r="47" spans="1:11" ht="20.100000000000001" customHeight="1" x14ac:dyDescent="0.25">
      <c r="A47" s="5" t="str">
        <f>HYPERLINK("#'4.3.1.8 Manure applied to soils'!A1", "4.3.1.8 Manure applied to soils")</f>
        <v>4.3.1.8 Manure applied to soils</v>
      </c>
      <c r="C47" s="8"/>
      <c r="D47" s="1"/>
      <c r="E47" s="1"/>
      <c r="F47" s="1"/>
      <c r="G47" s="1"/>
      <c r="H47" s="1"/>
      <c r="I47" s="1"/>
      <c r="J47" s="8"/>
      <c r="K47" s="8"/>
    </row>
    <row r="48" spans="1:11" ht="20.100000000000001" customHeight="1" x14ac:dyDescent="0.25">
      <c r="A48" s="5" t="str">
        <f>HYPERLINK("#'4.3.1.9 Soil direct N2O'!A1", "4.3.1.9 Soil direct N2O")</f>
        <v>4.3.1.9 Soil direct N2O</v>
      </c>
      <c r="C48" s="8"/>
      <c r="D48" s="2" t="s">
        <v>130</v>
      </c>
      <c r="E48" s="1"/>
      <c r="F48" s="1"/>
      <c r="G48" s="1"/>
      <c r="H48" s="1"/>
      <c r="I48" s="1"/>
      <c r="J48" s="8"/>
      <c r="K48" s="8"/>
    </row>
    <row r="49" spans="1:11" ht="20.100000000000001" customHeight="1" x14ac:dyDescent="0.25">
      <c r="A49" s="5" t="str">
        <f>HYPERLINK("#'4.3.1.10-11 Soil Atmos Dep'!A1", "4.3.1.10-11 Soil Atmos Dep")</f>
        <v>4.3.1.10-11 Soil Atmos Dep</v>
      </c>
      <c r="C49" s="8"/>
      <c r="D49" s="1"/>
      <c r="E49" s="1"/>
      <c r="F49" s="1"/>
      <c r="G49" s="1"/>
      <c r="H49" s="1"/>
      <c r="I49" s="1"/>
      <c r="J49" s="1"/>
      <c r="K49" s="8"/>
    </row>
    <row r="50" spans="1:11" ht="20.100000000000001" customHeight="1" x14ac:dyDescent="0.25">
      <c r="A50" s="5" t="str">
        <f>HYPERLINK("#'4.3.1.12-13 Soil leach runoff'!A1", "4.3.1.12-13 Soil leach runoff")</f>
        <v>4.3.1.12-13 Soil leach runoff</v>
      </c>
      <c r="C50" s="8"/>
      <c r="D50" s="20" t="s">
        <v>117</v>
      </c>
      <c r="E50" s="20" t="s">
        <v>131</v>
      </c>
      <c r="F50" s="1"/>
      <c r="G50" s="1"/>
      <c r="H50" s="1"/>
      <c r="I50" s="1"/>
      <c r="J50" s="1"/>
      <c r="K50" s="8"/>
    </row>
    <row r="51" spans="1:11" ht="20.100000000000001" customHeight="1" x14ac:dyDescent="0.25">
      <c r="A51" s="5" t="str">
        <f>HYPERLINK("#'3.3.1.1-2 Enteric Methane'!A1", "3.3.1.1-2 Enteric Methane")</f>
        <v>3.3.1.1-2 Enteric Methane</v>
      </c>
      <c r="C51" s="8"/>
      <c r="D51" s="1" t="str" cm="1">
        <f t="array" ref="D51:D53">Common_InputFunctions.getOverlappingReportingPeriods(X_Cell_Enterprise_ProductionTimeframeStart,X_Cell_Enterprise_ProductionTimeframeEnd,X_Cell_Site_StartDate)</f>
        <v>01 Jan 2023 to 31 Dec 2023</v>
      </c>
      <c r="E51" s="85" t="str">
        <f>IF(ISBLANK(D51), 0, "Enter value")</f>
        <v>Enter value</v>
      </c>
      <c r="F51" s="15" t="s">
        <v>132</v>
      </c>
      <c r="G51" s="1"/>
      <c r="H51" s="1"/>
      <c r="I51" s="1"/>
      <c r="J51" s="1"/>
      <c r="K51" s="8"/>
    </row>
    <row r="52" spans="1:11" ht="20.100000000000001" customHeight="1" x14ac:dyDescent="0.25">
      <c r="A52" s="5" t="str">
        <f>HYPERLINK("#'10.1.1-2 Solid waste treatment'!A1", "10.1.1-2 Solid waste treatment")</f>
        <v>10.1.1-2 Solid waste treatment</v>
      </c>
      <c r="C52" s="8"/>
      <c r="D52" s="1" t="str">
        <v>01 Jan 2024 to 31 Dec 2024 (This reporting cycle)</v>
      </c>
      <c r="E52" s="85" t="str">
        <f t="shared" ref="E52:E55" si="1">IF(ISBLANK(D52), 0, "Enter value")</f>
        <v>Enter value</v>
      </c>
      <c r="F52" s="15" t="s">
        <v>132</v>
      </c>
      <c r="G52" s="1"/>
      <c r="H52" s="1"/>
      <c r="I52" s="1"/>
      <c r="J52" s="1"/>
      <c r="K52" s="8"/>
    </row>
    <row r="53" spans="1:11" ht="20.100000000000001" customHeight="1" x14ac:dyDescent="0.25">
      <c r="C53" s="8"/>
      <c r="D53" s="1" t="str">
        <v>01 Jan 2025 to 31 Dec 2025</v>
      </c>
      <c r="E53" s="85" t="str">
        <f t="shared" si="1"/>
        <v>Enter value</v>
      </c>
      <c r="F53" s="15" t="s">
        <v>132</v>
      </c>
      <c r="G53" s="1"/>
      <c r="H53" s="1"/>
      <c r="I53" s="1"/>
      <c r="J53" s="1"/>
      <c r="K53" s="8"/>
    </row>
    <row r="54" spans="1:11" ht="20.100000000000001" customHeight="1" x14ac:dyDescent="0.25">
      <c r="C54" s="8"/>
      <c r="D54" s="1"/>
      <c r="E54" s="85">
        <f t="shared" si="1"/>
        <v>0</v>
      </c>
      <c r="F54" s="15" t="s">
        <v>132</v>
      </c>
      <c r="G54" s="1"/>
      <c r="H54" s="1"/>
      <c r="I54" s="1"/>
      <c r="J54" s="1"/>
      <c r="K54" s="8"/>
    </row>
    <row r="55" spans="1:11" ht="20.100000000000001" customHeight="1" x14ac:dyDescent="0.25">
      <c r="A55" s="100" t="s">
        <v>1</v>
      </c>
      <c r="C55" s="8"/>
      <c r="D55" s="1"/>
      <c r="E55" s="85">
        <f t="shared" si="1"/>
        <v>0</v>
      </c>
      <c r="F55" s="15" t="s">
        <v>132</v>
      </c>
      <c r="G55" s="1"/>
      <c r="H55" s="1"/>
      <c r="I55" s="8"/>
      <c r="J55" s="8"/>
      <c r="K55" s="8"/>
    </row>
    <row r="56" spans="1:11" ht="20.100000000000001" customHeight="1" x14ac:dyDescent="0.3">
      <c r="A56" s="5" t="str">
        <f>HYPERLINK("#'Constants - Dairy'!A1", "Constants - Dairy")</f>
        <v>Constants - Dairy</v>
      </c>
      <c r="C56" s="8"/>
      <c r="D56" s="14" t="s">
        <v>134</v>
      </c>
      <c r="E56" s="19">
        <f>SUM(E51:E55)</f>
        <v>0</v>
      </c>
      <c r="F56" s="1"/>
      <c r="G56" s="1"/>
      <c r="H56" s="1"/>
      <c r="I56" s="1"/>
      <c r="J56" s="1"/>
      <c r="K56" s="8"/>
    </row>
    <row r="57" spans="1:11" ht="20.100000000000001" customHeight="1" x14ac:dyDescent="0.25">
      <c r="A57" s="5" t="str">
        <f>HYPERLINK("#'Constants - Ag Residue'!A1", "Constants - Ag residue")</f>
        <v>Constants - Ag residue</v>
      </c>
      <c r="C57" s="8"/>
      <c r="D57" s="1"/>
      <c r="E57" s="1"/>
      <c r="F57" s="1"/>
      <c r="G57" s="1"/>
      <c r="H57" s="1"/>
      <c r="I57" s="1"/>
      <c r="J57" s="1"/>
      <c r="K57" s="8"/>
    </row>
    <row r="58" spans="1:11" ht="20.100000000000001" customHeight="1" x14ac:dyDescent="0.25">
      <c r="A58" s="5" t="str">
        <f>HYPERLINK("#'Constants - Common Livestock'!A1", "Constants - Common Livestock")</f>
        <v>Constants - Common Livestock</v>
      </c>
      <c r="C58" s="8"/>
      <c r="D58" s="1"/>
      <c r="E58" s="1"/>
      <c r="F58" s="1"/>
      <c r="G58" s="1"/>
      <c r="H58" s="1"/>
      <c r="I58" s="1"/>
      <c r="J58" s="1"/>
      <c r="K58" s="8"/>
    </row>
    <row r="59" spans="1:11" ht="20.100000000000001" customHeight="1" x14ac:dyDescent="0.25">
      <c r="A59" s="5" t="str">
        <f>HYPERLINK("#'Constants - Electricity'!A1", "Constants - Electricity")</f>
        <v>Constants - Electricity</v>
      </c>
      <c r="C59" s="8"/>
      <c r="D59" s="2" t="s">
        <v>120</v>
      </c>
      <c r="E59" s="1"/>
      <c r="F59" s="1"/>
      <c r="G59" s="1"/>
      <c r="H59" s="1"/>
      <c r="I59" s="1"/>
      <c r="J59" s="8"/>
      <c r="K59" s="8"/>
    </row>
    <row r="60" spans="1:11" ht="20.100000000000001" customHeight="1" x14ac:dyDescent="0.25">
      <c r="A60" s="5" t="str">
        <f>HYPERLINK("#'Constants - Fertiliser'!A1", "Constants - Fertiliser")</f>
        <v>Constants - Fertiliser</v>
      </c>
      <c r="C60" s="8"/>
      <c r="D60" s="1"/>
      <c r="E60" s="1"/>
      <c r="F60" s="1"/>
      <c r="G60" s="1"/>
      <c r="H60" s="1"/>
      <c r="I60" s="1"/>
      <c r="J60" s="1"/>
      <c r="K60" s="8"/>
    </row>
    <row r="61" spans="1:11" ht="20.100000000000001" customHeight="1" x14ac:dyDescent="0.25">
      <c r="A61" s="5" t="str">
        <f>HYPERLINK("#'Constants - Fuel'!A1", "Constants - Fuel")</f>
        <v>Constants - Fuel</v>
      </c>
      <c r="C61" s="8"/>
      <c r="D61" s="20"/>
      <c r="E61" s="20" t="s">
        <v>136</v>
      </c>
      <c r="F61" s="20" t="s">
        <v>137</v>
      </c>
      <c r="G61" s="1"/>
      <c r="H61" s="1"/>
      <c r="I61" s="1"/>
      <c r="J61" s="1"/>
      <c r="K61" s="8"/>
    </row>
    <row r="62" spans="1:11" ht="20.100000000000001" customHeight="1" x14ac:dyDescent="0.3">
      <c r="A62" s="5" t="str">
        <f>HYPERLINK("#'Constants - Scope 3'!A1", "Constants - Scope 3")</f>
        <v>Constants - Scope 3</v>
      </c>
      <c r="C62" s="8"/>
      <c r="D62" s="88" t="s">
        <v>135</v>
      </c>
      <c r="E62" s="86">
        <f ca="1">E45-E56</f>
        <v>3229.3559433402875</v>
      </c>
      <c r="F62" s="86">
        <f ca="1">F45-E56</f>
        <v>3238.4940686265627</v>
      </c>
      <c r="G62" s="1"/>
      <c r="H62" s="1"/>
      <c r="I62" s="1"/>
      <c r="J62" s="1"/>
      <c r="K62" s="8"/>
    </row>
    <row r="63" spans="1:11" ht="20.100000000000001" customHeight="1" x14ac:dyDescent="0.25">
      <c r="A63" s="5" t="str">
        <f>HYPERLINK("#'Constants - Common'!A1", "Constants - Common")</f>
        <v>Constants - Common</v>
      </c>
      <c r="C63" s="8"/>
      <c r="D63" s="1"/>
      <c r="E63" s="1"/>
      <c r="F63" s="1"/>
      <c r="G63" s="1"/>
      <c r="H63" s="1"/>
      <c r="I63" s="1"/>
      <c r="J63" s="1"/>
      <c r="K63" s="8"/>
    </row>
    <row r="64" spans="1:11" ht="20.100000000000001" customHeight="1" x14ac:dyDescent="0.25">
      <c r="A64" s="5" t="str">
        <f>HYPERLINK("#'Acknowledgements'!A1", "Acknowledgements")</f>
        <v>Acknowledgements</v>
      </c>
      <c r="C64" s="8"/>
      <c r="D64" s="1"/>
      <c r="E64" s="1"/>
      <c r="F64" s="1"/>
      <c r="G64" s="1"/>
      <c r="H64" s="1"/>
      <c r="I64" s="1"/>
      <c r="J64" s="1"/>
      <c r="K64" s="8"/>
    </row>
    <row r="65" spans="1:11" ht="20.100000000000001" customHeight="1" x14ac:dyDescent="0.25">
      <c r="A65" s="5" t="str">
        <f>HYPERLINK("#'Constants - Solid Waste'!A1", "Constants - Solid Waste")</f>
        <v>Constants - Solid Waste</v>
      </c>
      <c r="C65" s="8"/>
      <c r="D65" s="90" t="s">
        <v>159</v>
      </c>
      <c r="E65" s="1"/>
      <c r="F65" s="1"/>
      <c r="G65" s="1"/>
      <c r="H65" s="1"/>
      <c r="I65" s="1"/>
      <c r="J65" s="1"/>
      <c r="K65" s="8"/>
    </row>
    <row r="66" spans="1:11" ht="20.100000000000001" customHeight="1" x14ac:dyDescent="0.25">
      <c r="C66" s="8"/>
      <c r="D66" s="20" t="s">
        <v>138</v>
      </c>
      <c r="E66" s="20" t="s">
        <v>127</v>
      </c>
      <c r="F66" s="20" t="s">
        <v>121</v>
      </c>
      <c r="G66" s="20" t="s">
        <v>161</v>
      </c>
      <c r="H66" s="20" t="s">
        <v>125</v>
      </c>
      <c r="I66" s="20" t="s">
        <v>126</v>
      </c>
      <c r="J66" s="20" t="s">
        <v>122</v>
      </c>
      <c r="K66" s="8"/>
    </row>
    <row r="67" spans="1:11" ht="20.100000000000001" customHeight="1" x14ac:dyDescent="0.25">
      <c r="C67" s="8"/>
      <c r="D67" s="1" t="s">
        <v>194</v>
      </c>
      <c r="E67" s="1" t="s">
        <v>128</v>
      </c>
      <c r="F67" s="18">
        <f>'Input - Enterprise'!E24</f>
        <v>7519</v>
      </c>
      <c r="G67" s="18">
        <f>F67/(F67+F69+F71)</f>
        <v>0.99920265780730899</v>
      </c>
      <c r="H67" s="18">
        <f ca="1">(Result_EmissionsForWholeProductionCycle_Method1/F67)*G67</f>
        <v>0.42915029147379236</v>
      </c>
      <c r="I67" s="18">
        <f ca="1">(Result_EmissionsForWholeProductionCycle_Method2/F67)*G67</f>
        <v>0.43036466028259968</v>
      </c>
      <c r="J67" s="15" t="s">
        <v>196</v>
      </c>
      <c r="K67" s="8"/>
    </row>
    <row r="68" spans="1:11" ht="20.100000000000001" customHeight="1" x14ac:dyDescent="0.25">
      <c r="C68" s="8"/>
      <c r="D68" s="1" t="s">
        <v>195</v>
      </c>
      <c r="E68" s="1" t="s">
        <v>128</v>
      </c>
      <c r="F68" s="18">
        <f>F67</f>
        <v>7519</v>
      </c>
      <c r="G68" s="18">
        <f>G67</f>
        <v>0.99920265780730899</v>
      </c>
      <c r="H68" s="18">
        <f ca="1">(Result_NetEmissions_Method1/F68)*G68</f>
        <v>0.42915029147379236</v>
      </c>
      <c r="I68" s="18">
        <f ca="1">(Result_NetEmissions_Method2/F68)*G68</f>
        <v>0.43036466028259968</v>
      </c>
      <c r="J68" s="15" t="s">
        <v>196</v>
      </c>
      <c r="K68" s="8"/>
    </row>
    <row r="69" spans="1:11" ht="20.100000000000001" customHeight="1" x14ac:dyDescent="0.25">
      <c r="C69" s="8"/>
      <c r="D69" s="1" t="s">
        <v>163</v>
      </c>
      <c r="E69" s="1" t="s">
        <v>128</v>
      </c>
      <c r="F69" s="18">
        <f>'Input - Enterprise'!E22</f>
        <v>5</v>
      </c>
      <c r="G69" s="18">
        <f>F69/(F67+F69+F71)</f>
        <v>6.6445182724252495E-4</v>
      </c>
      <c r="H69" s="18">
        <f ca="1">(Result_EmissionsForWholeProductionCycle_Method1/F69)*G69</f>
        <v>0.42915029147379236</v>
      </c>
      <c r="I69" s="18">
        <f ca="1">(Result_EmissionsForWholeProductionCycle_Method2/F69)*G69</f>
        <v>0.43036466028259973</v>
      </c>
      <c r="J69" s="15" t="s">
        <v>123</v>
      </c>
      <c r="K69" s="8"/>
    </row>
    <row r="70" spans="1:11" ht="20.100000000000001" customHeight="1" x14ac:dyDescent="0.25">
      <c r="C70" s="8"/>
      <c r="D70" s="1" t="s">
        <v>164</v>
      </c>
      <c r="E70" s="1" t="s">
        <v>128</v>
      </c>
      <c r="F70" s="18">
        <f>F69</f>
        <v>5</v>
      </c>
      <c r="G70" s="18">
        <f>G69</f>
        <v>6.6445182724252495E-4</v>
      </c>
      <c r="H70" s="18">
        <f ca="1">(Result_NetEmissions_Method1/F70)*G70</f>
        <v>0.42915029147379236</v>
      </c>
      <c r="I70" s="18">
        <f ca="1">(Result_NetEmissions_Method2/F70)*G70</f>
        <v>0.43036466028259973</v>
      </c>
      <c r="J70" s="15" t="s">
        <v>123</v>
      </c>
      <c r="K70" s="8"/>
    </row>
    <row r="71" spans="1:11" ht="20.100000000000001" customHeight="1" x14ac:dyDescent="0.25">
      <c r="C71" s="8"/>
      <c r="D71" s="1" t="s">
        <v>165</v>
      </c>
      <c r="E71" s="1" t="s">
        <v>129</v>
      </c>
      <c r="F71" s="18">
        <f>'Input - Enterprise'!E25</f>
        <v>1</v>
      </c>
      <c r="G71" s="18">
        <f>F71/(F67+F69+F71)</f>
        <v>1.3289036544850499E-4</v>
      </c>
      <c r="H71" s="18">
        <f ca="1">(Result_EmissionsForWholeProductionCycle_Method1/F71)*G71</f>
        <v>0.42915029147379236</v>
      </c>
      <c r="I71" s="18">
        <f ca="1">(Result_EmissionsForWholeProductionCycle_Method2/F71)*G71</f>
        <v>0.43036466028259973</v>
      </c>
      <c r="J71" s="15" t="s">
        <v>124</v>
      </c>
      <c r="K71" s="8"/>
    </row>
    <row r="72" spans="1:11" ht="20.100000000000001" customHeight="1" x14ac:dyDescent="0.25">
      <c r="C72" s="8"/>
      <c r="D72" s="1" t="s">
        <v>166</v>
      </c>
      <c r="E72" s="1" t="s">
        <v>129</v>
      </c>
      <c r="F72" s="18">
        <f>F71</f>
        <v>1</v>
      </c>
      <c r="G72" s="18">
        <f>G71</f>
        <v>1.3289036544850499E-4</v>
      </c>
      <c r="H72" s="18">
        <f ca="1">(Result_NetEmissions_Method1/F72)*G72</f>
        <v>0.42915029147379236</v>
      </c>
      <c r="I72" s="18">
        <f ca="1">(Result_NetEmissions_Method2/F72)*G72</f>
        <v>0.43036466028259973</v>
      </c>
      <c r="J72" s="15" t="s">
        <v>124</v>
      </c>
      <c r="K72" s="8"/>
    </row>
    <row r="73" spans="1:11" ht="20.100000000000001" customHeight="1" x14ac:dyDescent="0.25">
      <c r="C73" s="8"/>
      <c r="D73" s="1"/>
      <c r="E73" s="1"/>
      <c r="F73" s="18"/>
      <c r="G73" s="18"/>
      <c r="H73" s="18"/>
      <c r="I73" s="18"/>
      <c r="J73" s="8"/>
      <c r="K73" s="8"/>
    </row>
    <row r="74" spans="1:11" ht="20.100000000000001" customHeight="1" x14ac:dyDescent="0.25">
      <c r="C74" s="8"/>
      <c r="D74" s="1"/>
      <c r="E74" s="1"/>
      <c r="F74" s="18"/>
      <c r="G74" s="18"/>
      <c r="H74" s="18"/>
      <c r="I74" s="18"/>
      <c r="J74" s="17"/>
      <c r="K74" s="8"/>
    </row>
    <row r="75" spans="1:11" ht="20.100000000000001" customHeight="1" x14ac:dyDescent="0.25">
      <c r="C75" s="8"/>
      <c r="D75" s="90" t="s">
        <v>160</v>
      </c>
      <c r="E75" s="1"/>
      <c r="F75" s="1"/>
      <c r="G75" s="1"/>
      <c r="H75" s="1"/>
      <c r="I75" s="1"/>
      <c r="J75" s="1"/>
      <c r="K75" s="8"/>
    </row>
    <row r="76" spans="1:11" ht="15.75" x14ac:dyDescent="0.25">
      <c r="C76" s="8"/>
      <c r="D76" s="20" t="s">
        <v>138</v>
      </c>
      <c r="E76" s="20" t="s">
        <v>127</v>
      </c>
      <c r="F76" s="20" t="s">
        <v>121</v>
      </c>
      <c r="G76" s="20" t="s">
        <v>162</v>
      </c>
      <c r="H76" s="20" t="s">
        <v>125</v>
      </c>
      <c r="I76" s="20" t="s">
        <v>126</v>
      </c>
      <c r="J76" s="20" t="s">
        <v>122</v>
      </c>
      <c r="K76" s="8"/>
    </row>
    <row r="77" spans="1:11" ht="15.75" x14ac:dyDescent="0.25">
      <c r="C77" s="8"/>
      <c r="D77" s="1" t="s">
        <v>194</v>
      </c>
      <c r="E77" s="1" t="s">
        <v>128</v>
      </c>
      <c r="F77" s="93">
        <f>F67</f>
        <v>7519</v>
      </c>
      <c r="G77" s="18">
        <f>'Input - Enterprise'!E29</f>
        <v>0.8</v>
      </c>
      <c r="H77" s="18">
        <f ca="1">(Result_EmissionsForWholeProductionCycle_Method1/F77)*G77</f>
        <v>0.34359419532813273</v>
      </c>
      <c r="I77" s="18">
        <f ca="1">(Result_EmissionsForWholeProductionCycle_Method2/F77)*G77</f>
        <v>0.34456646560729487</v>
      </c>
      <c r="J77" s="15" t="s">
        <v>196</v>
      </c>
      <c r="K77" s="8"/>
    </row>
    <row r="78" spans="1:11" ht="15.75" x14ac:dyDescent="0.25">
      <c r="C78" s="8"/>
      <c r="D78" s="1" t="s">
        <v>195</v>
      </c>
      <c r="E78" s="1" t="s">
        <v>128</v>
      </c>
      <c r="F78" s="93">
        <f t="shared" ref="F78" si="2">F68</f>
        <v>7519</v>
      </c>
      <c r="G78" s="18">
        <f>G77</f>
        <v>0.8</v>
      </c>
      <c r="H78" s="18">
        <f ca="1">(Result_NetEmissions_Method1/F78)*G78</f>
        <v>0.34359419532813273</v>
      </c>
      <c r="I78" s="18">
        <f ca="1">(Result_NetEmissions_Method2/F78)*G78</f>
        <v>0.34456646560729487</v>
      </c>
      <c r="J78" s="15" t="s">
        <v>196</v>
      </c>
      <c r="K78" s="8"/>
    </row>
    <row r="79" spans="1:11" ht="15.75" x14ac:dyDescent="0.25">
      <c r="C79" s="8"/>
      <c r="D79" s="1" t="s">
        <v>163</v>
      </c>
      <c r="E79" s="1" t="s">
        <v>128</v>
      </c>
      <c r="F79" s="18">
        <f>F69</f>
        <v>5</v>
      </c>
      <c r="G79" s="18">
        <f>'Input - Enterprise'!E27</f>
        <v>0.15</v>
      </c>
      <c r="H79" s="18">
        <f ca="1">(Result_EmissionsForWholeProductionCycle_Method1/F79)*G79</f>
        <v>96.880678300208615</v>
      </c>
      <c r="I79" s="18">
        <f ca="1">(Result_EmissionsForWholeProductionCycle_Method2/F79)*G79</f>
        <v>97.154822058796881</v>
      </c>
      <c r="J79" s="15" t="s">
        <v>123</v>
      </c>
      <c r="K79" s="8"/>
    </row>
    <row r="80" spans="1:11" ht="15.75" x14ac:dyDescent="0.25">
      <c r="C80" s="8"/>
      <c r="D80" s="1" t="s">
        <v>164</v>
      </c>
      <c r="E80" s="1" t="s">
        <v>128</v>
      </c>
      <c r="F80" s="18">
        <f>F69</f>
        <v>5</v>
      </c>
      <c r="G80" s="18">
        <f>G79</f>
        <v>0.15</v>
      </c>
      <c r="H80" s="18">
        <f ca="1">(Result_NetEmissions_Method1/F80)*G80</f>
        <v>96.880678300208615</v>
      </c>
      <c r="I80" s="18">
        <f ca="1">(Result_NetEmissions_Method2/F80)*G80</f>
        <v>97.154822058796881</v>
      </c>
      <c r="J80" s="15" t="s">
        <v>123</v>
      </c>
      <c r="K80" s="8"/>
    </row>
    <row r="81" spans="3:11" ht="15.75" x14ac:dyDescent="0.25">
      <c r="C81" s="8"/>
      <c r="D81" s="1" t="s">
        <v>165</v>
      </c>
      <c r="E81" s="1" t="s">
        <v>129</v>
      </c>
      <c r="F81" s="18">
        <f>F71</f>
        <v>1</v>
      </c>
      <c r="G81" s="18">
        <f>'Input - Enterprise'!E28</f>
        <v>0.05</v>
      </c>
      <c r="H81" s="18">
        <f ca="1">(Result_EmissionsForWholeProductionCycle_Method1/F81)*G81</f>
        <v>161.4677971670144</v>
      </c>
      <c r="I81" s="18">
        <f ca="1">(Result_EmissionsForWholeProductionCycle_Method2/F81)*G81</f>
        <v>161.92470343132814</v>
      </c>
      <c r="J81" s="15" t="s">
        <v>124</v>
      </c>
      <c r="K81" s="8"/>
    </row>
    <row r="82" spans="3:11" ht="15.75" x14ac:dyDescent="0.25">
      <c r="C82" s="8"/>
      <c r="D82" s="1" t="s">
        <v>166</v>
      </c>
      <c r="E82" s="1" t="s">
        <v>129</v>
      </c>
      <c r="F82" s="18">
        <f>F72</f>
        <v>1</v>
      </c>
      <c r="G82" s="18">
        <f>G81</f>
        <v>0.05</v>
      </c>
      <c r="H82" s="18">
        <f ca="1">(Result_NetEmissions_Method1/F82)*G82</f>
        <v>161.4677971670144</v>
      </c>
      <c r="I82" s="18">
        <f ca="1">(Result_NetEmissions_Method2/F82)*G82</f>
        <v>161.92470343132814</v>
      </c>
      <c r="J82" s="15" t="s">
        <v>124</v>
      </c>
      <c r="K82" s="8"/>
    </row>
    <row r="83" spans="3:11" ht="15.75" x14ac:dyDescent="0.25">
      <c r="C83" s="8"/>
      <c r="D83" s="1"/>
      <c r="E83" s="1"/>
      <c r="F83" s="18"/>
      <c r="G83" s="18"/>
      <c r="H83" s="18"/>
      <c r="I83" s="18"/>
      <c r="J83" s="8"/>
      <c r="K83" s="8"/>
    </row>
    <row r="84" spans="3:11" ht="15.75" x14ac:dyDescent="0.25">
      <c r="C84" s="8"/>
      <c r="D84" s="1"/>
      <c r="E84" s="1"/>
      <c r="F84" s="1"/>
      <c r="G84" s="1"/>
      <c r="H84" s="1"/>
      <c r="I84" s="1"/>
      <c r="J84" s="1"/>
      <c r="K84"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5"/>
  <sheetViews>
    <sheetView showGridLines="0" topLeftCell="A3" workbookViewId="0" zoomScale="100" zoomScaleNormal="100">
      <selection activeCell="A65" sqref="A65"/>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7" t="s">
        <v>155</v>
      </c>
      <c r="D1" s="31"/>
      <c r="E1" s="31"/>
      <c r="F1" s="31"/>
      <c r="G1" s="31"/>
      <c r="H1" s="31"/>
      <c r="I1" s="31"/>
      <c r="J1" s="31"/>
    </row>
    <row r="2" spans="1:10" x14ac:dyDescent="0.25">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ht="23.25" x14ac:dyDescent="0.25">
      <c r="A5" s="5" t="str">
        <f>HYPERLINK("#'Results'!A1", "Results")</f>
        <v>Results</v>
      </c>
      <c r="D5" s="2" t="s">
        <v>88</v>
      </c>
      <c r="E5" s="34"/>
      <c r="F5" s="34"/>
      <c r="G5" s="34"/>
    </row>
    <row r="6" spans="1:10" x14ac:dyDescent="0.25">
      <c r="D6" s="41"/>
      <c r="E6" s="34"/>
      <c r="F6" s="34"/>
      <c r="G6" s="34"/>
    </row>
    <row r="7" spans="1:10" x14ac:dyDescent="0.25">
      <c r="D7" s="1" t="s">
        <v>89</v>
      </c>
      <c r="E7" s="43" t="s">
        <v>90</v>
      </c>
      <c r="F7" s="26"/>
      <c r="G7" s="34"/>
    </row>
    <row r="8" spans="1:10" x14ac:dyDescent="0.25">
      <c r="A8" s="7" t="s">
        <v>0</v>
      </c>
      <c r="D8" s="22" t="s">
        <v>91</v>
      </c>
      <c r="E8" s="43" t="s">
        <v>92</v>
      </c>
      <c r="F8" s="34"/>
      <c r="G8" s="34"/>
    </row>
    <row r="9" spans="1:10" x14ac:dyDescent="0.25">
      <c r="A9" s="98" t="str">
        <f>HYPERLINK("#'Input - Enterprise'!A1", "Enterprise")</f>
        <v>Enterprise</v>
      </c>
      <c r="D9" s="34"/>
      <c r="E9" s="34"/>
      <c r="F9" s="34"/>
      <c r="G9" s="34"/>
    </row>
    <row r="10" spans="1:10" x14ac:dyDescent="0.25">
      <c r="A10" s="5" t="str">
        <f>HYPERLINK("#'Input - Site'!A1", "Site")</f>
        <v>Site</v>
      </c>
      <c r="D10" s="45" t="s">
        <v>93</v>
      </c>
      <c r="E10" s="46"/>
      <c r="F10" s="47"/>
      <c r="G10" s="48"/>
    </row>
    <row r="11" spans="1:10" x14ac:dyDescent="0.25">
      <c r="A11" s="5" t="str">
        <f>HYPERLINK("#'Input - Dairy'!A1", "Dairy")</f>
        <v>Dairy</v>
      </c>
      <c r="D11" s="34"/>
      <c r="E11" s="34"/>
      <c r="F11" s="34"/>
      <c r="G11" s="34"/>
    </row>
    <row r="12" spans="1:10" x14ac:dyDescent="0.25">
      <c r="A12" s="5" t="str">
        <f>HYPERLINK("#'Input - Dairy (Enteric)'!A1", "Dairy (Enteric)")</f>
        <v>Dairy (Enteric)</v>
      </c>
      <c r="D12" s="22" t="s">
        <v>16</v>
      </c>
      <c r="E12" s="24">
        <v>45292</v>
      </c>
      <c r="F12" s="26" t="s">
        <v>94</v>
      </c>
      <c r="G12" s="34"/>
    </row>
    <row r="13" spans="1:10" x14ac:dyDescent="0.25">
      <c r="A13" s="5" t="str">
        <f>HYPERLINK("#'Input - Livestock sales'!A1", "Livestock sales")</f>
        <v>Livestock sales</v>
      </c>
      <c r="D13" s="22" t="s">
        <v>17</v>
      </c>
      <c r="E13" s="50">
        <f>DATE(YEAR(E12)+1,MONTH(E12),DAY(E12))-1</f>
        <v>45657</v>
      </c>
      <c r="F13" s="26" t="s">
        <v>95</v>
      </c>
      <c r="G13" s="34"/>
    </row>
    <row r="14" spans="1:10" x14ac:dyDescent="0.25">
      <c r="A14" s="5" t="str">
        <f>HYPERLINK("#'Input - Dairy cattle purchases'!A1", "Dairy cattle purchases")</f>
        <v>Dairy cattle purchases</v>
      </c>
      <c r="F14" s="34"/>
      <c r="G14" s="34"/>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94</v>
      </c>
    </row>
    <row r="19" spans="1:7" x14ac:dyDescent="0.25">
      <c r="A19" s="5" t="str">
        <f>HYPERLINK("#'Input - Electricity'!A1", "Electricity")</f>
        <v>Electricity</v>
      </c>
      <c r="D19" s="1" t="s">
        <v>14</v>
      </c>
      <c r="E19" s="24">
        <v>45747</v>
      </c>
      <c r="F19" s="26" t="s">
        <v>94</v>
      </c>
    </row>
    <row r="20" spans="1:7" x14ac:dyDescent="0.25">
      <c r="A20" s="5" t="str">
        <f>HYPERLINK("#'Input - Common farm inputs'!A1", "Common farm inputs")</f>
        <v>Common farm inputs</v>
      </c>
      <c r="D20" s="1" t="s">
        <v>15</v>
      </c>
      <c r="E20" s="25">
        <f>DATEDIF(E18,E19+1,"m")</f>
        <v>17</v>
      </c>
      <c r="F20" s="26" t="s">
        <v>119</v>
      </c>
    </row>
    <row r="21" spans="1:7" x14ac:dyDescent="0.25">
      <c r="A21" s="5" t="str">
        <f>HYPERLINK("#'Input - Crop pasture farm input'!A1", "Crop pasture farm input")</f>
        <v>Crop pasture farm input</v>
      </c>
    </row>
    <row r="22" spans="1:7" x14ac:dyDescent="0.25">
      <c r="A22" s="5" t="str">
        <f>HYPERLINK("#'Input - Livestock farm Inputs'!A1", "Livestock farm Inputs")</f>
        <v>Livestock farm Inputs</v>
      </c>
      <c r="D22" s="1" t="s">
        <v>19</v>
      </c>
      <c r="E22" s="89">
        <f>SUM(Table_Input_LivestockSales[Total liveweight sold])*10^-3</f>
        <v>5</v>
      </c>
      <c r="G22" s="26" t="s">
        <v>20</v>
      </c>
    </row>
    <row r="23" spans="1:7" x14ac:dyDescent="0.25">
      <c r="A23" s="5" t="str">
        <f>HYPERLINK("#'Input - Freight'!A1", "Freight")</f>
        <v>Freight</v>
      </c>
      <c r="D23" s="1" t="s">
        <v>191</v>
      </c>
      <c r="E23" s="89" t="str" cm="1">
        <f t="array" ref="E23">X_Cell_Dairy_MilkProductionUnit</f>
        <v>Litres of milk</v>
      </c>
      <c r="G23" s="26"/>
    </row>
    <row r="24" spans="1:7" x14ac:dyDescent="0.25">
      <c r="A24" s="5" t="str">
        <f>HYPERLINK("#'Input - Manure sent off-site'!A1", "Manure sent off-site")</f>
        <v>Manure sent off-site</v>
      </c>
      <c r="D24" s="1" t="s">
        <v>190</v>
      </c>
      <c r="E24" s="89" cm="1">
        <f t="array" ref="E24">X_Cell_Dairy_MilkProductionAmount*365*IF(E23="Milk solds", 1, 1.03)</f>
        <v>7519</v>
      </c>
      <c r="G24" s="26" t="s">
        <v>20</v>
      </c>
    </row>
    <row r="25" spans="1:7" x14ac:dyDescent="0.25">
      <c r="A25" s="5" t="str">
        <f>HYPERLINK("#'Input - Solid waste'!A1", "Solid waste")</f>
        <v>Solid waste</v>
      </c>
      <c r="D25" s="1" t="s">
        <v>193</v>
      </c>
      <c r="E25" s="85">
        <v>1</v>
      </c>
      <c r="G25" s="26" t="s">
        <v>20</v>
      </c>
    </row>
    <row r="26" spans="1:7" x14ac:dyDescent="0.25">
      <c r="A26" s="5" t="str">
        <f>HYPERLINK("#'Input - Data quality'!A1", "Data quality")</f>
        <v>Data quality</v>
      </c>
    </row>
    <row r="27" spans="1:7" x14ac:dyDescent="0.25">
      <c r="D27" s="1" t="s">
        <v>157</v>
      </c>
      <c r="E27" s="28">
        <v>0.15</v>
      </c>
      <c r="G27" s="26" t="s">
        <v>156</v>
      </c>
    </row>
    <row r="28" spans="1:7" x14ac:dyDescent="0.25">
      <c r="D28" s="1" t="s">
        <v>158</v>
      </c>
      <c r="E28" s="28">
        <v>0.05</v>
      </c>
      <c r="G28" s="26" t="s">
        <v>156</v>
      </c>
    </row>
    <row r="29" spans="1:7" x14ac:dyDescent="0.25">
      <c r="A29" s="6" t="s">
        <v>2</v>
      </c>
      <c r="D29" s="1" t="s">
        <v>192</v>
      </c>
      <c r="E29" s="28">
        <v>0.8</v>
      </c>
      <c r="G29" s="26" t="s">
        <v>156</v>
      </c>
    </row>
    <row r="30" spans="1:7" x14ac:dyDescent="0.25">
      <c r="A30" s="5" t="str">
        <f>HYPERLINK("#'5.1.1.1-2 Inorganic fert N2O'!A1", "5.1.1.1-2 Inorganic fert N2O")</f>
        <v>5.1.1.1-2 Inorganic fert N2O</v>
      </c>
    </row>
    <row r="31" spans="1:7" x14ac:dyDescent="0.25">
      <c r="A31" s="5" t="str">
        <f>HYPERLINK("#'5.1.1.3-4 Inorganic fert CO2'!A1", "5.1.1.3-4 Inorganic fert CO2")</f>
        <v>5.1.1.3-4 Inorganic fert CO2</v>
      </c>
    </row>
    <row r="32" spans="1:7"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workbookViewId="0" zoomScale="100" zoomScaleNormal="100">
      <selection activeCell="A65" sqref="A65"/>
    </sheetView>
  </sheetViews>
  <sheetFormatPr defaultColWidth="9.140625" defaultRowHeight="15.75" x14ac:dyDescent="0.25"/>
  <cols>
    <col min="1" max="1" width="30.7109375" style="4" customWidth="1"/>
    <col min="2" max="2" width="4.7109375" style="31" customWidth="1"/>
    <col min="3" max="3" width="4.7109375" style="34" customWidth="1"/>
    <col min="4" max="4" width="60.7109375" style="34" customWidth="1"/>
    <col min="5" max="5" width="50.7109375" style="34" customWidth="1"/>
    <col min="6" max="11" width="28.7109375" style="34" customWidth="1"/>
    <col min="12" max="25" width="28.7109375" style="31" customWidth="1"/>
    <col min="26" max="27" width="9.140625" style="31"/>
    <col min="28" max="16384" width="9.140625" style="34"/>
  </cols>
  <sheetData>
    <row r="1" spans="1:24" s="31" customFormat="1" ht="30" customHeight="1" x14ac:dyDescent="0.35">
      <c r="A1" s="16" t="e" vm="1">
        <v>#VALUE!</v>
      </c>
      <c r="C1" s="37" t="s">
        <v>87</v>
      </c>
    </row>
    <row r="2" spans="1:24" s="31" customFormat="1" ht="20.100000000000001" customHeight="1" x14ac:dyDescent="0.25">
      <c r="A2"/>
      <c r="C2" s="3"/>
      <c r="D2" s="3"/>
      <c r="E2" s="3"/>
      <c r="F2" s="3"/>
      <c r="G2" s="3"/>
      <c r="H2" s="3"/>
      <c r="I2" s="3"/>
      <c r="J2" s="3"/>
    </row>
    <row r="3" spans="1:24" ht="20.100000000000001" customHeight="1" x14ac:dyDescent="0.25">
      <c r="A3" s="5" t="str">
        <f>HYPERLINK("#'Home'!A1", "Home")</f>
        <v>Home</v>
      </c>
      <c r="C3" s="38"/>
      <c r="D3" s="38"/>
      <c r="E3" s="38"/>
      <c r="F3" s="38"/>
      <c r="G3" s="38"/>
      <c r="H3" s="38"/>
      <c r="I3" s="38"/>
      <c r="J3" s="38"/>
      <c r="K3" s="38"/>
      <c r="M3" s="33"/>
      <c r="N3" s="33"/>
      <c r="O3" s="33"/>
      <c r="P3" s="33"/>
      <c r="Q3" s="33"/>
      <c r="R3" s="33"/>
      <c r="S3" s="33"/>
      <c r="T3" s="33"/>
      <c r="U3" s="33"/>
      <c r="V3" s="33"/>
      <c r="W3" s="33"/>
      <c r="X3" s="33"/>
    </row>
    <row r="4" spans="1:24" ht="20.100000000000001" customHeight="1" x14ac:dyDescent="0.25">
      <c r="A4" s="5" t="str">
        <f>HYPERLINK("#'Overview'!A1", "Overview")</f>
        <v>Overview</v>
      </c>
      <c r="C4" s="39"/>
      <c r="D4" s="39"/>
      <c r="E4" s="39"/>
      <c r="F4" s="39"/>
      <c r="G4" s="39"/>
      <c r="H4" s="39"/>
      <c r="I4" s="39"/>
      <c r="J4" s="39"/>
      <c r="K4" s="39"/>
    </row>
    <row r="5" spans="1:24" ht="20.100000000000001" customHeight="1" x14ac:dyDescent="0.25">
      <c r="A5" s="5" t="str">
        <f>HYPERLINK("#'Results'!A1", "Results")</f>
        <v>Results</v>
      </c>
      <c r="D5" s="2" t="s">
        <v>96</v>
      </c>
      <c r="N5" s="40"/>
    </row>
    <row r="6" spans="1:24" ht="20.100000000000001" customHeight="1" x14ac:dyDescent="0.25">
      <c r="A6"/>
      <c r="N6" s="42"/>
    </row>
    <row r="7" spans="1:24" ht="20.100000000000001" customHeight="1" x14ac:dyDescent="0.25">
      <c r="A7"/>
      <c r="D7" s="52" t="s">
        <v>97</v>
      </c>
      <c r="E7" s="53"/>
      <c r="F7" s="53"/>
      <c r="G7" s="54"/>
    </row>
    <row r="8" spans="1:24" ht="20.100000000000001" customHeight="1" x14ac:dyDescent="0.25">
      <c r="A8" s="7" t="s">
        <v>0</v>
      </c>
      <c r="D8" s="55" t="s">
        <v>98</v>
      </c>
      <c r="E8" s="56"/>
      <c r="F8" s="56"/>
      <c r="G8" s="57"/>
    </row>
    <row r="9" spans="1:24" ht="20.100000000000001" customHeight="1" x14ac:dyDescent="0.25">
      <c r="A9" s="5" t="str">
        <f>HYPERLINK("#'Input - Enterprise'!A1", "Enterprise")</f>
        <v>Enterprise</v>
      </c>
      <c r="D9" s="1"/>
      <c r="E9" s="58"/>
      <c r="F9" s="26"/>
      <c r="N9" s="44"/>
    </row>
    <row r="10" spans="1:24" ht="20.100000000000001" customHeight="1" x14ac:dyDescent="0.25">
      <c r="A10" s="98" t="str">
        <f>HYPERLINK("#'Input - Site'!A1", "Site")</f>
        <v>Site</v>
      </c>
      <c r="D10" s="1" t="s">
        <v>99</v>
      </c>
      <c r="E10" s="23" t="s">
        <v>100</v>
      </c>
      <c r="F10" s="26" t="s">
        <v>101</v>
      </c>
      <c r="N10" s="44"/>
    </row>
    <row r="11" spans="1:24" ht="20.100000000000001" customHeight="1" x14ac:dyDescent="0.25">
      <c r="A11" s="5" t="str">
        <f>HYPERLINK("#'Input - Dairy'!A1", "Dairy")</f>
        <v>Dairy</v>
      </c>
      <c r="D11" s="1" t="s">
        <v>102</v>
      </c>
      <c r="E11" s="23" t="s">
        <v>103</v>
      </c>
      <c r="F11" s="26" t="s">
        <v>101</v>
      </c>
      <c r="G11" s="1"/>
      <c r="N11" s="49"/>
    </row>
    <row r="12" spans="1:24" ht="20.100000000000001" customHeight="1" x14ac:dyDescent="0.25">
      <c r="A12" s="5" t="str">
        <f>HYPERLINK("#'Input - Dairy (Enteric)'!A1", "Dairy (Enteric)")</f>
        <v>Dairy (Enteric)</v>
      </c>
      <c r="D12" s="1" t="s">
        <v>104</v>
      </c>
      <c r="E12" s="23" t="s">
        <v>105</v>
      </c>
      <c r="F12" s="26" t="s">
        <v>101</v>
      </c>
    </row>
    <row r="13" spans="1:24" ht="20.100000000000001" customHeight="1" x14ac:dyDescent="0.25">
      <c r="A13" s="5" t="str">
        <f>HYPERLINK("#'Input - Livestock sales'!A1", "Livestock sales")</f>
        <v>Livestock sales</v>
      </c>
      <c r="D13" s="1" t="s">
        <v>37</v>
      </c>
      <c r="E13" s="43">
        <v>307.7</v>
      </c>
      <c r="F13" s="26" t="s">
        <v>106</v>
      </c>
      <c r="N13" s="51"/>
      <c r="O13" s="51"/>
    </row>
    <row r="14" spans="1:24" ht="20.100000000000001" customHeight="1" x14ac:dyDescent="0.25">
      <c r="A14" s="5" t="str">
        <f>HYPERLINK("#'Input - Dairy cattle purchases'!A1", "Dairy cattle purchases")</f>
        <v>Dairy cattle purchases</v>
      </c>
      <c r="D14" s="1" t="s">
        <v>107</v>
      </c>
      <c r="E14" s="43">
        <v>18</v>
      </c>
      <c r="F14" s="26" t="s">
        <v>108</v>
      </c>
      <c r="N14" s="51"/>
      <c r="O14" s="51"/>
    </row>
    <row r="15" spans="1:24" ht="20.100000000000001" customHeight="1" x14ac:dyDescent="0.25">
      <c r="A15" s="5" t="str">
        <f>HYPERLINK("#'Input - Pasture'!A1", "Pasture")</f>
        <v>Pasture</v>
      </c>
      <c r="D15" s="1" t="s">
        <v>109</v>
      </c>
      <c r="E15" s="43">
        <v>601</v>
      </c>
      <c r="F15" s="26" t="s">
        <v>110</v>
      </c>
      <c r="N15" s="51"/>
      <c r="O15" s="51"/>
    </row>
    <row r="16" spans="1:24" ht="20.100000000000001" customHeight="1" x14ac:dyDescent="0.25">
      <c r="A16" s="5" t="str">
        <f>HYPERLINK("#'Input - Fert Prod System'!A1", "Fert Prod System")</f>
        <v>Fert Prod System</v>
      </c>
      <c r="D16" s="22" t="s">
        <v>111</v>
      </c>
      <c r="E16" s="43">
        <v>1326</v>
      </c>
      <c r="F16" s="26" t="s">
        <v>110</v>
      </c>
      <c r="N16" s="51"/>
      <c r="O16" s="51"/>
    </row>
    <row r="17" spans="1:25" ht="20.100000000000001" customHeight="1" x14ac:dyDescent="0.25">
      <c r="A17" s="5" t="str">
        <f>HYPERLINK("#'Input - Fertiliser'!A1", "Fertiliser")</f>
        <v>Fertiliser</v>
      </c>
      <c r="D17" s="1" t="s">
        <v>112</v>
      </c>
      <c r="E17" s="43">
        <v>7</v>
      </c>
      <c r="F17" s="26" t="s">
        <v>113</v>
      </c>
    </row>
    <row r="18" spans="1:25" ht="20.100000000000001" customHeight="1" x14ac:dyDescent="0.25">
      <c r="A18" s="5" t="str">
        <f>HYPERLINK("#'Input - Fuel'!A1", "Fuel")</f>
        <v>Fuel</v>
      </c>
      <c r="D18" s="22" t="s">
        <v>114</v>
      </c>
      <c r="E18" s="25">
        <f>E15/E16</f>
        <v>0.45324283559577677</v>
      </c>
      <c r="F18" s="26"/>
    </row>
    <row r="19" spans="1:25" ht="20.100000000000001" customHeight="1" x14ac:dyDescent="0.25">
      <c r="A19" s="5" t="str">
        <f>HYPERLINK("#'Input - Electricity'!A1", "Electricity")</f>
        <v>Electricity</v>
      </c>
      <c r="D19" s="22" t="s">
        <v>65</v>
      </c>
      <c r="E19" s="25" t="str">
        <f>Common_InputFunctions.Utility_LookupItemFromMinMax(E15,Table_SourceData_RainfallZones[Min rainfall],Table_SourceData_RainfallZones[Max rainfall],Table_SourceData_RainfallZones[Rainfall Zone])</f>
        <v>High rainfall</v>
      </c>
      <c r="G19" s="59"/>
      <c r="N19" s="40"/>
    </row>
    <row r="20" spans="1:25" ht="20.100000000000001" customHeight="1" x14ac:dyDescent="0.25">
      <c r="A20" s="5" t="str">
        <f>HYPERLINK("#'Input - Common farm inputs'!A1", "Common farm inputs")</f>
        <v>Common farm inputs</v>
      </c>
      <c r="D20" s="1" t="s">
        <v>32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8"/>
      <c r="N20" s="42"/>
    </row>
    <row r="21" spans="1:25" ht="20.100000000000001" customHeight="1" x14ac:dyDescent="0.25">
      <c r="A21" s="5" t="str">
        <f>HYPERLINK("#'Input - Crop pasture farm input'!A1", "Crop pasture farm input")</f>
        <v>Crop pasture farm input</v>
      </c>
      <c r="D21" s="1" t="s">
        <v>115</v>
      </c>
      <c r="E21" s="25" t="str">
        <f>Common_InputFunctions.Utility_LookupValueInTable($E$20,Table_SourceData_WetDryZones[Climate zone],Table_SourceData_WetDryZones[Wet or Dry Zone])</f>
        <v>Dry climate zone</v>
      </c>
      <c r="F21" s="1"/>
      <c r="G21" s="58"/>
    </row>
    <row r="22" spans="1:25" ht="20.100000000000001" customHeight="1" x14ac:dyDescent="0.25">
      <c r="A22" s="5" t="str">
        <f>HYPERLINK("#'Input - Livestock farm Inputs'!A1", "Livestock farm Inputs")</f>
        <v>Livestock farm Inputs</v>
      </c>
      <c r="D22" s="1" t="s">
        <v>69</v>
      </c>
      <c r="E22" s="25" t="str">
        <f>Common_InputFunctions.Utility_LookupItemFromMinMax(E14,Table_SourceData_TemperatureZones[Min MAT],Table_SourceData_TemperatureZones[Max MAT],Table_SourceData_TemperatureZones[Temperature Zone])</f>
        <v>Temperate</v>
      </c>
      <c r="G22" s="62"/>
    </row>
    <row r="23" spans="1:25" ht="20.100000000000001" customHeight="1" x14ac:dyDescent="0.25">
      <c r="A23" s="5" t="str">
        <f>HYPERLINK("#'Input - Freight'!A1", "Freight")</f>
        <v>Freight</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Solid waste'!A1", "Solid waste")</f>
        <v>Solid waste</v>
      </c>
      <c r="N25" s="42"/>
    </row>
    <row r="26" spans="1:25" ht="20.100000000000001" customHeight="1" x14ac:dyDescent="0.25">
      <c r="A26" s="5" t="str">
        <f>HYPERLINK("#'Input - Data quality'!A1", "Data quality")</f>
        <v>Data quality</v>
      </c>
    </row>
    <row r="27" spans="1:25" ht="20.100000000000001" customHeight="1" x14ac:dyDescent="0.25">
      <c r="A27"/>
    </row>
    <row r="28" spans="1:25" ht="20.100000000000001" customHeight="1" x14ac:dyDescent="0.25">
      <c r="A28"/>
    </row>
    <row r="29" spans="1:25" ht="20.100000000000001" customHeight="1" x14ac:dyDescent="0.25">
      <c r="A29" s="6" t="s">
        <v>2</v>
      </c>
    </row>
    <row r="30" spans="1:25" ht="20.100000000000001" customHeight="1" x14ac:dyDescent="0.25">
      <c r="A30" s="5" t="str">
        <f>HYPERLINK("#'5.1.1.1-2 Inorganic fert N2O'!A1", "5.1.1.1-2 Inorganic fert N2O")</f>
        <v>5.1.1.1-2 Inorganic fert N2O</v>
      </c>
      <c r="L30" s="60"/>
      <c r="M30" s="60"/>
      <c r="N30" s="60"/>
      <c r="O30" s="60"/>
      <c r="P30" s="60"/>
      <c r="Q30" s="60"/>
      <c r="R30" s="60"/>
      <c r="S30" s="60"/>
      <c r="T30" s="60"/>
      <c r="U30" s="60"/>
      <c r="V30" s="60"/>
      <c r="W30" s="60"/>
      <c r="X30" s="60"/>
      <c r="Y30" s="60"/>
    </row>
    <row r="31" spans="1:25" ht="20.100000000000001" customHeight="1" x14ac:dyDescent="0.25">
      <c r="A31" s="5" t="str">
        <f>HYPERLINK("#'5.1.1.3-4 Inorganic fert CO2'!A1", "5.1.1.3-4 Inorganic fert CO2")</f>
        <v>5.1.1.3-4 Inorganic fert CO2</v>
      </c>
      <c r="L31" s="61"/>
      <c r="M31" s="61"/>
      <c r="N31" s="61"/>
      <c r="O31" s="61"/>
      <c r="P31" s="61"/>
      <c r="Q31" s="61"/>
      <c r="R31" s="61"/>
      <c r="S31" s="61"/>
      <c r="T31" s="61"/>
      <c r="U31" s="61"/>
      <c r="V31" s="61"/>
      <c r="W31" s="61"/>
      <c r="X31" s="61"/>
      <c r="Y31" s="61"/>
    </row>
    <row r="32" spans="1:25" ht="20.100000000000001" customHeight="1" x14ac:dyDescent="0.25">
      <c r="A32" s="5" t="str">
        <f>HYPERLINK("#'5.2.1.1-2 Organic Fert N2O'!A1", "5.2.1.1-2 Organic fert N2O")</f>
        <v>5.2.1.1-2 Organic fert N2O</v>
      </c>
      <c r="L32" s="61"/>
      <c r="M32" s="61"/>
      <c r="N32" s="61"/>
      <c r="O32" s="61"/>
      <c r="P32" s="61"/>
      <c r="Q32" s="61"/>
      <c r="R32" s="61"/>
      <c r="S32" s="61"/>
      <c r="T32" s="61"/>
      <c r="U32" s="61"/>
      <c r="V32" s="61"/>
      <c r="W32" s="61"/>
      <c r="X32" s="61"/>
      <c r="Y32" s="61"/>
    </row>
    <row r="33" spans="1:25" ht="20.100000000000001" customHeight="1" x14ac:dyDescent="0.25">
      <c r="A33" s="5" t="str">
        <f>HYPERLINK("#'5.3.1.1-2 Lime CO2'!A1", "5.3.1.1-2 Lime CO2")</f>
        <v>5.3.1.1-2 Lime CO2</v>
      </c>
      <c r="L33" s="61"/>
      <c r="M33" s="61"/>
      <c r="N33" s="61"/>
      <c r="O33" s="61"/>
      <c r="P33" s="61"/>
      <c r="Q33" s="61"/>
      <c r="R33" s="61"/>
      <c r="S33" s="61"/>
      <c r="T33" s="61"/>
      <c r="U33" s="61"/>
      <c r="V33" s="61"/>
      <c r="W33" s="61"/>
      <c r="X33" s="61"/>
      <c r="Y33" s="61"/>
    </row>
    <row r="34" spans="1:25" ht="20.100000000000001" customHeight="1" x14ac:dyDescent="0.25">
      <c r="A34" s="5" t="str">
        <f>HYPERLINK("#'5.4.1.1-4 Atmos deposition'!A1", "5.4.1.1-4 Atmos. deposition")</f>
        <v>5.4.1.1-4 Atmos. deposition</v>
      </c>
      <c r="J34" s="63"/>
      <c r="K34" s="64"/>
      <c r="L34" s="61"/>
      <c r="M34" s="61"/>
      <c r="N34" s="61"/>
      <c r="O34" s="61"/>
      <c r="P34" s="61"/>
      <c r="Q34" s="61"/>
      <c r="R34" s="61"/>
      <c r="S34" s="61"/>
      <c r="T34" s="61"/>
      <c r="U34" s="61"/>
      <c r="V34" s="61"/>
      <c r="W34" s="61"/>
      <c r="X34" s="61"/>
      <c r="Y34" s="61"/>
    </row>
    <row r="35" spans="1:25" ht="20.100000000000001" customHeight="1" x14ac:dyDescent="0.25">
      <c r="A35" s="5" t="str">
        <f>HYPERLINK("#'5.5.1.1-2 Leaching and runoff'!A1", "5.5.1.1-2 Leaching &amp; runoff")</f>
        <v>5.5.1.1-2 Leaching &amp; runoff</v>
      </c>
      <c r="J35" s="63"/>
      <c r="K35" s="64"/>
      <c r="L35" s="61"/>
      <c r="M35" s="61"/>
      <c r="N35" s="61"/>
      <c r="O35" s="61"/>
      <c r="P35" s="61"/>
      <c r="Q35" s="61"/>
      <c r="R35" s="61"/>
      <c r="S35" s="61"/>
      <c r="T35" s="61"/>
      <c r="U35" s="61"/>
      <c r="V35" s="61"/>
      <c r="W35" s="61"/>
      <c r="X35" s="61"/>
      <c r="Y35" s="61"/>
    </row>
    <row r="36" spans="1:25" ht="20.100000000000001" customHeight="1" x14ac:dyDescent="0.25">
      <c r="A36" s="5" t="str">
        <f>HYPERLINK("#'6.2.1.1-2 Pasture residue N2O'!A1", "6.2.1.1-2 Pasture residue N2O")</f>
        <v>6.2.1.1-2 Pasture residue N2O</v>
      </c>
      <c r="D36" s="65"/>
      <c r="E36" s="65"/>
      <c r="F36" s="66"/>
      <c r="G36" s="63"/>
      <c r="H36" s="63"/>
      <c r="I36" s="67"/>
      <c r="J36" s="63"/>
      <c r="K36" s="64"/>
      <c r="L36" s="61"/>
      <c r="M36" s="61"/>
      <c r="N36" s="61"/>
      <c r="O36" s="61"/>
      <c r="P36" s="61"/>
      <c r="Q36" s="61"/>
      <c r="R36" s="61"/>
      <c r="S36" s="61"/>
      <c r="T36" s="61"/>
      <c r="U36" s="61"/>
      <c r="V36" s="61"/>
      <c r="W36" s="61"/>
      <c r="X36" s="61"/>
      <c r="Y36" s="61"/>
    </row>
    <row r="37" spans="1:25" ht="20.100000000000001" customHeight="1" x14ac:dyDescent="0.25">
      <c r="A37" s="5" t="str">
        <f>HYPERLINK("#'6.3.1.1-2 Leach runoff pasture'!A1", "6.3.1.1-2 Leach &amp; runoff (pasture)")</f>
        <v>6.3.1.1-2 Leach &amp; runoff (pasture)</v>
      </c>
      <c r="D37" s="65"/>
      <c r="E37" s="65"/>
      <c r="F37" s="66"/>
      <c r="G37" s="63"/>
      <c r="H37" s="63"/>
      <c r="I37" s="67"/>
      <c r="J37" s="63"/>
      <c r="K37" s="64"/>
      <c r="L37" s="61"/>
      <c r="M37" s="61"/>
      <c r="N37" s="61"/>
      <c r="O37" s="61"/>
      <c r="P37" s="61"/>
      <c r="Q37" s="61"/>
      <c r="R37" s="61"/>
      <c r="S37" s="61"/>
      <c r="T37" s="61"/>
      <c r="U37" s="61"/>
      <c r="V37" s="61"/>
      <c r="W37" s="61"/>
      <c r="X37" s="61"/>
      <c r="Y37" s="61"/>
    </row>
    <row r="38" spans="1:25" ht="20.100000000000001" customHeight="1" x14ac:dyDescent="0.25">
      <c r="A38" s="5" t="str">
        <f>HYPERLINK("#'8.1.1.1-2 Transport fuel'!A1", "8.1.1.1-2 Transport fuel")</f>
        <v>8.1.1.1-2 Transport fuel</v>
      </c>
      <c r="D38" s="65"/>
      <c r="E38" s="65"/>
      <c r="F38" s="66"/>
      <c r="G38" s="63"/>
      <c r="H38" s="63"/>
      <c r="I38" s="67"/>
      <c r="J38" s="63"/>
      <c r="K38" s="64"/>
      <c r="L38" s="61"/>
      <c r="M38" s="61"/>
      <c r="N38" s="61"/>
      <c r="O38" s="61"/>
      <c r="P38" s="61"/>
      <c r="Q38" s="61"/>
      <c r="R38" s="61"/>
      <c r="S38" s="61"/>
      <c r="T38" s="61"/>
      <c r="U38" s="61"/>
      <c r="V38" s="61"/>
      <c r="W38" s="61"/>
      <c r="X38" s="61"/>
      <c r="Y38" s="61"/>
    </row>
    <row r="39" spans="1:25" ht="20.100000000000001" customHeight="1" x14ac:dyDescent="0.25">
      <c r="A39" s="5" t="str">
        <f>HYPERLINK("#'8.2.1.1-2 Stationary fuel'!A1", "8.2.1.1-2 Stationary fuel")</f>
        <v>8.2.1.1-2 Stationary fuel</v>
      </c>
      <c r="D39" s="65"/>
      <c r="E39" s="65"/>
      <c r="F39" s="66"/>
      <c r="G39" s="63"/>
      <c r="H39" s="63"/>
      <c r="I39" s="67"/>
      <c r="J39" s="63"/>
      <c r="K39" s="64"/>
      <c r="L39" s="61"/>
      <c r="M39" s="61"/>
      <c r="N39" s="61"/>
      <c r="O39" s="61"/>
      <c r="P39" s="61"/>
      <c r="Q39" s="61"/>
      <c r="R39" s="61"/>
      <c r="S39" s="61"/>
      <c r="T39" s="61"/>
      <c r="U39" s="61"/>
      <c r="V39" s="61"/>
      <c r="W39" s="61"/>
      <c r="X39" s="61"/>
      <c r="Y39" s="61"/>
    </row>
    <row r="40" spans="1:25" ht="20.100000000000001" customHeight="1" x14ac:dyDescent="0.25">
      <c r="A40" s="5" t="str">
        <f>HYPERLINK("#'14.1.1-2 Purchased electricity'!A1", "14.1.1-2 Purchased electricity")</f>
        <v>14.1.1-2 Purchased electricity</v>
      </c>
      <c r="D40" s="68"/>
      <c r="E40" s="68"/>
      <c r="F40" s="68"/>
      <c r="G40" s="69"/>
      <c r="H40" s="70"/>
      <c r="I40" s="70"/>
      <c r="J40" s="70"/>
      <c r="K40" s="70"/>
      <c r="L40" s="71"/>
      <c r="M40" s="71"/>
      <c r="N40" s="71"/>
      <c r="O40" s="71"/>
      <c r="P40" s="71"/>
      <c r="Q40" s="71"/>
      <c r="R40" s="71"/>
      <c r="S40" s="71"/>
      <c r="T40" s="71"/>
      <c r="U40" s="71"/>
      <c r="V40" s="71"/>
      <c r="W40" s="71"/>
      <c r="X40" s="71"/>
      <c r="Y40" s="71"/>
    </row>
    <row r="41" spans="1:25" ht="20.100000000000001" customHeight="1" x14ac:dyDescent="0.25">
      <c r="A41" s="5" t="str">
        <f>HYPERLINK("#'15 Scope 3'!A1", "15 Scope 3")</f>
        <v>15 Scope 3</v>
      </c>
    </row>
    <row r="42" spans="1:25" ht="20.100000000000001" customHeight="1" x14ac:dyDescent="0.25">
      <c r="A42" s="5" t="str">
        <f>HYPERLINK("#'Calcs - Manure sent off-site'!A1", "Calcs - Manure sent off-site")</f>
        <v>Calcs - Manure sent off-site</v>
      </c>
    </row>
    <row r="43" spans="1:25" ht="20.100000000000001" customHeight="1" x14ac:dyDescent="0.25">
      <c r="A43" s="5" t="str">
        <f>HYPERLINK("#'4.3.1.1-2 Methane'!A1", "4.3.1.1-2 Methane")</f>
        <v>4.3.1.1-2 Methane</v>
      </c>
    </row>
    <row r="44" spans="1:25" ht="20.100000000000001" customHeight="1" x14ac:dyDescent="0.25">
      <c r="A44" s="5" t="str">
        <f>HYPERLINK("#'4.3.1.3-4 Direct N20'!A1", "4.3.1.3-4 Direct N20")</f>
        <v>4.3.1.3-4 Direct N20</v>
      </c>
    </row>
    <row r="45" spans="1:25" ht="20.100000000000001" customHeight="1" x14ac:dyDescent="0.25">
      <c r="A45" s="5" t="str">
        <f>HYPERLINK("#'4.3.1.5 Atmos deposition'!A1", "4.3.1.5 Atmos deposition")</f>
        <v>4.3.1.5 Atmos deposition</v>
      </c>
      <c r="D45" s="2"/>
    </row>
    <row r="46" spans="1:25" ht="20.100000000000001" customHeight="1" x14ac:dyDescent="0.25">
      <c r="A46" s="5" t="str">
        <f>HYPERLINK("#'4.3.1.6-7 Leaching and runoff'!A1", "4.3.1.6-7 Leaching and runoff")</f>
        <v>4.3.1.6-7 Leaching and runoff</v>
      </c>
      <c r="D46" s="2"/>
    </row>
    <row r="47" spans="1:25" ht="20.100000000000001" customHeight="1" x14ac:dyDescent="0.25">
      <c r="A47" s="5" t="str">
        <f>HYPERLINK("#'4.3.1.8 Manure applied to soils'!A1", "4.3.1.8 Manure applied to soils")</f>
        <v>4.3.1.8 Manure applied to soils</v>
      </c>
      <c r="D47" s="72"/>
      <c r="E47" s="72"/>
      <c r="F47" s="72"/>
      <c r="G47" s="72"/>
      <c r="H47" s="72"/>
    </row>
    <row r="48" spans="1:25" ht="20.100000000000001" customHeight="1" x14ac:dyDescent="0.25">
      <c r="A48" s="5" t="str">
        <f>HYPERLINK("#'4.3.1.9 Soil direct N2O'!A1", "4.3.1.9 Soil direct N2O")</f>
        <v>4.3.1.9 Soil direct N2O</v>
      </c>
      <c r="D48" s="73"/>
      <c r="E48" s="73"/>
      <c r="F48" s="74"/>
      <c r="G48" s="74"/>
      <c r="H48" s="73"/>
    </row>
    <row r="49" spans="1:8" ht="20.100000000000001" customHeight="1" x14ac:dyDescent="0.25">
      <c r="A49" s="5" t="str">
        <f>HYPERLINK("#'4.3.1.10-11 Soil Atmos Dep'!A1", "4.3.1.10-11 Soil Atmos Dep")</f>
        <v>4.3.1.10-11 Soil Atmos Dep</v>
      </c>
      <c r="D49" s="73"/>
      <c r="E49" s="73"/>
      <c r="F49" s="74"/>
      <c r="G49" s="74"/>
      <c r="H49" s="73"/>
    </row>
    <row r="50" spans="1:8" ht="20.100000000000001" customHeight="1" x14ac:dyDescent="0.25">
      <c r="A50" s="5" t="str">
        <f>HYPERLINK("#'4.3.1.12-13 Soil leach runoff'!A1", "4.3.1.12-13 Soil leach runoff")</f>
        <v>4.3.1.12-13 Soil leach runoff</v>
      </c>
      <c r="D50" s="73"/>
      <c r="E50" s="73"/>
      <c r="F50" s="74"/>
      <c r="G50" s="74"/>
      <c r="H50" s="73"/>
    </row>
    <row r="51" spans="1:8" ht="20.100000000000001" customHeight="1" x14ac:dyDescent="0.25">
      <c r="A51" s="5" t="str">
        <f>HYPERLINK("#'3.3.1.1-2 Enteric Methane'!A1", "3.3.1.1-2 Enteric Methane")</f>
        <v>3.3.1.1-2 Enteric Methane</v>
      </c>
      <c r="D51" s="75"/>
      <c r="E51" s="76"/>
      <c r="F51" s="76"/>
      <c r="G51" s="76"/>
      <c r="H51" s="77"/>
    </row>
    <row r="52" spans="1:8" ht="20.100000000000001" customHeight="1" x14ac:dyDescent="0.25">
      <c r="A52" s="5" t="str">
        <f>HYPERLINK("#'10.1.1-2 Solid waste treatment'!A1", "10.1.1-2 Solid waste treatment")</f>
        <v>10.1.1-2 Solid waste treatment</v>
      </c>
    </row>
    <row r="53" spans="1:8" ht="20.100000000000001" customHeight="1" x14ac:dyDescent="0.25">
      <c r="A53"/>
    </row>
    <row r="54" spans="1:8" ht="20.100000000000001" customHeight="1" x14ac:dyDescent="0.25">
      <c r="A54"/>
      <c r="G54" s="78"/>
    </row>
    <row r="55" spans="1:8" ht="20.100000000000001" customHeight="1" x14ac:dyDescent="0.25">
      <c r="A55" s="100" t="s">
        <v>1</v>
      </c>
      <c r="D55" s="2"/>
    </row>
    <row r="56" spans="1:8" ht="20.100000000000001" customHeight="1" x14ac:dyDescent="0.25">
      <c r="A56" s="5" t="str">
        <f>HYPERLINK("#'Constants - Dairy'!A1", "Constants - Dairy")</f>
        <v>Constants - Dairy</v>
      </c>
    </row>
    <row r="57" spans="1:8" ht="20.100000000000001" customHeight="1" x14ac:dyDescent="0.25">
      <c r="A57" s="5" t="str">
        <f>HYPERLINK("#'Constants - Ag Residue'!A1", "Constants - Ag residue")</f>
        <v>Constants - Ag residue</v>
      </c>
      <c r="D57" s="79"/>
      <c r="F57" s="80"/>
    </row>
    <row r="58" spans="1:8" ht="20.100000000000001" customHeight="1" x14ac:dyDescent="0.25">
      <c r="A58" s="5" t="str">
        <f>HYPERLINK("#'Constants - Common Livestock'!A1", "Constants - Common Livestock")</f>
        <v>Constants - Common Livestock</v>
      </c>
      <c r="D58" s="1"/>
      <c r="E58" s="81"/>
    </row>
    <row r="59" spans="1:8" ht="20.100000000000001" customHeight="1" x14ac:dyDescent="0.25">
      <c r="A59" s="5" t="str">
        <f>HYPERLINK("#'Constants - Electricity'!A1", "Constants - Electricity")</f>
        <v>Constants - Electricity</v>
      </c>
      <c r="D59" s="1"/>
      <c r="E59" s="81"/>
    </row>
    <row r="60" spans="1:8" ht="20.100000000000001" customHeight="1" x14ac:dyDescent="0.25">
      <c r="A60" s="5" t="str">
        <f>HYPERLINK("#'Constants - Fertiliser'!A1", "Constants - Fertiliser")</f>
        <v>Constants - Fertiliser</v>
      </c>
      <c r="D60" s="1"/>
      <c r="E60" s="82"/>
    </row>
    <row r="61" spans="1:8" ht="20.100000000000001" customHeight="1" x14ac:dyDescent="0.25">
      <c r="A61" s="5" t="str">
        <f>HYPERLINK("#'Constants - Fuel'!A1", "Constants - Fuel")</f>
        <v>Constants - Fuel</v>
      </c>
      <c r="D61" s="1"/>
    </row>
    <row r="62" spans="1:8" ht="20.100000000000001" customHeight="1" x14ac:dyDescent="0.25">
      <c r="A62" s="5" t="str">
        <f>HYPERLINK("#'Constants - Scope 3'!A1", "Constants - Scope 3")</f>
        <v>Constants - Scope 3</v>
      </c>
    </row>
    <row r="63" spans="1:8" ht="20.100000000000001" customHeight="1" x14ac:dyDescent="0.25">
      <c r="A63" s="5" t="str">
        <f>HYPERLINK("#'Constants - Common'!A1", "Constants - Common")</f>
        <v>Constants - Common</v>
      </c>
      <c r="D63" s="79"/>
    </row>
    <row r="64" spans="1:8" ht="20.100000000000001" customHeight="1" x14ac:dyDescent="0.25">
      <c r="A64" s="5" t="str">
        <f>HYPERLINK("#'Acknowledgements'!A1", "Acknowledgements")</f>
        <v>Acknowledgements</v>
      </c>
      <c r="D64" s="1"/>
      <c r="E64" s="81"/>
    </row>
    <row r="65" spans="1:9" ht="20.100000000000001" customHeight="1" x14ac:dyDescent="0.25">
      <c r="A65" s="5" t="str">
        <f>HYPERLINK("#'Constants - Solid Waste'!A1", "Constants - Solid Waste")</f>
        <v>Constants - Solid Waste</v>
      </c>
      <c r="D65" s="1"/>
      <c r="E65" s="81"/>
    </row>
    <row r="66" spans="1:9" ht="20.100000000000001" customHeight="1" x14ac:dyDescent="0.25">
      <c r="A66"/>
      <c r="D66" s="1"/>
      <c r="E66" s="82"/>
    </row>
    <row r="67" spans="1:9" ht="20.100000000000001" customHeight="1" x14ac:dyDescent="0.25">
      <c r="A67"/>
    </row>
    <row r="68" spans="1:9" ht="20.100000000000001" customHeight="1" x14ac:dyDescent="0.25">
      <c r="A68"/>
    </row>
    <row r="69" spans="1:9" ht="20.100000000000001" customHeight="1" x14ac:dyDescent="0.25">
      <c r="A69"/>
      <c r="D69" s="83"/>
      <c r="E69" s="83"/>
      <c r="F69" s="83"/>
      <c r="G69" s="83"/>
      <c r="H69" s="83"/>
      <c r="I69" s="83"/>
    </row>
    <row r="70" spans="1:9" ht="20.100000000000001" customHeight="1" x14ac:dyDescent="0.25">
      <c r="A70"/>
      <c r="D70" s="83"/>
      <c r="E70" s="83"/>
      <c r="F70" s="83"/>
      <c r="G70" s="83"/>
      <c r="H70" s="83"/>
      <c r="I70" s="83"/>
    </row>
    <row r="71" spans="1:9" ht="20.100000000000001" customHeight="1" x14ac:dyDescent="0.25">
      <c r="A71"/>
      <c r="D71" s="83"/>
      <c r="E71" s="83"/>
      <c r="F71" s="83"/>
      <c r="G71" s="83"/>
      <c r="H71" s="83"/>
      <c r="I71" s="83"/>
    </row>
    <row r="72" spans="1:9" ht="20.100000000000001" customHeight="1" x14ac:dyDescent="0.25">
      <c r="A72"/>
      <c r="D72" s="83"/>
      <c r="E72" s="83"/>
      <c r="F72" s="83"/>
      <c r="G72" s="83"/>
      <c r="H72" s="83"/>
      <c r="I72" s="8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D4CE5-9295-41B7-B1B4-125DB45F659F}">
  <dimension ref="A1:X178"/>
  <sheetViews>
    <sheetView showGridLines="0" topLeftCell="D58"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6" customWidth="1"/>
    <col min="18" max="23" width="30.7109375" style="96" customWidth="1"/>
    <col min="24" max="24" width="4.7109375" style="96" customWidth="1"/>
  </cols>
  <sheetData>
    <row r="1" spans="1:24" s="16" customFormat="1" ht="30" customHeight="1" x14ac:dyDescent="0.35">
      <c r="A1" s="16" t="e" vm="1">
        <v>#VALUE!</v>
      </c>
      <c r="C1" s="16" t="s">
        <v>209</v>
      </c>
      <c r="P1" s="96"/>
      <c r="Q1" s="96"/>
      <c r="R1" s="96"/>
      <c r="S1" s="96"/>
      <c r="T1" s="96"/>
      <c r="U1" s="96"/>
      <c r="V1" s="96"/>
      <c r="W1" s="96"/>
      <c r="X1" s="96"/>
    </row>
    <row r="2" spans="1:24" s="3" customFormat="1" ht="20.100000000000001" customHeight="1" x14ac:dyDescent="0.25">
      <c r="A2"/>
      <c r="P2" s="96"/>
      <c r="Q2" s="96"/>
      <c r="R2" s="96"/>
      <c r="S2" s="96"/>
      <c r="T2" s="96"/>
      <c r="U2" s="96"/>
      <c r="V2" s="96"/>
      <c r="W2" s="96"/>
      <c r="X2" s="96"/>
    </row>
    <row r="3" spans="1:24" ht="20.100000000000001" customHeight="1" x14ac:dyDescent="0.25">
      <c r="A3" s="5" t="str">
        <f>HYPERLINK("#'Home'!A1", "Home")</f>
        <v>Home</v>
      </c>
      <c r="C3" s="38"/>
      <c r="D3" s="38"/>
      <c r="E3" s="38"/>
      <c r="F3" s="38"/>
      <c r="G3" s="38"/>
      <c r="H3" s="38"/>
      <c r="I3" s="38"/>
      <c r="J3" s="38"/>
      <c r="K3" s="38"/>
      <c r="L3" s="38"/>
      <c r="M3" s="38"/>
      <c r="N3" s="38"/>
      <c r="O3" s="38"/>
    </row>
    <row r="4" spans="1:24" ht="20.100000000000001" customHeight="1" x14ac:dyDescent="0.25">
      <c r="A4" s="5" t="str">
        <f>HYPERLINK("#'Overview'!A1", "Overview")</f>
        <v>Overview</v>
      </c>
    </row>
    <row r="5" spans="1:24" ht="20.100000000000001" customHeight="1" x14ac:dyDescent="0.25">
      <c r="A5" s="5" t="str">
        <f>HYPERLINK("#'Results'!A1", "Results")</f>
        <v>Results</v>
      </c>
      <c r="D5" s="2" t="s">
        <v>210</v>
      </c>
      <c r="O5" s="34"/>
      <c r="S5" s="31"/>
    </row>
    <row r="6" spans="1:24" ht="20.100000000000001" customHeight="1" x14ac:dyDescent="0.25">
      <c r="O6" s="34"/>
      <c r="S6" s="31"/>
    </row>
    <row r="7" spans="1:24" ht="20.100000000000001" customHeight="1" x14ac:dyDescent="0.25">
      <c r="D7" s="1" t="s">
        <v>211</v>
      </c>
      <c r="E7" s="23" t="s">
        <v>212</v>
      </c>
      <c r="F7" s="26" t="s">
        <v>101</v>
      </c>
      <c r="O7" s="34"/>
      <c r="S7" s="31"/>
    </row>
    <row r="8" spans="1:24" ht="20.100000000000001" customHeight="1" x14ac:dyDescent="0.25">
      <c r="A8" s="7" t="s">
        <v>0</v>
      </c>
      <c r="O8" s="34"/>
      <c r="S8" s="31"/>
    </row>
    <row r="9" spans="1:24" ht="20.100000000000001" customHeight="1" x14ac:dyDescent="0.25">
      <c r="A9" s="5" t="str">
        <f>HYPERLINK("#'Input - Enterprise'!A1", "Enterprise")</f>
        <v>Enterprise</v>
      </c>
      <c r="D9" s="97"/>
      <c r="E9" s="94" t="s">
        <v>213</v>
      </c>
      <c r="F9" s="94" t="s">
        <v>214</v>
      </c>
      <c r="G9" s="94" t="s">
        <v>215</v>
      </c>
      <c r="H9" s="94" t="s">
        <v>216</v>
      </c>
      <c r="I9" s="94" t="s">
        <v>217</v>
      </c>
      <c r="S9" s="31"/>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9">
        <v>100</v>
      </c>
      <c r="F10" s="99">
        <v>100</v>
      </c>
      <c r="G10" s="99">
        <v>100</v>
      </c>
      <c r="H10" s="99">
        <v>100</v>
      </c>
      <c r="I10" s="99">
        <v>100</v>
      </c>
      <c r="J10" s="26" t="s">
        <v>218</v>
      </c>
      <c r="K10" s="26"/>
      <c r="L10" s="26"/>
      <c r="M10" s="26"/>
      <c r="N10" s="26"/>
      <c r="S10" s="31"/>
    </row>
    <row r="11" spans="1:24" ht="20.100000000000001" customHeight="1" x14ac:dyDescent="0.25">
      <c r="A11" s="98" t="str">
        <f>HYPERLINK("#'Input - Dairy'!A1", "Dairy")</f>
        <v>Dairy</v>
      </c>
      <c r="S11" s="31"/>
    </row>
    <row r="12" spans="1:24" ht="20.100000000000001" customHeight="1" x14ac:dyDescent="0.25">
      <c r="A12" s="5" t="str">
        <f>HYPERLINK("#'Input - Dairy (Enteric)'!A1", "Dairy (Enteric)")</f>
        <v>Dairy (Enteric)</v>
      </c>
      <c r="D12" s="90" t="s">
        <v>219</v>
      </c>
      <c r="S12" s="31"/>
    </row>
    <row r="13" spans="1:24" ht="20.100000000000001" customHeight="1" x14ac:dyDescent="0.25">
      <c r="A13" s="5" t="str">
        <f>HYPERLINK("#'Input - Livestock sales'!A1", "Livestock sales")</f>
        <v>Livestock sales</v>
      </c>
      <c r="D13" s="97" t="s">
        <v>220</v>
      </c>
      <c r="E13" s="94" t="s">
        <v>213</v>
      </c>
      <c r="F13" s="94" t="s">
        <v>214</v>
      </c>
      <c r="G13" s="94" t="s">
        <v>215</v>
      </c>
      <c r="H13" s="94" t="s">
        <v>216</v>
      </c>
      <c r="I13" s="94" t="s">
        <v>217</v>
      </c>
      <c r="S13" s="51"/>
    </row>
    <row r="14" spans="1:24" ht="20.100000000000001" customHeight="1" x14ac:dyDescent="0.25">
      <c r="A14" s="5" t="str">
        <f>HYPERLINK("#'Input - Dairy cattle purchases'!A1", "Dairy cattle purchases")</f>
        <v>Dairy cattle purchases</v>
      </c>
      <c r="D14" s="1" t="s">
        <v>221</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222</v>
      </c>
      <c r="K14" s="26"/>
      <c r="L14" s="26"/>
      <c r="M14" s="26"/>
      <c r="N14" s="26"/>
      <c r="S14" s="51"/>
    </row>
    <row r="15" spans="1:24" ht="20.100000000000001" customHeight="1" x14ac:dyDescent="0.25">
      <c r="A15" s="5" t="str">
        <f>HYPERLINK("#'Input - Pasture'!A1", "Pasture")</f>
        <v>Pasture</v>
      </c>
      <c r="D15" s="1" t="s">
        <v>223</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224</v>
      </c>
      <c r="K15" s="26"/>
      <c r="L15" s="26"/>
      <c r="M15" s="26"/>
      <c r="N15" s="26"/>
      <c r="S15" s="51"/>
    </row>
    <row r="16" spans="1:24" ht="20.100000000000001" customHeight="1" x14ac:dyDescent="0.25">
      <c r="A16" s="5" t="str">
        <f>HYPERLINK("#'Input - Fert Prod System'!A1", "Fert Prod System")</f>
        <v>Fert Prod System</v>
      </c>
      <c r="S16" s="51"/>
    </row>
    <row r="17" spans="1:19" ht="20.100000000000001" customHeight="1" x14ac:dyDescent="0.25">
      <c r="A17" s="5" t="str">
        <f>HYPERLINK("#'Input - Fertiliser'!A1", "Fertiliser")</f>
        <v>Fertiliser</v>
      </c>
      <c r="D17" s="97" t="s">
        <v>225</v>
      </c>
      <c r="E17" s="94" t="s">
        <v>213</v>
      </c>
      <c r="F17" s="94" t="s">
        <v>214</v>
      </c>
      <c r="G17" s="94" t="s">
        <v>215</v>
      </c>
      <c r="H17" s="94" t="s">
        <v>216</v>
      </c>
      <c r="I17" s="94" t="s">
        <v>217</v>
      </c>
      <c r="S17" s="31"/>
    </row>
    <row r="18" spans="1:19" ht="20.100000000000001" customHeight="1" x14ac:dyDescent="0.25">
      <c r="A18" s="5" t="str">
        <f>HYPERLINK("#'Input - Fuel'!A1", "Fuel")</f>
        <v>Fuel</v>
      </c>
      <c r="D18" s="1" t="s">
        <v>221</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222</v>
      </c>
      <c r="K18" s="26"/>
      <c r="L18" s="26"/>
      <c r="M18" s="26"/>
      <c r="N18" s="26"/>
      <c r="S18" s="31"/>
    </row>
    <row r="19" spans="1:19" ht="20.100000000000001" customHeight="1" x14ac:dyDescent="0.25">
      <c r="A19" s="5" t="str">
        <f>HYPERLINK("#'Input - Electricity'!A1", "Electricity")</f>
        <v>Electricity</v>
      </c>
      <c r="D19" s="1" t="s">
        <v>223</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224</v>
      </c>
      <c r="K19" s="26"/>
      <c r="L19" s="26"/>
      <c r="M19" s="26"/>
      <c r="N19" s="26"/>
      <c r="S19" s="31"/>
    </row>
    <row r="20" spans="1:19" ht="20.100000000000001" customHeight="1" x14ac:dyDescent="0.25">
      <c r="A20" s="5" t="str">
        <f>HYPERLINK("#'Input - Common farm inputs'!A1", "Common farm inputs")</f>
        <v>Common farm inputs</v>
      </c>
      <c r="S20" s="31"/>
    </row>
    <row r="21" spans="1:19" ht="20.100000000000001" customHeight="1" x14ac:dyDescent="0.25">
      <c r="A21" s="5" t="str">
        <f>HYPERLINK("#'Input - Crop pasture farm input'!A1", "Crop pasture farm input")</f>
        <v>Crop pasture farm input</v>
      </c>
      <c r="D21" s="90" t="s">
        <v>226</v>
      </c>
      <c r="S21" s="31"/>
    </row>
    <row r="22" spans="1:19" ht="20.100000000000001" customHeight="1" x14ac:dyDescent="0.25">
      <c r="A22" s="5" t="str">
        <f>HYPERLINK("#'Input - Livestock farm Inputs'!A1", "Livestock farm Inputs")</f>
        <v>Livestock farm Inputs</v>
      </c>
      <c r="S22" s="31"/>
    </row>
    <row r="23" spans="1:19" ht="20.100000000000001" customHeight="1" x14ac:dyDescent="0.25">
      <c r="A23" s="5" t="str">
        <f>HYPERLINK("#'Input - Freight'!A1", "Freight")</f>
        <v>Freight</v>
      </c>
      <c r="D23" s="97" t="s">
        <v>220</v>
      </c>
      <c r="E23" s="94" t="s">
        <v>213</v>
      </c>
      <c r="F23" s="94" t="s">
        <v>214</v>
      </c>
      <c r="G23" s="94" t="s">
        <v>215</v>
      </c>
      <c r="H23" s="94" t="s">
        <v>216</v>
      </c>
      <c r="I23" s="94" t="s">
        <v>217</v>
      </c>
      <c r="S23" s="31"/>
    </row>
    <row r="24" spans="1:19" ht="20.100000000000001" customHeight="1" x14ac:dyDescent="0.25">
      <c r="A24" s="5" t="str">
        <f>HYPERLINK("#'Input - Manure sent off-site'!A1", "Manure sent off-site")</f>
        <v>Manure sent off-site</v>
      </c>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N24" s="26"/>
      <c r="S24" s="31"/>
    </row>
    <row r="25" spans="1:19" ht="20.100000000000001" customHeight="1" x14ac:dyDescent="0.25">
      <c r="A25" s="5" t="str">
        <f>HYPERLINK("#'Input - Solid waste'!A1", "Solid waste")</f>
        <v>Solid waste</v>
      </c>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N25" s="26"/>
      <c r="S25" s="31"/>
    </row>
    <row r="26" spans="1:19" ht="20.100000000000001" customHeight="1" x14ac:dyDescent="0.25">
      <c r="A26" s="5" t="str">
        <f>HYPERLINK("#'Input - Data quality'!A1", "Data quality")</f>
        <v>Data quality</v>
      </c>
      <c r="S26" s="31"/>
    </row>
    <row r="27" spans="1:19" ht="20.100000000000001" customHeight="1" x14ac:dyDescent="0.25">
      <c r="D27" s="97" t="s">
        <v>225</v>
      </c>
      <c r="E27" s="94" t="s">
        <v>213</v>
      </c>
      <c r="F27" s="94" t="s">
        <v>214</v>
      </c>
      <c r="G27" s="94" t="s">
        <v>215</v>
      </c>
      <c r="H27" s="94" t="s">
        <v>216</v>
      </c>
      <c r="I27" s="94" t="s">
        <v>217</v>
      </c>
      <c r="S27" s="31"/>
    </row>
    <row r="28" spans="1:19"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N28" s="26"/>
      <c r="S28" s="31"/>
    </row>
    <row r="29" spans="1:19" ht="20.100000000000001" customHeight="1" x14ac:dyDescent="0.25">
      <c r="A29" s="6" t="s">
        <v>2</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N29" s="26"/>
      <c r="S29" s="31"/>
    </row>
    <row r="30" spans="1:19" ht="20.100000000000001" customHeight="1" x14ac:dyDescent="0.25">
      <c r="A30" s="5" t="str">
        <f>HYPERLINK("#'5.1.1.1-2 Inorganic fert N2O'!A1", "5.1.1.1-2 Inorganic fert N2O")</f>
        <v>5.1.1.1-2 Inorganic fert N2O</v>
      </c>
      <c r="S30" s="31"/>
    </row>
    <row r="31" spans="1:19" ht="20.100000000000001" customHeight="1" x14ac:dyDescent="0.25">
      <c r="A31" s="5" t="str">
        <f>HYPERLINK("#'5.1.1.3-4 Inorganic fert CO2'!A1", "5.1.1.3-4 Inorganic fert CO2")</f>
        <v>5.1.1.3-4 Inorganic fert CO2</v>
      </c>
      <c r="S31" s="31"/>
    </row>
    <row r="32" spans="1:19" ht="20.100000000000001" customHeight="1" x14ac:dyDescent="0.25">
      <c r="A32" s="5" t="str">
        <f>HYPERLINK("#'5.2.1.1-2 Organic Fert N2O'!A1", "5.2.1.1-2 Organic fert N2O")</f>
        <v>5.2.1.1-2 Organic fert N2O</v>
      </c>
      <c r="C32" s="101"/>
      <c r="D32" s="101"/>
      <c r="E32" s="101"/>
      <c r="F32" s="101"/>
      <c r="G32" s="101"/>
      <c r="H32" s="101"/>
      <c r="I32" s="101"/>
      <c r="J32" s="101"/>
      <c r="K32" s="101"/>
      <c r="L32" s="101"/>
      <c r="M32" s="101"/>
      <c r="N32" s="101"/>
      <c r="O32" s="101"/>
      <c r="S32" s="31"/>
    </row>
    <row r="33" spans="1:19" ht="20.100000000000001" customHeight="1" x14ac:dyDescent="0.25">
      <c r="A33" s="5" t="str">
        <f>HYPERLINK("#'5.3.1.1-2 Lime CO2'!A1", "5.3.1.1-2 Lime CO2")</f>
        <v>5.3.1.1-2 Lime CO2</v>
      </c>
      <c r="D33" s="2" t="s">
        <v>227</v>
      </c>
      <c r="S33" s="31"/>
    </row>
    <row r="34" spans="1:19" ht="20.100000000000001" customHeight="1" x14ac:dyDescent="0.25">
      <c r="A34" s="5" t="str">
        <f>HYPERLINK("#'5.4.1.1-4 Atmos deposition'!A1", "5.4.1.1-4 Atmos. deposition")</f>
        <v>5.4.1.1-4 Atmos. deposition</v>
      </c>
      <c r="D34" s="90"/>
      <c r="S34" s="31"/>
    </row>
    <row r="35" spans="1:19" ht="20.100000000000001" customHeight="1" x14ac:dyDescent="0.25">
      <c r="A35" s="5" t="str">
        <f>HYPERLINK("#'5.5.1.1-2 Leaching and runoff'!A1", "5.5.1.1-2 Leaching &amp; runoff")</f>
        <v>5.5.1.1-2 Leaching &amp; runoff</v>
      </c>
      <c r="D35" s="97" t="s">
        <v>220</v>
      </c>
      <c r="E35" s="94" t="s">
        <v>213</v>
      </c>
      <c r="F35" s="94" t="s">
        <v>214</v>
      </c>
      <c r="G35" s="94" t="s">
        <v>215</v>
      </c>
      <c r="H35" s="94" t="s">
        <v>216</v>
      </c>
      <c r="I35" s="94" t="s">
        <v>217</v>
      </c>
      <c r="S35" s="31"/>
    </row>
    <row r="36" spans="1:19" ht="20.100000000000001" customHeight="1" x14ac:dyDescent="0.25">
      <c r="A36" s="5" t="str">
        <f>HYPERLINK("#'6.2.1.1-2 Pasture residue N2O'!A1", "6.2.1.1-2 Pasture residue N2O")</f>
        <v>6.2.1.1-2 Pasture residue N2O</v>
      </c>
      <c r="D36" s="1" t="s">
        <v>228</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229</v>
      </c>
      <c r="K36" s="26"/>
      <c r="L36" s="26"/>
      <c r="M36" s="26"/>
      <c r="N36" s="26"/>
      <c r="S36" s="31"/>
    </row>
    <row r="37" spans="1:19" ht="20.100000000000001" customHeight="1" x14ac:dyDescent="0.25">
      <c r="A37" s="5" t="str">
        <f>HYPERLINK("#'6.3.1.1-2 Leach runoff pasture'!A1", "6.3.1.1-2 Leach &amp; runoff (pasture)")</f>
        <v>6.3.1.1-2 Leach &amp; runoff (pasture)</v>
      </c>
      <c r="D37" s="1" t="s">
        <v>230</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229</v>
      </c>
      <c r="L37" s="26"/>
      <c r="M37" s="26"/>
      <c r="N37" s="26"/>
      <c r="S37" s="31"/>
    </row>
    <row r="38" spans="1:19" ht="20.100000000000001" customHeight="1" x14ac:dyDescent="0.25">
      <c r="A38" s="5" t="str">
        <f>HYPERLINK("#'8.1.1.1-2 Transport fuel'!A1", "8.1.1.1-2 Transport fuel")</f>
        <v>8.1.1.1-2 Transport fuel</v>
      </c>
      <c r="M38" s="26"/>
      <c r="N38" s="26"/>
      <c r="S38" s="31"/>
    </row>
    <row r="39" spans="1:19" ht="20.100000000000001" customHeight="1" x14ac:dyDescent="0.25">
      <c r="A39" s="5" t="str">
        <f>HYPERLINK("#'8.2.1.1-2 Stationary fuel'!A1", "8.2.1.1-2 Stationary fuel")</f>
        <v>8.2.1.1-2 Stationary fuel</v>
      </c>
      <c r="D39" s="97" t="s">
        <v>225</v>
      </c>
      <c r="E39" s="94" t="s">
        <v>213</v>
      </c>
      <c r="F39" s="94" t="s">
        <v>214</v>
      </c>
      <c r="G39" s="94" t="s">
        <v>215</v>
      </c>
      <c r="H39" s="94" t="s">
        <v>216</v>
      </c>
      <c r="I39" s="94" t="s">
        <v>217</v>
      </c>
      <c r="S39" s="31"/>
    </row>
    <row r="40" spans="1:19" ht="20.100000000000001" customHeight="1" x14ac:dyDescent="0.25">
      <c r="A40" s="5" t="str">
        <f>HYPERLINK("#'14.1.1-2 Purchased electricity'!A1", "14.1.1-2 Purchased electricity")</f>
        <v>14.1.1-2 Purchased electricity</v>
      </c>
      <c r="D40" s="1" t="s">
        <v>228</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229</v>
      </c>
      <c r="K40" s="26"/>
      <c r="S40" s="31"/>
    </row>
    <row r="41" spans="1:19" ht="20.100000000000001" customHeight="1" x14ac:dyDescent="0.25">
      <c r="A41" s="5" t="str">
        <f>HYPERLINK("#'15 Scope 3'!A1", "15 Scope 3")</f>
        <v>15 Scope 3</v>
      </c>
      <c r="D41" s="1" t="s">
        <v>230</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229</v>
      </c>
      <c r="L41" s="26"/>
      <c r="S41" s="31"/>
    </row>
    <row r="42" spans="1:19" ht="20.100000000000001" customHeight="1" x14ac:dyDescent="0.25">
      <c r="A42" s="5" t="str">
        <f>HYPERLINK("#'Calcs - Manure sent off-site'!A1", "Calcs - Manure sent off-site")</f>
        <v>Calcs - Manure sent off-site</v>
      </c>
      <c r="L42" s="26"/>
      <c r="M42" s="26"/>
      <c r="N42" s="26"/>
      <c r="S42" s="31"/>
    </row>
    <row r="43" spans="1:19" ht="20.100000000000001" customHeight="1" x14ac:dyDescent="0.25">
      <c r="A43" s="5" t="str">
        <f>HYPERLINK("#'4.3.1.1-2 Methane'!A1", "4.3.1.1-2 Methane")</f>
        <v>4.3.1.1-2 Methane</v>
      </c>
      <c r="S43" s="31"/>
    </row>
    <row r="44" spans="1:19" ht="20.100000000000001" customHeight="1" x14ac:dyDescent="0.25">
      <c r="A44" s="5" t="str">
        <f>HYPERLINK("#'4.3.1.3-4 Direct N20'!A1", "4.3.1.3-4 Direct N20")</f>
        <v>4.3.1.3-4 Direct N20</v>
      </c>
      <c r="C44" s="101"/>
      <c r="D44" s="101"/>
      <c r="E44" s="101"/>
      <c r="F44" s="101"/>
      <c r="G44" s="101"/>
      <c r="H44" s="101"/>
      <c r="I44" s="101"/>
      <c r="J44" s="101"/>
      <c r="K44" s="101"/>
      <c r="L44" s="101"/>
      <c r="M44" s="101"/>
      <c r="N44" s="101"/>
      <c r="O44" s="101"/>
      <c r="S44" s="31"/>
    </row>
    <row r="45" spans="1:19" ht="20.100000000000001" customHeight="1" x14ac:dyDescent="0.25">
      <c r="A45" s="5" t="str">
        <f>HYPERLINK("#'4.3.1.5 Atmos deposition'!A1", "4.3.1.5 Atmos deposition")</f>
        <v>4.3.1.5 Atmos deposition</v>
      </c>
      <c r="D45" s="2" t="s">
        <v>231</v>
      </c>
      <c r="E45" s="34"/>
      <c r="F45" s="34"/>
      <c r="G45" s="34"/>
      <c r="H45" s="34"/>
      <c r="I45" s="34"/>
      <c r="J45" s="34"/>
      <c r="K45" s="34"/>
      <c r="L45" s="34"/>
      <c r="M45" s="34"/>
      <c r="N45" s="34"/>
      <c r="S45" s="31"/>
    </row>
    <row r="46" spans="1:19" ht="20.100000000000001" customHeight="1" x14ac:dyDescent="0.25">
      <c r="A46" s="5" t="str">
        <f>HYPERLINK("#'4.3.1.6-7 Leaching and runoff'!A1", "4.3.1.6-7 Leaching and runoff")</f>
        <v>4.3.1.6-7 Leaching and runoff</v>
      </c>
      <c r="D46" s="79" t="s">
        <v>232</v>
      </c>
      <c r="G46" s="2"/>
      <c r="H46" s="2"/>
      <c r="I46" s="2"/>
      <c r="J46" s="102"/>
      <c r="K46" s="102"/>
      <c r="L46" s="102"/>
      <c r="M46" s="102"/>
      <c r="N46" s="102"/>
      <c r="S46" s="31"/>
    </row>
    <row r="47" spans="1:19" ht="20.100000000000001" customHeight="1" x14ac:dyDescent="0.25">
      <c r="A47" s="5" t="str">
        <f>HYPERLINK("#'4.3.1.8 Manure applied to soils'!A1", "4.3.1.8 Manure applied to soils")</f>
        <v>4.3.1.8 Manure applied to soils</v>
      </c>
      <c r="D47" s="1" t="s">
        <v>233</v>
      </c>
      <c r="E47" s="23" t="s">
        <v>234</v>
      </c>
      <c r="F47" s="26" t="s">
        <v>101</v>
      </c>
      <c r="S47" s="31"/>
    </row>
    <row r="48" spans="1:19" ht="20.100000000000001" customHeight="1" x14ac:dyDescent="0.25">
      <c r="A48" s="5" t="str">
        <f>HYPERLINK("#'4.3.1.9 Soil direct N2O'!A1", "4.3.1.9 Soil direct N2O")</f>
        <v>4.3.1.9 Soil direct N2O</v>
      </c>
      <c r="S48" s="31"/>
    </row>
    <row r="49" spans="1:19" ht="20.100000000000001" customHeight="1" x14ac:dyDescent="0.25">
      <c r="A49" s="5" t="str">
        <f>HYPERLINK("#'4.3.1.10-11 Soil Atmos Dep'!A1", "4.3.1.10-11 Soil Atmos Dep")</f>
        <v>4.3.1.10-11 Soil Atmos Dep</v>
      </c>
      <c r="E49" s="94" t="s">
        <v>213</v>
      </c>
      <c r="S49" s="31"/>
    </row>
    <row r="50" spans="1:19" ht="20.100000000000001" customHeight="1" x14ac:dyDescent="0.25">
      <c r="A50" s="5" t="str">
        <f>HYPERLINK("#'4.3.1.12-13 Soil leach runoff'!A1", "4.3.1.12-13 Soil leach runoff")</f>
        <v>4.3.1.12-13 Soil leach runoff</v>
      </c>
      <c r="D50" s="1" t="s">
        <v>235</v>
      </c>
      <c r="E50" s="85">
        <v>20</v>
      </c>
      <c r="F50" s="26" t="str">
        <f>IF(X_Cell_Dairy_MilkProductionUnit="Litres of milk", "litres/head/day", "kg milk solids/head/day")</f>
        <v>litres/head/day</v>
      </c>
      <c r="S50" s="31"/>
    </row>
    <row r="51" spans="1:19" ht="20.100000000000001" customHeight="1" x14ac:dyDescent="0.25">
      <c r="A51" s="5" t="str">
        <f>HYPERLINK("#'3.3.1.1-2 Enteric Methane'!A1", "3.3.1.1-2 Enteric Methane")</f>
        <v>3.3.1.1-2 Enteric Methane</v>
      </c>
      <c r="E51" s="2"/>
      <c r="F51" s="2"/>
      <c r="S51" s="31"/>
    </row>
    <row r="52" spans="1:19" ht="20.100000000000001" customHeight="1" x14ac:dyDescent="0.25">
      <c r="A52" s="5" t="str">
        <f>HYPERLINK("#'10.1.1-2 Solid waste treatment'!A1", "10.1.1-2 Solid waste treatment")</f>
        <v>10.1.1-2 Solid waste treatment</v>
      </c>
      <c r="D52" s="87" t="s">
        <v>236</v>
      </c>
      <c r="E52" s="94" t="s">
        <v>237</v>
      </c>
      <c r="F52" s="94" t="s">
        <v>238</v>
      </c>
      <c r="S52" s="31"/>
    </row>
    <row r="53" spans="1:19" ht="20.100000000000001" customHeight="1" x14ac:dyDescent="0.25">
      <c r="D53" s="1" t="s">
        <v>239</v>
      </c>
      <c r="E53" s="103">
        <f>SourceData_Dairy_FatContentInMilk_Data/100</f>
        <v>0.04</v>
      </c>
      <c r="F53" s="104">
        <f>SourceData_Dairy_FatContentInMilk_Data/100</f>
        <v>0.04</v>
      </c>
      <c r="G53" s="26" t="s">
        <v>156</v>
      </c>
      <c r="S53" s="31"/>
    </row>
    <row r="54" spans="1:19" ht="20.100000000000001" customHeight="1" x14ac:dyDescent="0.25">
      <c r="D54" s="1" t="s">
        <v>240</v>
      </c>
      <c r="E54" s="103">
        <f>SourceData_Dairy_ProteinContentInMilk_Data/100</f>
        <v>3.3000000000000002E-2</v>
      </c>
      <c r="F54" s="104">
        <f>SourceData_Dairy_ProteinContentInMilk_Data/100</f>
        <v>3.3000000000000002E-2</v>
      </c>
      <c r="G54" s="26" t="s">
        <v>156</v>
      </c>
      <c r="S54" s="31"/>
    </row>
    <row r="55" spans="1:19" ht="20.100000000000001" customHeight="1" x14ac:dyDescent="0.25">
      <c r="A55" s="100" t="s">
        <v>1</v>
      </c>
      <c r="S55" s="31"/>
    </row>
    <row r="56" spans="1:19" ht="20.100000000000001" customHeight="1" x14ac:dyDescent="0.25">
      <c r="A56" s="5" t="str">
        <f>HYPERLINK("#'Constants - Dairy'!A1", "Constants - Dairy")</f>
        <v>Constants - Dairy</v>
      </c>
      <c r="S56" s="31"/>
    </row>
    <row r="57" spans="1:19" ht="20.100000000000001" customHeight="1" x14ac:dyDescent="0.25">
      <c r="A57" s="5" t="str">
        <f>HYPERLINK("#'Constants - Ag Residue'!A1", "Constants - Ag residue")</f>
        <v>Constants - Ag residue</v>
      </c>
      <c r="C57" s="101"/>
      <c r="D57" s="101"/>
      <c r="E57" s="101"/>
      <c r="F57" s="101"/>
      <c r="G57" s="101"/>
      <c r="H57" s="101"/>
      <c r="I57" s="101"/>
      <c r="J57" s="101"/>
      <c r="K57" s="101"/>
      <c r="L57" s="101"/>
      <c r="M57" s="101"/>
      <c r="N57" s="101"/>
      <c r="O57" s="101"/>
      <c r="S57" s="31"/>
    </row>
    <row r="58" spans="1:19" ht="20.100000000000001" customHeight="1" x14ac:dyDescent="0.25">
      <c r="A58" s="5" t="str">
        <f>HYPERLINK("#'Constants - Common Livestock'!A1", "Constants - Common Livestock")</f>
        <v>Constants - Common Livestock</v>
      </c>
      <c r="D58" s="2" t="s">
        <v>241</v>
      </c>
      <c r="S58" s="31"/>
    </row>
    <row r="59" spans="1:19" ht="20.100000000000001" customHeight="1" x14ac:dyDescent="0.25">
      <c r="A59" s="5" t="str">
        <f>HYPERLINK("#'Constants - Electricity'!A1", "Constants - Electricity")</f>
        <v>Constants - Electricity</v>
      </c>
      <c r="D59" s="90" t="s">
        <v>242</v>
      </c>
      <c r="S59" s="31"/>
    </row>
    <row r="60" spans="1:19" ht="20.100000000000001" customHeight="1" x14ac:dyDescent="0.25">
      <c r="A60" s="5" t="str">
        <f>HYPERLINK("#'Constants - Fertiliser'!A1", "Constants - Fertiliser")</f>
        <v>Constants - Fertiliser</v>
      </c>
      <c r="D60" s="1" t="s">
        <v>243</v>
      </c>
      <c r="E60" s="23" t="s">
        <v>244</v>
      </c>
      <c r="F60" s="26" t="s">
        <v>101</v>
      </c>
      <c r="O60" s="34"/>
      <c r="S60" s="31"/>
    </row>
    <row r="61" spans="1:19" ht="20.100000000000001" customHeight="1" x14ac:dyDescent="0.25">
      <c r="A61" s="5" t="str">
        <f>HYPERLINK("#'Constants - Fuel'!A1", "Constants - Fuel")</f>
        <v>Constants - Fuel</v>
      </c>
      <c r="O61" s="34"/>
      <c r="S61" s="31"/>
    </row>
    <row r="62" spans="1:19" ht="20.100000000000001" customHeight="1" x14ac:dyDescent="0.25">
      <c r="A62" s="5" t="str">
        <f>HYPERLINK("#'Constants - Scope 3'!A1", "Constants - Scope 3")</f>
        <v>Constants - Scope 3</v>
      </c>
      <c r="D62" s="97" t="s">
        <v>220</v>
      </c>
      <c r="E62" s="94" t="s">
        <v>213</v>
      </c>
      <c r="F62" s="94" t="s">
        <v>214</v>
      </c>
      <c r="G62" s="94" t="s">
        <v>215</v>
      </c>
      <c r="H62" s="94" t="s">
        <v>216</v>
      </c>
      <c r="I62" s="94" t="s">
        <v>217</v>
      </c>
      <c r="O62" s="34"/>
      <c r="S62" s="31"/>
    </row>
    <row r="63" spans="1:19" ht="20.100000000000001" customHeight="1" x14ac:dyDescent="0.25">
      <c r="A63" s="5" t="str">
        <f>HYPERLINK("#'Constants - Common'!A1", "Constants - Common")</f>
        <v>Constants - Common</v>
      </c>
      <c r="D63" s="1" t="s">
        <v>171</v>
      </c>
      <c r="E63" s="103">
        <f>Common_InputFunctions.Utility_LookupValueInTableNumber(X_Cell_Dairy_ProductionSystemTemplate, Table_SourceData_Dairy_ProductionSystemTemplates[Area],Table_SourceData_Dairy_ProductionSystemTemplates[Pasture])</f>
        <v>0.53400000000000003</v>
      </c>
      <c r="F63" s="103">
        <f>Common_InputFunctions.Utility_LookupValueInTableNumber(X_Cell_Dairy_ProductionSystemTemplate, Table_SourceData_Dairy_ProductionSystemTemplates[Area],Table_SourceData_Dairy_ProductionSystemTemplates[Pasture])</f>
        <v>0.53400000000000003</v>
      </c>
      <c r="G63" s="103">
        <f>Common_InputFunctions.Utility_LookupValueInTableNumber(X_Cell_Dairy_ProductionSystemTemplate, Table_SourceData_Dairy_ProductionSystemTemplates[Area],Table_SourceData_Dairy_ProductionSystemTemplates[Pasture])</f>
        <v>0.53400000000000003</v>
      </c>
      <c r="H63" s="103">
        <f>Common_InputFunctions.Utility_LookupValueInTableNumber(X_Cell_Dairy_ProductionSystemTemplate, Table_SourceData_Dairy_ProductionSystemTemplates[Area],Table_SourceData_Dairy_ProductionSystemTemplates[Pasture])</f>
        <v>0.53400000000000003</v>
      </c>
      <c r="I63" s="103">
        <f>Common_InputFunctions.Utility_LookupValueInTableNumber(X_Cell_Dairy_ProductionSystemTemplate, Table_SourceData_Dairy_ProductionSystemTemplates[Area],Table_SourceData_Dairy_ProductionSystemTemplates[Pasture])</f>
        <v>0.53400000000000003</v>
      </c>
      <c r="J63" s="26" t="s">
        <v>245</v>
      </c>
      <c r="K63" s="26"/>
      <c r="L63" s="26"/>
      <c r="M63" s="26"/>
      <c r="N63" s="26"/>
      <c r="O63" s="34"/>
      <c r="S63" s="31"/>
    </row>
    <row r="64" spans="1:19" ht="20.100000000000001" customHeight="1" x14ac:dyDescent="0.25">
      <c r="A64" s="5" t="str">
        <f>HYPERLINK("#'Acknowledgements'!A1", "Acknowledgements")</f>
        <v>Acknowledgements</v>
      </c>
      <c r="D64" s="1" t="s">
        <v>246</v>
      </c>
      <c r="E64" s="103">
        <f>Common_InputFunctions.Utility_LookupValueInTableNumber(X_Cell_Dairy_ProductionSystemTemplate, Table_SourceData_Dairy_ProductionSystemTemplates[Area],Table_SourceData_Dairy_ProductionSystemTemplates[Milking shed])</f>
        <v>0.11</v>
      </c>
      <c r="F64" s="103">
        <f>Common_InputFunctions.Utility_LookupValueInTableNumber(X_Cell_Dairy_ProductionSystemTemplate, Table_SourceData_Dairy_ProductionSystemTemplates[Area],Table_SourceData_Dairy_ProductionSystemTemplates[Milking shed])</f>
        <v>0.11</v>
      </c>
      <c r="G64" s="103">
        <f>Common_InputFunctions.Utility_LookupValueInTableNumber(X_Cell_Dairy_ProductionSystemTemplate, Table_SourceData_Dairy_ProductionSystemTemplates[Area],Table_SourceData_Dairy_ProductionSystemTemplates[Milking shed])</f>
        <v>0.11</v>
      </c>
      <c r="H64" s="103">
        <f>Common_InputFunctions.Utility_LookupValueInTableNumber(X_Cell_Dairy_ProductionSystemTemplate, Table_SourceData_Dairy_ProductionSystemTemplates[Area],Table_SourceData_Dairy_ProductionSystemTemplates[Milking shed])</f>
        <v>0.11</v>
      </c>
      <c r="I64" s="103">
        <f>Common_InputFunctions.Utility_LookupValueInTableNumber(X_Cell_Dairy_ProductionSystemTemplate, Table_SourceData_Dairy_ProductionSystemTemplates[Area],Table_SourceData_Dairy_ProductionSystemTemplates[Milking shed])</f>
        <v>0.11</v>
      </c>
      <c r="J64" s="26" t="s">
        <v>245</v>
      </c>
      <c r="K64" s="26"/>
      <c r="L64" s="26"/>
      <c r="M64" s="26"/>
      <c r="N64" s="26"/>
      <c r="O64" s="34"/>
      <c r="S64" s="31"/>
    </row>
    <row r="65" spans="1:19" ht="20.100000000000001" customHeight="1" x14ac:dyDescent="0.25">
      <c r="A65" s="5" t="str">
        <f>HYPERLINK("#'Constants - Solid Waste'!A1", "Constants - Solid Waste")</f>
        <v>Constants - Solid Waste</v>
      </c>
      <c r="D65" s="1" t="s">
        <v>247</v>
      </c>
      <c r="E65" s="103">
        <f>Common_InputFunctions.Utility_LookupValueInTableNumber(X_Cell_Dairy_ProductionSystemTemplate, Table_SourceData_Dairy_ProductionSystemTemplates[Area],Table_SourceData_Dairy_ProductionSystemTemplates[Feedpad])</f>
        <v>0.35599999999999998</v>
      </c>
      <c r="F65" s="103">
        <f>Common_InputFunctions.Utility_LookupValueInTableNumber(X_Cell_Dairy_ProductionSystemTemplate, Table_SourceData_Dairy_ProductionSystemTemplates[Area],Table_SourceData_Dairy_ProductionSystemTemplates[Feedpad])</f>
        <v>0.35599999999999998</v>
      </c>
      <c r="G65" s="103">
        <f>Common_InputFunctions.Utility_LookupValueInTableNumber(X_Cell_Dairy_ProductionSystemTemplate, Table_SourceData_Dairy_ProductionSystemTemplates[Area],Table_SourceData_Dairy_ProductionSystemTemplates[Feedpad])</f>
        <v>0.35599999999999998</v>
      </c>
      <c r="H65" s="103">
        <f>Common_InputFunctions.Utility_LookupValueInTableNumber(X_Cell_Dairy_ProductionSystemTemplate, Table_SourceData_Dairy_ProductionSystemTemplates[Area],Table_SourceData_Dairy_ProductionSystemTemplates[Feedpad])</f>
        <v>0.35599999999999998</v>
      </c>
      <c r="I65" s="103">
        <f>Common_InputFunctions.Utility_LookupValueInTableNumber(X_Cell_Dairy_ProductionSystemTemplate, Table_SourceData_Dairy_ProductionSystemTemplates[Area],Table_SourceData_Dairy_ProductionSystemTemplates[Feedpad])</f>
        <v>0.35599999999999998</v>
      </c>
      <c r="J65" s="26" t="s">
        <v>245</v>
      </c>
      <c r="K65" s="26"/>
      <c r="L65" s="26"/>
      <c r="M65" s="26"/>
      <c r="N65" s="26"/>
      <c r="O65" s="34"/>
    </row>
    <row r="66" spans="1:19" ht="20.100000000000001" customHeight="1" x14ac:dyDescent="0.25">
      <c r="O66" s="34"/>
    </row>
    <row r="67" spans="1:19" ht="20.100000000000001" customHeight="1" x14ac:dyDescent="0.25">
      <c r="D67" s="97" t="s">
        <v>225</v>
      </c>
      <c r="E67" s="94" t="s">
        <v>213</v>
      </c>
      <c r="F67" s="94" t="s">
        <v>214</v>
      </c>
      <c r="G67" s="94" t="s">
        <v>215</v>
      </c>
      <c r="H67" s="94" t="s">
        <v>216</v>
      </c>
      <c r="I67" s="94" t="s">
        <v>217</v>
      </c>
      <c r="O67" s="34"/>
    </row>
    <row r="68" spans="1:19" ht="20.100000000000001" customHeight="1" x14ac:dyDescent="0.25">
      <c r="D68" s="1" t="s">
        <v>171</v>
      </c>
      <c r="E68" s="105">
        <f>Common_InputFunctions.Utility_LookupValueInTableNumber(X_Cell_Dairy_ProductionSystemTemplate, Table_SourceData_Dairy_ProductionSystemTemplates[Area],Table_SourceData_Dairy_ProductionSystemTemplates[Pasture])</f>
        <v>0.53400000000000003</v>
      </c>
      <c r="F68" s="105">
        <f>Common_InputFunctions.Utility_LookupValueInTableNumber(X_Cell_Dairy_ProductionSystemTemplate, Table_SourceData_Dairy_ProductionSystemTemplates[Area],Table_SourceData_Dairy_ProductionSystemTemplates[Pasture])</f>
        <v>0.53400000000000003</v>
      </c>
      <c r="G68" s="105">
        <f>Common_InputFunctions.Utility_LookupValueInTableNumber(X_Cell_Dairy_ProductionSystemTemplate, Table_SourceData_Dairy_ProductionSystemTemplates[Area],Table_SourceData_Dairy_ProductionSystemTemplates[Pasture])</f>
        <v>0.53400000000000003</v>
      </c>
      <c r="H68" s="105">
        <f>Common_InputFunctions.Utility_LookupValueInTableNumber(X_Cell_Dairy_ProductionSystemTemplate, Table_SourceData_Dairy_ProductionSystemTemplates[Area],Table_SourceData_Dairy_ProductionSystemTemplates[Pasture])</f>
        <v>0.53400000000000003</v>
      </c>
      <c r="I68" s="105">
        <f>Common_InputFunctions.Utility_LookupValueInTableNumber(X_Cell_Dairy_ProductionSystemTemplate, Table_SourceData_Dairy_ProductionSystemTemplates[Area],Table_SourceData_Dairy_ProductionSystemTemplates[Pasture])</f>
        <v>0.53400000000000003</v>
      </c>
      <c r="J68" s="26" t="s">
        <v>245</v>
      </c>
      <c r="K68" s="26"/>
      <c r="L68" s="26"/>
      <c r="M68" s="26"/>
      <c r="N68" s="26"/>
      <c r="O68" s="34"/>
    </row>
    <row r="69" spans="1:19" ht="20.100000000000001" customHeight="1" x14ac:dyDescent="0.25">
      <c r="D69" s="1" t="s">
        <v>246</v>
      </c>
      <c r="E69" s="105">
        <f>Common_InputFunctions.Utility_LookupValueInTableNumber(X_Cell_Dairy_ProductionSystemTemplate, Table_SourceData_Dairy_ProductionSystemTemplates[Area],Table_SourceData_Dairy_ProductionSystemTemplates[Milking shed])</f>
        <v>0.11</v>
      </c>
      <c r="F69" s="105">
        <f>Common_InputFunctions.Utility_LookupValueInTableNumber(X_Cell_Dairy_ProductionSystemTemplate, Table_SourceData_Dairy_ProductionSystemTemplates[Area],Table_SourceData_Dairy_ProductionSystemTemplates[Milking shed])</f>
        <v>0.11</v>
      </c>
      <c r="G69" s="105">
        <f>Common_InputFunctions.Utility_LookupValueInTableNumber(X_Cell_Dairy_ProductionSystemTemplate, Table_SourceData_Dairy_ProductionSystemTemplates[Area],Table_SourceData_Dairy_ProductionSystemTemplates[Milking shed])</f>
        <v>0.11</v>
      </c>
      <c r="H69" s="105">
        <f>Common_InputFunctions.Utility_LookupValueInTableNumber(X_Cell_Dairy_ProductionSystemTemplate, Table_SourceData_Dairy_ProductionSystemTemplates[Area],Table_SourceData_Dairy_ProductionSystemTemplates[Milking shed])</f>
        <v>0.11</v>
      </c>
      <c r="I69" s="105">
        <f>Common_InputFunctions.Utility_LookupValueInTableNumber(X_Cell_Dairy_ProductionSystemTemplate, Table_SourceData_Dairy_ProductionSystemTemplates[Area],Table_SourceData_Dairy_ProductionSystemTemplates[Milking shed])</f>
        <v>0.11</v>
      </c>
      <c r="J69" s="26" t="s">
        <v>245</v>
      </c>
      <c r="K69" s="26"/>
      <c r="L69" s="26"/>
      <c r="M69" s="26"/>
      <c r="N69" s="26"/>
      <c r="O69" s="34"/>
    </row>
    <row r="70" spans="1:19" ht="20.100000000000001" customHeight="1" x14ac:dyDescent="0.25">
      <c r="D70" s="1" t="s">
        <v>247</v>
      </c>
      <c r="E70" s="105">
        <f>Common_InputFunctions.Utility_LookupValueInTableNumber(X_Cell_Dairy_ProductionSystemTemplate, Table_SourceData_Dairy_ProductionSystemTemplates[Area],Table_SourceData_Dairy_ProductionSystemTemplates[Feedpad])</f>
        <v>0.35599999999999998</v>
      </c>
      <c r="F70" s="105">
        <f>Common_InputFunctions.Utility_LookupValueInTableNumber(X_Cell_Dairy_ProductionSystemTemplate, Table_SourceData_Dairy_ProductionSystemTemplates[Area],Table_SourceData_Dairy_ProductionSystemTemplates[Feedpad])</f>
        <v>0.35599999999999998</v>
      </c>
      <c r="G70" s="105">
        <f>Common_InputFunctions.Utility_LookupValueInTableNumber(X_Cell_Dairy_ProductionSystemTemplate, Table_SourceData_Dairy_ProductionSystemTemplates[Area],Table_SourceData_Dairy_ProductionSystemTemplates[Feedpad])</f>
        <v>0.35599999999999998</v>
      </c>
      <c r="H70" s="105">
        <f>Common_InputFunctions.Utility_LookupValueInTableNumber(X_Cell_Dairy_ProductionSystemTemplate, Table_SourceData_Dairy_ProductionSystemTemplates[Area],Table_SourceData_Dairy_ProductionSystemTemplates[Feedpad])</f>
        <v>0.35599999999999998</v>
      </c>
      <c r="I70" s="105">
        <f>Common_InputFunctions.Utility_LookupValueInTableNumber(X_Cell_Dairy_ProductionSystemTemplate, Table_SourceData_Dairy_ProductionSystemTemplates[Area],Table_SourceData_Dairy_ProductionSystemTemplates[Feedpad])</f>
        <v>0.35599999999999998</v>
      </c>
      <c r="J70" s="26" t="s">
        <v>245</v>
      </c>
      <c r="K70" s="26"/>
      <c r="L70" s="26"/>
      <c r="M70" s="26"/>
      <c r="N70" s="26"/>
      <c r="O70" s="34"/>
    </row>
    <row r="71" spans="1:19" ht="20.100000000000001" customHeight="1" x14ac:dyDescent="0.25">
      <c r="E71" s="106"/>
      <c r="O71" s="34"/>
    </row>
    <row r="72" spans="1:19" ht="20.100000000000001" customHeight="1" x14ac:dyDescent="0.25"/>
    <row r="73" spans="1:19" ht="20.100000000000001" customHeight="1" x14ac:dyDescent="0.25">
      <c r="C73" s="101"/>
      <c r="D73" s="101"/>
      <c r="E73" s="101"/>
      <c r="F73" s="101"/>
      <c r="G73" s="101"/>
      <c r="H73" s="101"/>
      <c r="I73" s="101"/>
      <c r="J73" s="101"/>
      <c r="K73" s="101"/>
      <c r="L73" s="101"/>
      <c r="M73" s="101"/>
      <c r="N73" s="101"/>
      <c r="O73" s="101"/>
    </row>
    <row r="74" spans="1:19" ht="20.100000000000001" customHeight="1" x14ac:dyDescent="0.25">
      <c r="D74" s="2" t="s">
        <v>248</v>
      </c>
      <c r="F74" s="107"/>
    </row>
    <row r="75" spans="1:19" ht="20.100000000000001" customHeight="1" x14ac:dyDescent="0.25">
      <c r="D75" s="90" t="str">
        <f>"From " &amp; $D$64</f>
        <v>From Milking shed</v>
      </c>
      <c r="O75" s="34"/>
    </row>
    <row r="76" spans="1:19" ht="20.100000000000001" customHeight="1" x14ac:dyDescent="0.25">
      <c r="O76" s="34"/>
    </row>
    <row r="77" spans="1:19" ht="20.100000000000001" customHeight="1" x14ac:dyDescent="0.25">
      <c r="D77" s="108" t="s">
        <v>249</v>
      </c>
      <c r="E77" s="94" t="s">
        <v>213</v>
      </c>
      <c r="F77" s="94" t="s">
        <v>214</v>
      </c>
      <c r="G77" s="94" t="s">
        <v>215</v>
      </c>
      <c r="H77" s="94" t="s">
        <v>216</v>
      </c>
      <c r="I77" s="94" t="s">
        <v>217</v>
      </c>
      <c r="J77" s="109" t="s">
        <v>250</v>
      </c>
      <c r="K77" s="109"/>
      <c r="L77" s="97" t="s">
        <v>251</v>
      </c>
      <c r="M77" s="97"/>
      <c r="N77" s="94"/>
      <c r="O77" s="34"/>
    </row>
    <row r="78" spans="1:19" ht="20.100000000000001" customHeight="1" x14ac:dyDescent="0.25">
      <c r="L78" s="110" t="s">
        <v>252</v>
      </c>
      <c r="M78" s="110" t="s">
        <v>253</v>
      </c>
      <c r="N78" s="110" t="s">
        <v>254</v>
      </c>
      <c r="O78" s="34"/>
    </row>
    <row r="79" spans="1:19" ht="20.100000000000001" customHeight="1" x14ac:dyDescent="0.25">
      <c r="D79" s="87" t="str">
        <f>'Constants - Dairy'!$D$8</f>
        <v>Anaerobic lagoon</v>
      </c>
      <c r="E79" s="28">
        <v>0.25</v>
      </c>
      <c r="F79" s="28">
        <v>0.25</v>
      </c>
      <c r="G79" s="28">
        <v>0.25</v>
      </c>
      <c r="H79" s="28">
        <v>0.25</v>
      </c>
      <c r="I79" s="28">
        <v>0.25</v>
      </c>
      <c r="J79" s="26" t="s">
        <v>245</v>
      </c>
      <c r="K79" s="26"/>
      <c r="L79" s="28">
        <v>0.25</v>
      </c>
      <c r="M79" s="28">
        <v>0.25</v>
      </c>
      <c r="N79" s="111">
        <f>1-SUM(L79:M79)</f>
        <v>0.5</v>
      </c>
      <c r="O79" s="34"/>
    </row>
    <row r="80" spans="1:19" ht="20.100000000000001" customHeight="1" x14ac:dyDescent="0.25">
      <c r="D80" s="112" t="str">
        <f>"Were solids separated from " &amp; D79 &amp; "?"</f>
        <v>Were solids separated from Anaerobic lagoon?</v>
      </c>
      <c r="E80" s="23" t="s">
        <v>255</v>
      </c>
      <c r="O80" s="34"/>
      <c r="S80" s="31"/>
    </row>
    <row r="81" spans="4:19" ht="20.100000000000001" customHeight="1" x14ac:dyDescent="0.25">
      <c r="D81" s="112" t="str">
        <f>"Percent solids separated from " &amp; D79 &amp; " (Method 1)"</f>
        <v>Percent solids separated from Anaerobic lagoon (Method 1)</v>
      </c>
      <c r="E81" s="111">
        <f>IF(X_Cell_Dairy_Stage1MMS_1_AnaerobicLagoon_SolidsSeparated="Yes", 20%, 0)</f>
        <v>0.2</v>
      </c>
      <c r="O81" s="34"/>
      <c r="S81" s="31"/>
    </row>
    <row r="82" spans="4:19" ht="20.100000000000001" customHeight="1" x14ac:dyDescent="0.25">
      <c r="D82" s="112" t="str">
        <f>"Percent solids separated from " &amp; D79 &amp; " (Method 2)"</f>
        <v>Percent solids separated from Anaerobic lagoon (Method 2)</v>
      </c>
      <c r="E82" s="28">
        <v>0.2</v>
      </c>
      <c r="O82" s="34"/>
      <c r="S82" s="31"/>
    </row>
    <row r="83" spans="4:19" ht="20.100000000000001" customHeight="1" x14ac:dyDescent="0.25">
      <c r="S83" s="31"/>
    </row>
    <row r="84" spans="4:19" ht="20.100000000000001" customHeight="1" x14ac:dyDescent="0.25">
      <c r="D84" s="87" t="str">
        <f>'Constants - Dairy'!$D$9</f>
        <v>Sump and dispersal system</v>
      </c>
      <c r="E84" s="28">
        <v>0.25</v>
      </c>
      <c r="F84" s="28">
        <v>0.25</v>
      </c>
      <c r="G84" s="28">
        <v>0.25</v>
      </c>
      <c r="H84" s="28">
        <v>0.25</v>
      </c>
      <c r="I84" s="28">
        <v>0.25</v>
      </c>
      <c r="J84" s="26" t="s">
        <v>245</v>
      </c>
      <c r="K84" s="26"/>
      <c r="L84" s="28">
        <v>0.25</v>
      </c>
      <c r="M84" s="28">
        <v>0.25</v>
      </c>
      <c r="N84" s="111">
        <f t="shared" ref="N84" si="1">1-SUM(L84:M84)</f>
        <v>0.5</v>
      </c>
      <c r="S84" s="31"/>
    </row>
    <row r="85" spans="4:19" ht="20.100000000000001" customHeight="1" x14ac:dyDescent="0.25">
      <c r="D85" s="112" t="str">
        <f>"Were solids separated from " &amp; D84 &amp; "?"</f>
        <v>Were solids separated from Sump and dispersal system?</v>
      </c>
      <c r="E85" s="23" t="s">
        <v>255</v>
      </c>
      <c r="S85" s="31"/>
    </row>
    <row r="86" spans="4:19" ht="20.100000000000001" customHeight="1" x14ac:dyDescent="0.25">
      <c r="D86" s="112" t="str">
        <f>"Percent solids separated from " &amp; D84 &amp; " (Method 1)"</f>
        <v>Percent solids separated from Sump and dispersal system (Method 1)</v>
      </c>
      <c r="E86" s="111">
        <f>IF(X_Cell_Dairy_Stage1MMS_1_SumpAndDispersal_SolidsSeparated="Yes", 20%, 0)</f>
        <v>0.2</v>
      </c>
      <c r="S86" s="31"/>
    </row>
    <row r="87" spans="4:19" ht="20.100000000000001" customHeight="1" x14ac:dyDescent="0.25">
      <c r="D87" s="112" t="str">
        <f>"Percent solids separated from " &amp; D84 &amp; " (Method 2)"</f>
        <v>Percent solids separated from Sump and dispersal system (Method 2)</v>
      </c>
      <c r="E87" s="28">
        <v>0.2</v>
      </c>
      <c r="S87" s="31"/>
    </row>
    <row r="88" spans="4:19" ht="20.100000000000001" customHeight="1" x14ac:dyDescent="0.25">
      <c r="S88" s="31"/>
    </row>
    <row r="89" spans="4:19" ht="20.100000000000001" customHeight="1" x14ac:dyDescent="0.25">
      <c r="D89" s="87" t="str">
        <f>'Constants - Dairy'!$D$10</f>
        <v>Drains to paddock</v>
      </c>
      <c r="E89" s="28">
        <v>0.25</v>
      </c>
      <c r="F89" s="28">
        <v>0.25</v>
      </c>
      <c r="G89" s="28">
        <v>0.25</v>
      </c>
      <c r="H89" s="28">
        <v>0.25</v>
      </c>
      <c r="I89" s="28">
        <v>0.25</v>
      </c>
      <c r="J89" s="26" t="s">
        <v>245</v>
      </c>
      <c r="K89" s="26"/>
      <c r="L89" s="28">
        <v>0.25</v>
      </c>
      <c r="M89" s="28">
        <v>0.25</v>
      </c>
      <c r="N89" s="111">
        <f>1-SUM(L89:M89)</f>
        <v>0.5</v>
      </c>
      <c r="S89" s="31"/>
    </row>
    <row r="90" spans="4:19" ht="20.100000000000001" customHeight="1" x14ac:dyDescent="0.25">
      <c r="D90" s="112" t="str">
        <f>"Were solids separated from " &amp; D89 &amp; "?"</f>
        <v>Were solids separated from Drains to paddock?</v>
      </c>
      <c r="E90" s="23" t="s">
        <v>255</v>
      </c>
      <c r="S90" s="31"/>
    </row>
    <row r="91" spans="4:19" ht="20.100000000000001" customHeight="1" x14ac:dyDescent="0.25">
      <c r="D91" s="112" t="str">
        <f>"Percent solids separated from " &amp; D89 &amp; " (Method 1)"</f>
        <v>Percent solids separated from Drains to paddock (Method 1)</v>
      </c>
      <c r="E91" s="111">
        <f>IF(X_Cell_Dairy_Stage1MMS_1_DrainsToPaddock_SolidsSeparated="Yes", 20%, 0)</f>
        <v>0.2</v>
      </c>
      <c r="S91" s="31"/>
    </row>
    <row r="92" spans="4:19" ht="20.100000000000001" customHeight="1" x14ac:dyDescent="0.25">
      <c r="D92" s="112" t="str">
        <f>"Percent solids separated from " &amp; D89 &amp; " (Method 2)"</f>
        <v>Percent solids separated from Drains to paddock (Method 2)</v>
      </c>
      <c r="E92" s="28">
        <v>0.2</v>
      </c>
      <c r="S92" s="31"/>
    </row>
    <row r="93" spans="4:19" ht="20.100000000000001" customHeight="1" x14ac:dyDescent="0.25">
      <c r="S93" s="31"/>
    </row>
    <row r="94" spans="4:19" ht="20.100000000000001" customHeight="1" x14ac:dyDescent="0.25">
      <c r="D94" s="87" t="str">
        <f>'Constants - Dairy'!$D$11 &amp; " (before solid separation)"</f>
        <v>Solid storage (before solid separation)</v>
      </c>
      <c r="E94" s="28">
        <v>0.25</v>
      </c>
      <c r="F94" s="28">
        <v>0.25</v>
      </c>
      <c r="G94" s="28">
        <v>0.25</v>
      </c>
      <c r="H94" s="28">
        <v>0.25</v>
      </c>
      <c r="I94" s="28">
        <v>0.25</v>
      </c>
      <c r="J94" s="26" t="s">
        <v>245</v>
      </c>
      <c r="K94" s="26"/>
      <c r="L94" s="28">
        <v>0.25</v>
      </c>
      <c r="M94" s="28">
        <v>0.25</v>
      </c>
      <c r="N94" s="111">
        <f t="shared" ref="N94" si="2">1-SUM(L94:M94)</f>
        <v>0.5</v>
      </c>
      <c r="S94" s="31"/>
    </row>
    <row r="95" spans="4:19" ht="20.100000000000001" customHeight="1" x14ac:dyDescent="0.25">
      <c r="D95" s="1" t="s">
        <v>256</v>
      </c>
      <c r="E95" s="111">
        <f>E94+(E79*X_Cell_Dairy_Stage1MMS_1_AnaerobicLagoon_AmountSeparated_Method1)+(E84*X_Cell_Dairy_Stage1MMS_1_SumpAndDispersal_AmountSeparated_Method1)+(E89*X_Cell_Dairy_Stage1MMS_1_DrainsToPaddock_AmountSeparated_Method1)</f>
        <v>0.39999999999999997</v>
      </c>
      <c r="F95" s="111">
        <f>F94+(F79*X_Cell_Dairy_Stage1MMS_1_AnaerobicLagoon_AmountSeparated_Method1)+(F84*X_Cell_Dairy_Stage1MMS_1_SumpAndDispersal_AmountSeparated_Method1)+(F89*X_Cell_Dairy_Stage1MMS_1_DrainsToPaddock_AmountSeparated_Method1)</f>
        <v>0.39999999999999997</v>
      </c>
      <c r="G95" s="111">
        <f>G94+(G79*X_Cell_Dairy_Stage1MMS_1_AnaerobicLagoon_AmountSeparated_Method1)+(G84*X_Cell_Dairy_Stage1MMS_1_SumpAndDispersal_AmountSeparated_Method1)+(G89*X_Cell_Dairy_Stage1MMS_1_DrainsToPaddock_AmountSeparated_Method1)</f>
        <v>0.39999999999999997</v>
      </c>
      <c r="H95" s="111">
        <f>H94+(H79*X_Cell_Dairy_Stage1MMS_1_AnaerobicLagoon_AmountSeparated_Method1)+(H84*X_Cell_Dairy_Stage1MMS_1_SumpAndDispersal_AmountSeparated_Method1)+(H89*X_Cell_Dairy_Stage1MMS_1_DrainsToPaddock_AmountSeparated_Method1)</f>
        <v>0.39999999999999997</v>
      </c>
      <c r="I95" s="111">
        <f>I94+(I79*X_Cell_Dairy_Stage1MMS_1_AnaerobicLagoon_AmountSeparated_Method1)+(I84*X_Cell_Dairy_Stage1MMS_1_SumpAndDispersal_AmountSeparated_Method1)+(I89*X_Cell_Dairy_Stage1MMS_1_DrainsToPaddock_AmountSeparated_Method1)</f>
        <v>0.39999999999999997</v>
      </c>
      <c r="J95" s="26" t="s">
        <v>245</v>
      </c>
      <c r="K95" s="26"/>
      <c r="L95" s="26"/>
      <c r="M95" s="26"/>
      <c r="N95" s="26"/>
      <c r="S95" s="31"/>
    </row>
    <row r="96" spans="4:19" ht="20.100000000000001" customHeight="1" x14ac:dyDescent="0.25">
      <c r="D96" s="1" t="s">
        <v>257</v>
      </c>
      <c r="E96" s="111">
        <f>E94+(E79*X_Cell_Dairy_Stage1MMS_1_AnaerobicLagoon_AmountSeparated_Method2)+(E84*X_Cell_Dairy_Stage1MMS_1_SumpAndDispersal_AmountSeparated_Method2)+(E89*X_Cell_Dairy_Stage1MMS_1_DrainsToPaddock_AmountSeparated_Method2)</f>
        <v>0.39999999999999997</v>
      </c>
      <c r="F96" s="111">
        <f>F94+(F79*X_Cell_Dairy_Stage1MMS_1_AnaerobicLagoon_AmountSeparated_Method2)+(F84*X_Cell_Dairy_Stage1MMS_1_SumpAndDispersal_AmountSeparated_Method2)+(F89*X_Cell_Dairy_Stage1MMS_1_DrainsToPaddock_AmountSeparated_Method2)</f>
        <v>0.39999999999999997</v>
      </c>
      <c r="G96" s="111">
        <f>G94+(G79*X_Cell_Dairy_Stage1MMS_1_AnaerobicLagoon_AmountSeparated_Method2)+(G84*X_Cell_Dairy_Stage1MMS_1_SumpAndDispersal_AmountSeparated_Method2)+(G89*X_Cell_Dairy_Stage1MMS_1_DrainsToPaddock_AmountSeparated_Method2)</f>
        <v>0.39999999999999997</v>
      </c>
      <c r="H96" s="111">
        <f>H94+(H79*X_Cell_Dairy_Stage1MMS_1_AnaerobicLagoon_AmountSeparated_Method2)+(H84*X_Cell_Dairy_Stage1MMS_1_SumpAndDispersal_AmountSeparated_Method2)+(H89*X_Cell_Dairy_Stage1MMS_1_DrainsToPaddock_AmountSeparated_Method2)</f>
        <v>0.39999999999999997</v>
      </c>
      <c r="I96" s="111">
        <f>I94+(I79*X_Cell_Dairy_Stage1MMS_1_AnaerobicLagoon_AmountSeparated_Method2)+(I84*X_Cell_Dairy_Stage1MMS_1_SumpAndDispersal_AmountSeparated_Method2)+(I89*X_Cell_Dairy_Stage1MMS_1_DrainsToPaddock_AmountSeparated_Method2)</f>
        <v>0.39999999999999997</v>
      </c>
      <c r="J96" s="26" t="s">
        <v>245</v>
      </c>
      <c r="K96" s="26"/>
      <c r="S96" s="31"/>
    </row>
    <row r="97" spans="4:19" ht="20.100000000000001" customHeight="1" x14ac:dyDescent="0.25">
      <c r="F97" s="26"/>
      <c r="S97" s="31"/>
    </row>
    <row r="98" spans="4:19" ht="20.100000000000001" customHeight="1" x14ac:dyDescent="0.25">
      <c r="F98" s="113"/>
      <c r="S98" s="31"/>
    </row>
    <row r="99" spans="4:19" ht="20.100000000000001" customHeight="1" x14ac:dyDescent="0.25">
      <c r="D99" s="90" t="str">
        <f>"From " &amp; $D$65</f>
        <v>From Feed pad</v>
      </c>
      <c r="S99" s="31"/>
    </row>
    <row r="100" spans="4:19" ht="20.100000000000001" customHeight="1" x14ac:dyDescent="0.25">
      <c r="S100" s="31"/>
    </row>
    <row r="101" spans="4:19" ht="20.100000000000001" customHeight="1" x14ac:dyDescent="0.25">
      <c r="D101" s="114" t="s">
        <v>249</v>
      </c>
      <c r="E101" s="94" t="s">
        <v>213</v>
      </c>
      <c r="F101" s="94" t="s">
        <v>214</v>
      </c>
      <c r="G101" s="94" t="s">
        <v>215</v>
      </c>
      <c r="H101" s="94" t="s">
        <v>216</v>
      </c>
      <c r="I101" s="94" t="s">
        <v>217</v>
      </c>
      <c r="J101" s="109" t="s">
        <v>250</v>
      </c>
      <c r="K101" s="109"/>
      <c r="L101" s="97" t="s">
        <v>251</v>
      </c>
      <c r="M101" s="97"/>
      <c r="N101" s="94"/>
      <c r="S101" s="31"/>
    </row>
    <row r="102" spans="4:19" ht="20.100000000000001" customHeight="1" x14ac:dyDescent="0.25">
      <c r="D102" s="115"/>
      <c r="L102" s="110" t="s">
        <v>252</v>
      </c>
      <c r="M102" s="110" t="s">
        <v>253</v>
      </c>
      <c r="N102" s="110" t="s">
        <v>254</v>
      </c>
      <c r="S102" s="31"/>
    </row>
    <row r="103" spans="4:19" ht="20.100000000000001" customHeight="1" x14ac:dyDescent="0.25">
      <c r="D103" s="116" t="str">
        <f>'Constants - Dairy'!$D$8</f>
        <v>Anaerobic lagoon</v>
      </c>
      <c r="E103" s="28">
        <v>0.25</v>
      </c>
      <c r="F103" s="28">
        <v>0.25</v>
      </c>
      <c r="G103" s="28">
        <v>0.25</v>
      </c>
      <c r="H103" s="28">
        <v>0.25</v>
      </c>
      <c r="I103" s="28">
        <v>0.25</v>
      </c>
      <c r="J103" s="26" t="s">
        <v>245</v>
      </c>
      <c r="K103" s="26"/>
      <c r="L103" s="28">
        <v>0.25</v>
      </c>
      <c r="M103" s="28">
        <v>0.25</v>
      </c>
      <c r="N103" s="111">
        <f>1-SUM(L103:M103)</f>
        <v>0.5</v>
      </c>
      <c r="S103" s="31"/>
    </row>
    <row r="104" spans="4:19" ht="20.100000000000001" customHeight="1" x14ac:dyDescent="0.25">
      <c r="D104" s="117" t="str">
        <f>"Were solids separated from " &amp; D103 &amp; "?"</f>
        <v>Were solids separated from Anaerobic lagoon?</v>
      </c>
      <c r="E104" s="23" t="s">
        <v>258</v>
      </c>
      <c r="S104" s="31"/>
    </row>
    <row r="105" spans="4:19" ht="20.100000000000001" customHeight="1" x14ac:dyDescent="0.25">
      <c r="D105" s="117" t="str">
        <f>"Percent solids separated from " &amp; D103 &amp; " (Method 1)"</f>
        <v>Percent solids separated from Anaerobic lagoon (Method 1)</v>
      </c>
      <c r="E105" s="111">
        <f>IF(X_Cell_Dairy_Stage1MMS_2_AnaerobicLagoon_SolidsSeparated="Yes", 20%, 0)</f>
        <v>0</v>
      </c>
      <c r="S105" s="31"/>
    </row>
    <row r="106" spans="4:19" ht="20.100000000000001" customHeight="1" x14ac:dyDescent="0.25">
      <c r="D106" s="117" t="str">
        <f>"Percent solids separated from " &amp; D103 &amp; " (Method 2)"</f>
        <v>Percent solids separated from Anaerobic lagoon (Method 2)</v>
      </c>
      <c r="E106" s="28">
        <f>IF(X_Cell_Dairy_Stage1MMS_2_AnaerobicLagoon_SolidsSeparated="Yes", 20%, 0)</f>
        <v>0</v>
      </c>
      <c r="S106" s="31"/>
    </row>
    <row r="107" spans="4:19" ht="20.100000000000001" customHeight="1" x14ac:dyDescent="0.25"/>
    <row r="108" spans="4:19" ht="20.100000000000001" customHeight="1" x14ac:dyDescent="0.25">
      <c r="D108" s="116" t="str">
        <f>'Constants - Dairy'!$D$9</f>
        <v>Sump and dispersal system</v>
      </c>
      <c r="E108" s="28">
        <v>0.25</v>
      </c>
      <c r="F108" s="28">
        <v>0.25</v>
      </c>
      <c r="G108" s="28">
        <v>0.25</v>
      </c>
      <c r="H108" s="28">
        <v>0.25</v>
      </c>
      <c r="I108" s="28">
        <v>0.25</v>
      </c>
      <c r="J108" s="26" t="s">
        <v>245</v>
      </c>
      <c r="K108" s="26"/>
      <c r="L108" s="28">
        <v>0.25</v>
      </c>
      <c r="M108" s="28">
        <v>0.25</v>
      </c>
      <c r="N108" s="111">
        <f t="shared" ref="N108" si="3">1-SUM(L108:M108)</f>
        <v>0.5</v>
      </c>
    </row>
    <row r="109" spans="4:19" ht="20.100000000000001" customHeight="1" x14ac:dyDescent="0.25">
      <c r="D109" s="117" t="str">
        <f>"Were solids separated from " &amp; D108 &amp; "?"</f>
        <v>Were solids separated from Sump and dispersal system?</v>
      </c>
      <c r="E109" s="23" t="s">
        <v>255</v>
      </c>
    </row>
    <row r="110" spans="4:19" ht="20.100000000000001" customHeight="1" x14ac:dyDescent="0.25">
      <c r="D110" s="117" t="str">
        <f>"Percent solids separated from " &amp; D108 &amp; " (Method 1)"</f>
        <v>Percent solids separated from Sump and dispersal system (Method 1)</v>
      </c>
      <c r="E110" s="111">
        <f>IF(X_Cell_Dairy_Stage1MMS_2_SumpAndDispersal_SolidsSeparated="Yes", 20%, 0)</f>
        <v>0.2</v>
      </c>
    </row>
    <row r="111" spans="4:19" ht="20.100000000000001" customHeight="1" x14ac:dyDescent="0.25">
      <c r="D111" s="117"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6" t="str">
        <f>'Constants - Dairy'!$D$10</f>
        <v>Drains to paddock</v>
      </c>
      <c r="E113" s="28">
        <v>0.25</v>
      </c>
      <c r="F113" s="28">
        <v>0.25</v>
      </c>
      <c r="G113" s="28">
        <v>0.25</v>
      </c>
      <c r="H113" s="28">
        <v>0.25</v>
      </c>
      <c r="I113" s="28">
        <v>0.25</v>
      </c>
      <c r="J113" s="26" t="s">
        <v>245</v>
      </c>
      <c r="K113" s="26"/>
      <c r="L113" s="28">
        <v>0.25</v>
      </c>
      <c r="M113" s="28">
        <v>0.25</v>
      </c>
      <c r="N113" s="111">
        <f>1-SUM(L113:M113)</f>
        <v>0.5</v>
      </c>
    </row>
    <row r="114" spans="4:14" ht="20.100000000000001" customHeight="1" x14ac:dyDescent="0.25">
      <c r="D114" s="117" t="str">
        <f>"Were solids separated from " &amp; D113 &amp; "?"</f>
        <v>Were solids separated from Drains to paddock?</v>
      </c>
      <c r="E114" s="23" t="s">
        <v>255</v>
      </c>
    </row>
    <row r="115" spans="4:14" ht="20.100000000000001" customHeight="1" x14ac:dyDescent="0.25">
      <c r="D115" s="117" t="str">
        <f>"Percent solids separated from " &amp; D113 &amp; " (Method 1)"</f>
        <v>Percent solids separated from Drains to paddock (Method 1)</v>
      </c>
      <c r="E115" s="111">
        <f>IF(X_Cell_Dairy_Stage1MMS_2_DrainsToPaddock_SolidsSeparated="Yes", 20%, 0)</f>
        <v>0.2</v>
      </c>
    </row>
    <row r="116" spans="4:14" ht="20.100000000000001" customHeight="1" x14ac:dyDescent="0.25">
      <c r="D116" s="117"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6" t="str">
        <f>'Constants - Dairy'!$D$11 &amp; " (before solid separation)"</f>
        <v>Solid storage (before solid separation)</v>
      </c>
      <c r="E118" s="28">
        <v>0.25</v>
      </c>
      <c r="F118" s="28">
        <v>0.25</v>
      </c>
      <c r="G118" s="28">
        <v>0.25</v>
      </c>
      <c r="H118" s="28">
        <v>0.25</v>
      </c>
      <c r="I118" s="28">
        <v>0.25</v>
      </c>
      <c r="J118" s="26" t="s">
        <v>245</v>
      </c>
      <c r="K118" s="26"/>
      <c r="L118" s="28">
        <v>0.25</v>
      </c>
      <c r="M118" s="28">
        <v>0.25</v>
      </c>
      <c r="N118" s="111">
        <f>1-SUM(L118:M118)</f>
        <v>0.5</v>
      </c>
    </row>
    <row r="119" spans="4:14" ht="20.100000000000001" customHeight="1" x14ac:dyDescent="0.25">
      <c r="D119" s="115" t="s">
        <v>256</v>
      </c>
      <c r="E119" s="111">
        <f>E118+(E103*X_Cell_Dairy_Stage1MMS_2_AnaerobicLagoon_AmountSeparated_Method1)+(E108*X_Cell_Dairy_Stage1MMS_2_SumpAndDispersal_AmountSeparated_Method1)+(E113*X_Cell_Dairy_Stage1MMS_2_DrainsToPaddock_AmountSeparated_Method1)</f>
        <v>0.35</v>
      </c>
      <c r="F119" s="111">
        <f>F118+(F103*X_Cell_Dairy_Stage1MMS_2_AnaerobicLagoon_AmountSeparated_Method1)+(F108*X_Cell_Dairy_Stage1MMS_2_SumpAndDispersal_AmountSeparated_Method1)+(F113*X_Cell_Dairy_Stage1MMS_2_DrainsToPaddock_AmountSeparated_Method1)</f>
        <v>0.35</v>
      </c>
      <c r="G119" s="111">
        <f>G118+(G103*X_Cell_Dairy_Stage1MMS_2_AnaerobicLagoon_AmountSeparated_Method1)+(G108*X_Cell_Dairy_Stage1MMS_2_SumpAndDispersal_AmountSeparated_Method1)+(G113*X_Cell_Dairy_Stage1MMS_2_DrainsToPaddock_AmountSeparated_Method1)</f>
        <v>0.35</v>
      </c>
      <c r="H119" s="111">
        <f>H118+(H103*X_Cell_Dairy_Stage1MMS_2_AnaerobicLagoon_AmountSeparated_Method1)+(H108*X_Cell_Dairy_Stage1MMS_2_SumpAndDispersal_AmountSeparated_Method1)+(H113*X_Cell_Dairy_Stage1MMS_2_DrainsToPaddock_AmountSeparated_Method1)</f>
        <v>0.35</v>
      </c>
      <c r="I119" s="111">
        <f>I118+(I103*X_Cell_Dairy_Stage1MMS_2_AnaerobicLagoon_AmountSeparated_Method1)+(I108*X_Cell_Dairy_Stage1MMS_2_SumpAndDispersal_AmountSeparated_Method1)+(I113*X_Cell_Dairy_Stage1MMS_2_DrainsToPaddock_AmountSeparated_Method1)</f>
        <v>0.35</v>
      </c>
      <c r="J119" s="26" t="s">
        <v>245</v>
      </c>
      <c r="K119" s="26"/>
      <c r="L119" s="26"/>
      <c r="M119" s="26"/>
      <c r="N119" s="26"/>
    </row>
    <row r="120" spans="4:14" ht="20.100000000000001" customHeight="1" x14ac:dyDescent="0.25">
      <c r="D120" s="115" t="s">
        <v>257</v>
      </c>
      <c r="E120" s="111">
        <f>E118+(E103*X_Cell_Dairy_Stage1MMS_2_AnaerobicLagoon_AmountSeparated_Method2)+(E108*X_Cell_Dairy_Stage1MMS_2_SumpAndDispersal_AmountSeparated_Method2)+(E113*X_Cell_Dairy_Stage1MMS_2_DrainsToPaddock_AmountSeparated_Method2)</f>
        <v>0.35</v>
      </c>
      <c r="F120" s="111">
        <f>F118+(F103*X_Cell_Dairy_Stage1MMS_2_AnaerobicLagoon_AmountSeparated_Method2)+(F108*X_Cell_Dairy_Stage1MMS_2_SumpAndDispersal_AmountSeparated_Method2)+(F113*X_Cell_Dairy_Stage1MMS_2_DrainsToPaddock_AmountSeparated_Method2)</f>
        <v>0.35</v>
      </c>
      <c r="G120" s="111">
        <f>G118+(G103*X_Cell_Dairy_Stage1MMS_2_AnaerobicLagoon_AmountSeparated_Method2)+(G108*X_Cell_Dairy_Stage1MMS_2_SumpAndDispersal_AmountSeparated_Method2)+(G113*X_Cell_Dairy_Stage1MMS_2_DrainsToPaddock_AmountSeparated_Method2)</f>
        <v>0.35</v>
      </c>
      <c r="H120" s="111">
        <f>H118+(H103*X_Cell_Dairy_Stage1MMS_2_AnaerobicLagoon_AmountSeparated_Method2)+(H108*X_Cell_Dairy_Stage1MMS_2_SumpAndDispersal_AmountSeparated_Method2)+(H113*X_Cell_Dairy_Stage1MMS_2_DrainsToPaddock_AmountSeparated_Method2)</f>
        <v>0.35</v>
      </c>
      <c r="I120" s="111">
        <f>I118+(I103*X_Cell_Dairy_Stage1MMS_2_AnaerobicLagoon_AmountSeparated_Method2)+(I108*X_Cell_Dairy_Stage1MMS_2_SumpAndDispersal_AmountSeparated_Method2)+(I113*X_Cell_Dairy_Stage1MMS_2_DrainsToPaddock_AmountSeparated_Method2)</f>
        <v>0.35</v>
      </c>
      <c r="J120" s="26" t="s">
        <v>245</v>
      </c>
      <c r="K120" s="26"/>
    </row>
    <row r="121" spans="4:14" ht="20.100000000000001" customHeight="1" x14ac:dyDescent="0.25"/>
    <row r="122" spans="4:14" ht="20.100000000000001" customHeight="1" x14ac:dyDescent="0.25"/>
    <row r="123" spans="4:14" ht="20.100000000000001" customHeight="1" x14ac:dyDescent="0.25">
      <c r="D123" s="1" t="s">
        <v>259</v>
      </c>
      <c r="E123" s="23" t="s">
        <v>171</v>
      </c>
      <c r="F123" s="26" t="s">
        <v>101</v>
      </c>
    </row>
    <row r="124" spans="4:14" ht="20.100000000000001" customHeight="1" x14ac:dyDescent="0.25">
      <c r="E124" s="23" t="s">
        <v>260</v>
      </c>
      <c r="F124" s="26" t="s">
        <v>101</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23924373-2183-43A6-88A5-14FA9FCD51AE}">
      <formula1>"Litres of milk, Milk solids"</formula1>
    </dataValidation>
    <dataValidation type="list" allowBlank="1" showInputMessage="1" showErrorMessage="1" sqref="E7" xr:uid="{7F87065A-0CE7-4012-9D6B-ADCE4840A0E7}">
      <formula1>INDIRECT("Table_SourceData_Dairy_WjCowsHeifers[Breed]")</formula1>
    </dataValidation>
    <dataValidation type="list" allowBlank="1" showInputMessage="1" showErrorMessage="1" sqref="E80 E85 E90 E104 E109 E114" xr:uid="{06E0D37B-3A1E-4F2D-86A8-E4C7D4C4CCFD}">
      <formula1>"Yes, No"</formula1>
    </dataValidation>
    <dataValidation type="list" allowBlank="1" showInputMessage="1" showErrorMessage="1" sqref="E60" xr:uid="{826AAC03-553C-409E-B855-97CE163687B0}">
      <formula1>INDIRECT("Table_SourceData_Dairy_ProductionSystemTemplates[Area]")</formula1>
    </dataValidation>
    <dataValidation type="list" allowBlank="1" showInputMessage="1" showErrorMessage="1" sqref="E124" xr:uid="{60D95587-1910-4BA3-9F15-535D9577C3C9}">
      <formula1>INDIRECT("Table_SourceData_Dairy_IrrigationMethods[Irrigation method]")</formula1>
    </dataValidation>
    <dataValidation type="list" allowBlank="1" showInputMessage="1" showErrorMessage="1" sqref="E123" xr:uid="{F1B95EB6-9976-4295-A534-F30E6EF9ADA3}">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454F0-7757-469C-B7DC-4AEFCDF2EB81}">
  <dimension ref="A1:W178"/>
  <sheetViews>
    <sheetView showGridLines="0" topLeftCell="A3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6" customWidth="1"/>
    <col min="17" max="22" width="30.7109375" style="96" customWidth="1"/>
    <col min="23" max="23" width="4.7109375" style="96" customWidth="1"/>
  </cols>
  <sheetData>
    <row r="1" spans="1:23" s="16" customFormat="1" ht="30" customHeight="1" x14ac:dyDescent="0.35">
      <c r="A1" s="16" t="e" vm="1">
        <v>#VALUE!</v>
      </c>
      <c r="C1" s="16" t="s">
        <v>209</v>
      </c>
      <c r="O1" s="96"/>
      <c r="P1" s="96"/>
      <c r="Q1" s="96"/>
      <c r="R1" s="96"/>
      <c r="S1" s="96"/>
      <c r="T1" s="96"/>
      <c r="U1" s="96"/>
      <c r="V1" s="96"/>
      <c r="W1" s="96"/>
    </row>
    <row r="2" spans="1:23" s="3" customFormat="1" ht="20.100000000000001" customHeight="1" x14ac:dyDescent="0.25">
      <c r="A2"/>
      <c r="O2" s="96"/>
      <c r="P2" s="96"/>
      <c r="Q2" s="96"/>
      <c r="R2" s="96"/>
      <c r="S2" s="96"/>
      <c r="T2" s="96"/>
      <c r="U2" s="96"/>
      <c r="V2" s="96"/>
      <c r="W2" s="96"/>
    </row>
    <row r="3" spans="1:23" ht="20.100000000000001" customHeight="1" x14ac:dyDescent="0.25">
      <c r="A3" s="5" t="str">
        <f>HYPERLINK("#'Home'!A1", "Home")</f>
        <v>Home</v>
      </c>
      <c r="C3" s="38"/>
      <c r="D3" s="38"/>
      <c r="E3" s="38"/>
      <c r="F3" s="38"/>
      <c r="G3" s="38"/>
      <c r="H3" s="38"/>
      <c r="I3" s="38"/>
      <c r="J3" s="38"/>
      <c r="K3" s="38"/>
      <c r="L3" s="38"/>
      <c r="M3" s="38"/>
      <c r="N3" s="38"/>
    </row>
    <row r="4" spans="1:23" ht="20.100000000000001" customHeight="1" x14ac:dyDescent="0.25">
      <c r="A4" s="5" t="str">
        <f>HYPERLINK("#'Overview'!A1", "Overview")</f>
        <v>Overview</v>
      </c>
    </row>
    <row r="5" spans="1:23" ht="20.100000000000001" customHeight="1" x14ac:dyDescent="0.25">
      <c r="A5" s="5" t="str">
        <f>HYPERLINK("#'Results'!A1", "Results")</f>
        <v>Results</v>
      </c>
      <c r="D5" s="2" t="s">
        <v>210</v>
      </c>
      <c r="N5" s="34"/>
      <c r="R5" s="31"/>
    </row>
    <row r="6" spans="1:23" ht="20.100000000000001" customHeight="1" x14ac:dyDescent="0.25">
      <c r="N6" s="34"/>
      <c r="R6" s="31"/>
    </row>
    <row r="7" spans="1:23" ht="20.100000000000001" customHeight="1" x14ac:dyDescent="0.25">
      <c r="D7" s="1" t="s">
        <v>211</v>
      </c>
      <c r="E7" s="23" t="s">
        <v>212</v>
      </c>
      <c r="F7" s="26" t="s">
        <v>101</v>
      </c>
      <c r="N7" s="34"/>
      <c r="R7" s="31"/>
    </row>
    <row r="8" spans="1:23" ht="20.100000000000001" customHeight="1" x14ac:dyDescent="0.25">
      <c r="A8" s="7" t="s">
        <v>0</v>
      </c>
      <c r="N8" s="34"/>
      <c r="R8" s="31"/>
    </row>
    <row r="9" spans="1:23" ht="20.100000000000001" customHeight="1" x14ac:dyDescent="0.25">
      <c r="A9" s="5" t="str">
        <f>HYPERLINK("#'Input - Enterprise'!A1", "Enterprise")</f>
        <v>Enterprise</v>
      </c>
      <c r="D9" s="97"/>
      <c r="E9" s="94" t="s">
        <v>213</v>
      </c>
      <c r="F9" s="94" t="s">
        <v>214</v>
      </c>
      <c r="G9" s="94" t="s">
        <v>215</v>
      </c>
      <c r="H9" s="94" t="s">
        <v>216</v>
      </c>
      <c r="I9" s="94" t="s">
        <v>217</v>
      </c>
      <c r="R9" s="31"/>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9">
        <v>100</v>
      </c>
      <c r="F10" s="99">
        <v>100</v>
      </c>
      <c r="G10" s="99">
        <v>100</v>
      </c>
      <c r="H10" s="99">
        <v>100</v>
      </c>
      <c r="I10" s="99">
        <v>100</v>
      </c>
      <c r="J10" s="26" t="s">
        <v>218</v>
      </c>
      <c r="K10" s="26"/>
      <c r="L10" s="26"/>
      <c r="M10" s="26"/>
      <c r="R10" s="31"/>
    </row>
    <row r="11" spans="1:23" ht="20.100000000000001" customHeight="1" x14ac:dyDescent="0.25">
      <c r="A11" s="5" t="str">
        <f>HYPERLINK("#'Input - Dairy'!A1", "Dairy")</f>
        <v>Dairy</v>
      </c>
      <c r="R11" s="31"/>
    </row>
    <row r="12" spans="1:23" ht="20.100000000000001" customHeight="1" x14ac:dyDescent="0.25">
      <c r="A12" s="98" t="str">
        <f>HYPERLINK("#'Input - Dairy (Enteric)'!A1", "Dairy (Enteric)")</f>
        <v>Dairy (Enteric)</v>
      </c>
      <c r="D12" s="90" t="s">
        <v>219</v>
      </c>
      <c r="R12" s="31"/>
    </row>
    <row r="13" spans="1:23" ht="20.100000000000001" customHeight="1" x14ac:dyDescent="0.25">
      <c r="A13" s="5" t="str">
        <f>HYPERLINK("#'Input - Livestock sales'!A1", "Livestock sales")</f>
        <v>Livestock sales</v>
      </c>
      <c r="D13" s="97" t="s">
        <v>220</v>
      </c>
      <c r="E13" s="94" t="s">
        <v>213</v>
      </c>
      <c r="F13" s="94" t="s">
        <v>214</v>
      </c>
      <c r="G13" s="94" t="s">
        <v>215</v>
      </c>
      <c r="H13" s="94" t="s">
        <v>216</v>
      </c>
      <c r="I13" s="94" t="s">
        <v>217</v>
      </c>
      <c r="R13" s="51"/>
    </row>
    <row r="14" spans="1:23" ht="20.100000000000001" customHeight="1" x14ac:dyDescent="0.25">
      <c r="A14" s="5" t="str">
        <f>HYPERLINK("#'Input - Dairy cattle purchases'!A1", "Dairy cattle purchases")</f>
        <v>Dairy cattle purchases</v>
      </c>
      <c r="D14" s="1" t="s">
        <v>221</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222</v>
      </c>
      <c r="K14" s="26"/>
      <c r="L14" s="26"/>
      <c r="M14" s="26"/>
      <c r="R14" s="51"/>
    </row>
    <row r="15" spans="1:23" ht="20.100000000000001" customHeight="1" x14ac:dyDescent="0.25">
      <c r="A15" s="5" t="str">
        <f>HYPERLINK("#'Input - Pasture'!A1", "Pasture")</f>
        <v>Pasture</v>
      </c>
      <c r="D15" s="1" t="s">
        <v>223</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224</v>
      </c>
      <c r="K15" s="26"/>
      <c r="L15" s="26"/>
      <c r="M15" s="26"/>
      <c r="R15" s="51"/>
    </row>
    <row r="16" spans="1:23" ht="20.100000000000001" customHeight="1" x14ac:dyDescent="0.25">
      <c r="A16" s="5" t="str">
        <f>HYPERLINK("#'Input - Fert Prod System'!A1", "Fert Prod System")</f>
        <v>Fert Prod System</v>
      </c>
      <c r="R16" s="51"/>
    </row>
    <row r="17" spans="1:18" ht="20.100000000000001" customHeight="1" x14ac:dyDescent="0.25">
      <c r="A17" s="5" t="str">
        <f>HYPERLINK("#'Input - Fertiliser'!A1", "Fertiliser")</f>
        <v>Fertiliser</v>
      </c>
      <c r="D17" s="97" t="s">
        <v>225</v>
      </c>
      <c r="E17" s="94" t="s">
        <v>213</v>
      </c>
      <c r="F17" s="94" t="s">
        <v>214</v>
      </c>
      <c r="G17" s="94" t="s">
        <v>215</v>
      </c>
      <c r="H17" s="94" t="s">
        <v>216</v>
      </c>
      <c r="I17" s="94" t="s">
        <v>217</v>
      </c>
      <c r="R17" s="31"/>
    </row>
    <row r="18" spans="1:18" ht="20.100000000000001" customHeight="1" x14ac:dyDescent="0.25">
      <c r="A18" s="5" t="str">
        <f>HYPERLINK("#'Input - Fuel'!A1", "Fuel")</f>
        <v>Fuel</v>
      </c>
      <c r="D18" s="1" t="s">
        <v>221</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222</v>
      </c>
      <c r="K18" s="26"/>
      <c r="L18" s="26"/>
      <c r="M18" s="26"/>
      <c r="R18" s="31"/>
    </row>
    <row r="19" spans="1:18" ht="20.100000000000001" customHeight="1" x14ac:dyDescent="0.25">
      <c r="A19" s="5" t="str">
        <f>HYPERLINK("#'Input - Electricity'!A1", "Electricity")</f>
        <v>Electricity</v>
      </c>
      <c r="D19" s="1" t="s">
        <v>223</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224</v>
      </c>
      <c r="K19" s="26"/>
      <c r="L19" s="26"/>
      <c r="M19" s="26"/>
      <c r="R19" s="31"/>
    </row>
    <row r="20" spans="1:18" ht="20.100000000000001" customHeight="1" x14ac:dyDescent="0.25">
      <c r="A20" s="5" t="str">
        <f>HYPERLINK("#'Input - Common farm inputs'!A1", "Common farm inputs")</f>
        <v>Common farm inputs</v>
      </c>
      <c r="R20" s="31"/>
    </row>
    <row r="21" spans="1:18" ht="20.100000000000001" customHeight="1" x14ac:dyDescent="0.25">
      <c r="A21" s="5" t="str">
        <f>HYPERLINK("#'Input - Crop pasture farm input'!A1", "Crop pasture farm input")</f>
        <v>Crop pasture farm input</v>
      </c>
      <c r="D21" s="90" t="s">
        <v>226</v>
      </c>
      <c r="R21" s="31"/>
    </row>
    <row r="22" spans="1:18" ht="20.100000000000001" customHeight="1" x14ac:dyDescent="0.25">
      <c r="A22" s="5" t="str">
        <f>HYPERLINK("#'Input - Livestock farm Inputs'!A1", "Livestock farm Inputs")</f>
        <v>Livestock farm Inputs</v>
      </c>
      <c r="R22" s="31"/>
    </row>
    <row r="23" spans="1:18" ht="20.100000000000001" customHeight="1" x14ac:dyDescent="0.25">
      <c r="A23" s="5" t="str">
        <f>HYPERLINK("#'Input - Freight'!A1", "Freight")</f>
        <v>Freight</v>
      </c>
      <c r="D23" s="97" t="s">
        <v>220</v>
      </c>
      <c r="E23" s="94" t="s">
        <v>213</v>
      </c>
      <c r="F23" s="94" t="s">
        <v>214</v>
      </c>
      <c r="G23" s="94" t="s">
        <v>215</v>
      </c>
      <c r="H23" s="94" t="s">
        <v>216</v>
      </c>
      <c r="I23" s="94" t="s">
        <v>217</v>
      </c>
      <c r="R23" s="31"/>
    </row>
    <row r="24" spans="1:18" ht="20.100000000000001" customHeight="1" x14ac:dyDescent="0.25">
      <c r="A24" s="5" t="str">
        <f>HYPERLINK("#'Input - Manure sent off-site'!A1", "Manure sent off-site")</f>
        <v>Manure sent off-site</v>
      </c>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R24" s="31"/>
    </row>
    <row r="25" spans="1:18" ht="20.100000000000001" customHeight="1" x14ac:dyDescent="0.25">
      <c r="A25" s="5" t="str">
        <f>HYPERLINK("#'Input - Solid waste'!A1", "Solid waste")</f>
        <v>Solid waste</v>
      </c>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R25" s="31"/>
    </row>
    <row r="26" spans="1:18" ht="20.100000000000001" customHeight="1" x14ac:dyDescent="0.25">
      <c r="A26" s="5" t="str">
        <f>HYPERLINK("#'Input - Data quality'!A1", "Data quality")</f>
        <v>Data quality</v>
      </c>
      <c r="R26" s="31"/>
    </row>
    <row r="27" spans="1:18" ht="20.100000000000001" customHeight="1" x14ac:dyDescent="0.25">
      <c r="D27" s="97" t="s">
        <v>225</v>
      </c>
      <c r="E27" s="94" t="s">
        <v>213</v>
      </c>
      <c r="F27" s="94" t="s">
        <v>214</v>
      </c>
      <c r="G27" s="94" t="s">
        <v>215</v>
      </c>
      <c r="H27" s="94" t="s">
        <v>216</v>
      </c>
      <c r="I27" s="94" t="s">
        <v>217</v>
      </c>
      <c r="R27" s="31"/>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R28" s="31"/>
    </row>
    <row r="29" spans="1:18" ht="20.100000000000001" customHeight="1" x14ac:dyDescent="0.25">
      <c r="A29" s="6" t="s">
        <v>2</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R29" s="31"/>
    </row>
    <row r="30" spans="1:18" ht="20.100000000000001" customHeight="1" x14ac:dyDescent="0.25">
      <c r="A30" s="5" t="str">
        <f>HYPERLINK("#'5.1.1.1-2 Inorganic fert N2O'!A1", "5.1.1.1-2 Inorganic fert N2O")</f>
        <v>5.1.1.1-2 Inorganic fert N2O</v>
      </c>
      <c r="R30" s="31"/>
    </row>
    <row r="31" spans="1:18" ht="20.100000000000001" customHeight="1" x14ac:dyDescent="0.25">
      <c r="A31" s="5" t="str">
        <f>HYPERLINK("#'5.1.1.3-4 Inorganic fert CO2'!A1", "5.1.1.3-4 Inorganic fert CO2")</f>
        <v>5.1.1.3-4 Inorganic fert CO2</v>
      </c>
      <c r="R31" s="31"/>
    </row>
    <row r="32" spans="1:18" ht="20.100000000000001" customHeight="1" x14ac:dyDescent="0.25">
      <c r="A32" s="5" t="str">
        <f>HYPERLINK("#'5.2.1.1-2 Organic Fert N2O'!A1", "5.2.1.1-2 Organic fert N2O")</f>
        <v>5.2.1.1-2 Organic fert N2O</v>
      </c>
      <c r="C32" s="101"/>
      <c r="D32" s="101"/>
      <c r="E32" s="101"/>
      <c r="F32" s="101"/>
      <c r="G32" s="101"/>
      <c r="H32" s="101"/>
      <c r="I32" s="101"/>
      <c r="J32" s="101"/>
      <c r="K32" s="101"/>
      <c r="L32" s="101"/>
      <c r="M32" s="101"/>
      <c r="N32" s="101"/>
      <c r="R32" s="31"/>
    </row>
    <row r="33" spans="1:18" ht="20.100000000000001" customHeight="1" x14ac:dyDescent="0.25">
      <c r="A33" s="5" t="str">
        <f>HYPERLINK("#'5.3.1.1-2 Lime CO2'!A1", "5.3.1.1-2 Lime CO2")</f>
        <v>5.3.1.1-2 Lime CO2</v>
      </c>
      <c r="D33" s="2" t="s">
        <v>227</v>
      </c>
      <c r="R33" s="31"/>
    </row>
    <row r="34" spans="1:18" ht="20.100000000000001" customHeight="1" x14ac:dyDescent="0.25">
      <c r="A34" s="5" t="str">
        <f>HYPERLINK("#'5.4.1.1-4 Atmos deposition'!A1", "5.4.1.1-4 Atmos. deposition")</f>
        <v>5.4.1.1-4 Atmos. deposition</v>
      </c>
      <c r="D34" s="90"/>
      <c r="R34" s="31"/>
    </row>
    <row r="35" spans="1:18" ht="20.100000000000001" customHeight="1" x14ac:dyDescent="0.25">
      <c r="A35" s="5" t="str">
        <f>HYPERLINK("#'5.5.1.1-2 Leaching and runoff'!A1", "5.5.1.1-2 Leaching &amp; runoff")</f>
        <v>5.5.1.1-2 Leaching &amp; runoff</v>
      </c>
      <c r="D35" s="97" t="s">
        <v>220</v>
      </c>
      <c r="E35" s="94" t="s">
        <v>213</v>
      </c>
      <c r="F35" s="94" t="s">
        <v>214</v>
      </c>
      <c r="G35" s="94" t="s">
        <v>215</v>
      </c>
      <c r="H35" s="94" t="s">
        <v>216</v>
      </c>
      <c r="I35" s="94" t="s">
        <v>217</v>
      </c>
      <c r="R35" s="31"/>
    </row>
    <row r="36" spans="1:18" ht="20.100000000000001" customHeight="1" x14ac:dyDescent="0.25">
      <c r="A36" s="5" t="str">
        <f>HYPERLINK("#'6.2.1.1-2 Pasture residue N2O'!A1", "6.2.1.1-2 Pasture residue N2O")</f>
        <v>6.2.1.1-2 Pasture residue N2O</v>
      </c>
      <c r="D36" s="1" t="s">
        <v>228</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229</v>
      </c>
      <c r="K36" s="26"/>
      <c r="L36" s="26"/>
      <c r="M36" s="26"/>
      <c r="R36" s="31"/>
    </row>
    <row r="37" spans="1:18" ht="20.100000000000001" customHeight="1" x14ac:dyDescent="0.25">
      <c r="A37" s="5" t="str">
        <f>HYPERLINK("#'6.3.1.1-2 Leach runoff pasture'!A1", "6.3.1.1-2 Leach &amp; runoff (pasture)")</f>
        <v>6.3.1.1-2 Leach &amp; runoff (pasture)</v>
      </c>
      <c r="D37" s="1" t="s">
        <v>230</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229</v>
      </c>
      <c r="K37" s="26"/>
      <c r="L37" s="26"/>
      <c r="M37" s="26"/>
      <c r="R37" s="31"/>
    </row>
    <row r="38" spans="1:18" ht="20.100000000000001" customHeight="1" x14ac:dyDescent="0.25">
      <c r="A38" s="5" t="str">
        <f>HYPERLINK("#'8.1.1.1-2 Transport fuel'!A1", "8.1.1.1-2 Transport fuel")</f>
        <v>8.1.1.1-2 Transport fuel</v>
      </c>
      <c r="K38" s="26"/>
      <c r="L38" s="26"/>
      <c r="M38" s="26"/>
      <c r="R38" s="31"/>
    </row>
    <row r="39" spans="1:18" ht="20.100000000000001" customHeight="1" x14ac:dyDescent="0.25">
      <c r="A39" s="5" t="str">
        <f>HYPERLINK("#'8.2.1.1-2 Stationary fuel'!A1", "8.2.1.1-2 Stationary fuel")</f>
        <v>8.2.1.1-2 Stationary fuel</v>
      </c>
      <c r="D39" s="97" t="s">
        <v>225</v>
      </c>
      <c r="E39" s="94" t="s">
        <v>213</v>
      </c>
      <c r="F39" s="94" t="s">
        <v>214</v>
      </c>
      <c r="G39" s="94" t="s">
        <v>215</v>
      </c>
      <c r="H39" s="94" t="s">
        <v>216</v>
      </c>
      <c r="I39" s="94" t="s">
        <v>217</v>
      </c>
      <c r="R39" s="31"/>
    </row>
    <row r="40" spans="1:18" ht="20.100000000000001" customHeight="1" x14ac:dyDescent="0.25">
      <c r="A40" s="5" t="str">
        <f>HYPERLINK("#'14.1.1-2 Purchased electricity'!A1", "14.1.1-2 Purchased electricity")</f>
        <v>14.1.1-2 Purchased electricity</v>
      </c>
      <c r="D40" s="1" t="s">
        <v>228</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229</v>
      </c>
      <c r="K40" s="26"/>
      <c r="R40" s="31"/>
    </row>
    <row r="41" spans="1:18" ht="20.100000000000001" customHeight="1" x14ac:dyDescent="0.25">
      <c r="A41" s="5" t="str">
        <f>HYPERLINK("#'15 Scope 3'!A1", "15 Scope 3")</f>
        <v>15 Scope 3</v>
      </c>
      <c r="D41" s="1" t="s">
        <v>230</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229</v>
      </c>
      <c r="K41" s="26"/>
      <c r="L41" s="26"/>
      <c r="M41" s="26"/>
      <c r="R41" s="31"/>
    </row>
    <row r="42" spans="1:18" ht="20.100000000000001" customHeight="1" x14ac:dyDescent="0.25">
      <c r="A42" s="5" t="str">
        <f>HYPERLINK("#'Calcs - Manure sent off-site'!A1", "Calcs - Manure sent off-site")</f>
        <v>Calcs - Manure sent off-site</v>
      </c>
      <c r="K42" s="26"/>
      <c r="L42" s="26"/>
      <c r="M42" s="26"/>
      <c r="R42" s="31"/>
    </row>
    <row r="43" spans="1:18" ht="20.100000000000001" customHeight="1" x14ac:dyDescent="0.25">
      <c r="A43" s="5" t="str">
        <f>HYPERLINK("#'4.3.1.1-2 Methane'!A1", "4.3.1.1-2 Methane")</f>
        <v>4.3.1.1-2 Methane</v>
      </c>
      <c r="R43" s="31"/>
    </row>
    <row r="44" spans="1:18" ht="20.100000000000001" customHeight="1" x14ac:dyDescent="0.25">
      <c r="A44" s="5" t="str">
        <f>HYPERLINK("#'4.3.1.3-4 Direct N20'!A1", "4.3.1.3-4 Direct N20")</f>
        <v>4.3.1.3-4 Direct N20</v>
      </c>
      <c r="C44" s="101"/>
      <c r="D44" s="101"/>
      <c r="E44" s="101"/>
      <c r="F44" s="101"/>
      <c r="G44" s="101"/>
      <c r="H44" s="101"/>
      <c r="I44" s="101"/>
      <c r="J44" s="101"/>
      <c r="K44" s="101"/>
      <c r="L44" s="101"/>
      <c r="M44" s="101"/>
      <c r="N44" s="101"/>
      <c r="R44" s="31"/>
    </row>
    <row r="45" spans="1:18" ht="20.100000000000001" customHeight="1" x14ac:dyDescent="0.25">
      <c r="A45" s="5" t="str">
        <f>HYPERLINK("#'4.3.1.5 Atmos deposition'!A1", "4.3.1.5 Atmos deposition")</f>
        <v>4.3.1.5 Atmos deposition</v>
      </c>
      <c r="D45" s="2" t="s">
        <v>231</v>
      </c>
      <c r="E45" s="34"/>
      <c r="F45" s="34"/>
      <c r="G45" s="34"/>
      <c r="H45" s="34"/>
      <c r="I45" s="34"/>
      <c r="J45" s="34"/>
      <c r="K45" s="34"/>
      <c r="L45" s="34"/>
      <c r="M45" s="34"/>
      <c r="R45" s="31"/>
    </row>
    <row r="46" spans="1:18" ht="20.100000000000001" customHeight="1" x14ac:dyDescent="0.25">
      <c r="A46" s="5" t="str">
        <f>HYPERLINK("#'4.3.1.6-7 Leaching and runoff'!A1", "4.3.1.6-7 Leaching and runoff")</f>
        <v>4.3.1.6-7 Leaching and runoff</v>
      </c>
      <c r="G46" s="2"/>
      <c r="H46" s="2"/>
      <c r="I46" s="2"/>
      <c r="J46" s="102"/>
      <c r="K46" s="102"/>
      <c r="L46" s="102"/>
      <c r="M46" s="102"/>
      <c r="R46" s="31"/>
    </row>
    <row r="47" spans="1:18" ht="20.100000000000001" customHeight="1" x14ac:dyDescent="0.25">
      <c r="A47" s="5" t="str">
        <f>HYPERLINK("#'4.3.1.8 Manure applied to soils'!A1", "4.3.1.8 Manure applied to soils")</f>
        <v>4.3.1.8 Manure applied to soils</v>
      </c>
      <c r="D47" s="1" t="s">
        <v>233</v>
      </c>
      <c r="E47" s="23" t="s">
        <v>234</v>
      </c>
      <c r="F47" s="26" t="s">
        <v>101</v>
      </c>
      <c r="H47" s="34"/>
      <c r="I47" s="34"/>
      <c r="J47" s="34"/>
      <c r="K47" s="34"/>
      <c r="L47" s="34"/>
      <c r="M47" s="34"/>
      <c r="R47" s="31"/>
    </row>
    <row r="48" spans="1:18" ht="20.100000000000001" customHeight="1" x14ac:dyDescent="0.25">
      <c r="A48" s="5" t="str">
        <f>HYPERLINK("#'4.3.1.9 Soil direct N2O'!A1", "4.3.1.9 Soil direct N2O")</f>
        <v>4.3.1.9 Soil direct N2O</v>
      </c>
      <c r="R48" s="31"/>
    </row>
    <row r="49" spans="1:18" ht="20.100000000000001" customHeight="1" x14ac:dyDescent="0.25">
      <c r="A49" s="5" t="str">
        <f>HYPERLINK("#'4.3.1.10-11 Soil Atmos Dep'!A1", "4.3.1.10-11 Soil Atmos Dep")</f>
        <v>4.3.1.10-11 Soil Atmos Dep</v>
      </c>
      <c r="E49" s="94" t="s">
        <v>213</v>
      </c>
      <c r="R49" s="31"/>
    </row>
    <row r="50" spans="1:18" ht="20.100000000000001" customHeight="1" x14ac:dyDescent="0.25">
      <c r="A50" s="5" t="str">
        <f>HYPERLINK("#'4.3.1.12-13 Soil leach runoff'!A1", "4.3.1.12-13 Soil leach runoff")</f>
        <v>4.3.1.12-13 Soil leach runoff</v>
      </c>
      <c r="D50" s="1" t="s">
        <v>235</v>
      </c>
      <c r="E50" s="85">
        <v>20</v>
      </c>
      <c r="F50" s="26" t="str">
        <f>IF(X_Cell_Dairy_MilkProductionUnit="Litres of milk", "litres/head/day", "kg milk solids/head/day")</f>
        <v>litres/head/day</v>
      </c>
      <c r="R50" s="31"/>
    </row>
    <row r="51" spans="1:18" ht="20.100000000000001" customHeight="1" x14ac:dyDescent="0.25">
      <c r="A51" s="5" t="str">
        <f>HYPERLINK("#'3.3.1.1-2 Enteric Methane'!A1", "3.3.1.1-2 Enteric Methane")</f>
        <v>3.3.1.1-2 Enteric Methane</v>
      </c>
      <c r="E51" s="2"/>
      <c r="F51" s="2"/>
      <c r="R51" s="31"/>
    </row>
    <row r="52" spans="1:18" ht="20.100000000000001" customHeight="1" x14ac:dyDescent="0.25">
      <c r="A52" s="5" t="str">
        <f>HYPERLINK("#'10.1.1-2 Solid waste treatment'!A1", "10.1.1-2 Solid waste treatment")</f>
        <v>10.1.1-2 Solid waste treatment</v>
      </c>
      <c r="D52" s="87" t="s">
        <v>236</v>
      </c>
      <c r="E52" s="94" t="s">
        <v>237</v>
      </c>
      <c r="F52" s="94" t="s">
        <v>238</v>
      </c>
      <c r="R52" s="31"/>
    </row>
    <row r="53" spans="1:18" ht="20.100000000000001" customHeight="1" x14ac:dyDescent="0.25">
      <c r="D53" s="1" t="s">
        <v>239</v>
      </c>
      <c r="E53" s="103">
        <f>SourceData_Dairy_FatContentInMilk_Data/100</f>
        <v>2.0999999999999999E-3</v>
      </c>
      <c r="F53" s="104">
        <f>SourceData_Dairy_FatContentInMilk_Data/100</f>
        <v>2.0999999999999999E-3</v>
      </c>
      <c r="G53" s="26" t="s">
        <v>156</v>
      </c>
      <c r="R53" s="31"/>
    </row>
    <row r="54" spans="1:18" ht="20.100000000000001" customHeight="1" x14ac:dyDescent="0.25">
      <c r="D54" s="1" t="s">
        <v>240</v>
      </c>
      <c r="E54" s="103">
        <f>SourceData_Dairy_ProteinContentInMilk_Data/100</f>
        <v>0.04</v>
      </c>
      <c r="F54" s="104">
        <f>SourceData_Dairy_ProteinContentInMilk_Data/100</f>
        <v>0.04</v>
      </c>
      <c r="G54" s="26" t="s">
        <v>156</v>
      </c>
      <c r="R54" s="31"/>
    </row>
    <row r="55" spans="1:18" ht="20.100000000000001" customHeight="1" x14ac:dyDescent="0.25">
      <c r="A55" s="100" t="s">
        <v>1</v>
      </c>
      <c r="R55" s="31"/>
    </row>
    <row r="56" spans="1:18" ht="20.100000000000001" customHeight="1" x14ac:dyDescent="0.25">
      <c r="A56" s="5" t="str">
        <f>HYPERLINK("#'Constants - Dairy'!A1", "Constants - Dairy")</f>
        <v>Constants - Dairy</v>
      </c>
      <c r="R56" s="31"/>
    </row>
    <row r="57" spans="1:18" ht="20.100000000000001" customHeight="1" x14ac:dyDescent="0.25">
      <c r="A57" s="5" t="str">
        <f>HYPERLINK("#'Constants - Ag Residue'!A1", "Constants - Ag residue")</f>
        <v>Constants - Ag residue</v>
      </c>
      <c r="R57" s="31"/>
    </row>
    <row r="58" spans="1:18" ht="20.100000000000001" customHeight="1" x14ac:dyDescent="0.25">
      <c r="A58" s="5" t="str">
        <f>HYPERLINK("#'Constants - Common Livestock'!A1", "Constants - Common Livestock")</f>
        <v>Constants - Common Livestock</v>
      </c>
      <c r="R58" s="31"/>
    </row>
    <row r="59" spans="1:18" ht="20.100000000000001" customHeight="1" x14ac:dyDescent="0.25">
      <c r="A59" s="5" t="str">
        <f>HYPERLINK("#'Constants - Electricity'!A1", "Constants - Electricity")</f>
        <v>Constants - Electricity</v>
      </c>
      <c r="R59" s="31"/>
    </row>
    <row r="60" spans="1:18" ht="20.100000000000001" customHeight="1" x14ac:dyDescent="0.25">
      <c r="A60" s="5" t="str">
        <f>HYPERLINK("#'Constants - Fertiliser'!A1", "Constants - Fertiliser")</f>
        <v>Constants - Fertiliser</v>
      </c>
      <c r="R60" s="31"/>
    </row>
    <row r="61" spans="1:18" ht="20.100000000000001" customHeight="1" x14ac:dyDescent="0.25">
      <c r="A61" s="5" t="str">
        <f>HYPERLINK("#'Constants - Fuel'!A1", "Constants - Fuel")</f>
        <v>Constants - Fuel</v>
      </c>
      <c r="R61" s="31"/>
    </row>
    <row r="62" spans="1:18" ht="20.100000000000001" customHeight="1" x14ac:dyDescent="0.25">
      <c r="A62" s="5" t="str">
        <f>HYPERLINK("#'Constants - Scope 3'!A1", "Constants - Scope 3")</f>
        <v>Constants - Scope 3</v>
      </c>
      <c r="R62" s="31"/>
    </row>
    <row r="63" spans="1:18" ht="20.100000000000001" customHeight="1" x14ac:dyDescent="0.25">
      <c r="A63" s="5" t="str">
        <f>HYPERLINK("#'Constants - Common'!A1", "Constants - Common")</f>
        <v>Constants - Common</v>
      </c>
      <c r="R63" s="31"/>
    </row>
    <row r="64" spans="1:18" ht="20.100000000000001" customHeight="1" x14ac:dyDescent="0.25">
      <c r="A64" s="5" t="str">
        <f>HYPERLINK("#'Acknowledgements'!A1", "Acknowledgements")</f>
        <v>Acknowledgements</v>
      </c>
      <c r="R64" s="31"/>
    </row>
    <row r="65" spans="1:18" ht="20.100000000000001" customHeight="1" x14ac:dyDescent="0.25">
      <c r="A65" s="5" t="str">
        <f>HYPERLINK("#'Constants - Solid Waste'!A1", "Constants - Solid Waste")</f>
        <v>Constants - Solid Waste</v>
      </c>
    </row>
    <row r="66" spans="1:18" ht="20.100000000000001" customHeight="1" x14ac:dyDescent="0.25"/>
    <row r="67" spans="1:18" ht="20.100000000000001" customHeight="1" x14ac:dyDescent="0.25"/>
    <row r="68" spans="1:18" ht="20.100000000000001" customHeight="1" x14ac:dyDescent="0.25"/>
    <row r="69" spans="1:18" ht="20.100000000000001" customHeight="1" x14ac:dyDescent="0.25"/>
    <row r="70" spans="1:18" ht="20.100000000000001" customHeight="1" x14ac:dyDescent="0.25"/>
    <row r="71" spans="1:18" ht="20.100000000000001" customHeight="1" x14ac:dyDescent="0.25"/>
    <row r="72" spans="1:18" ht="20.100000000000001" customHeight="1" x14ac:dyDescent="0.25"/>
    <row r="73" spans="1:18" ht="20.100000000000001" customHeight="1" x14ac:dyDescent="0.25"/>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c r="R80" s="31"/>
    </row>
    <row r="81" spans="18:18" ht="20.100000000000001" customHeight="1" x14ac:dyDescent="0.25">
      <c r="R81" s="31"/>
    </row>
    <row r="82" spans="18:18" ht="20.100000000000001" customHeight="1" x14ac:dyDescent="0.25">
      <c r="R82" s="31"/>
    </row>
    <row r="83" spans="18:18" ht="20.100000000000001" customHeight="1" x14ac:dyDescent="0.25">
      <c r="R83" s="31"/>
    </row>
    <row r="84" spans="18:18" ht="20.100000000000001" customHeight="1" x14ac:dyDescent="0.25">
      <c r="R84" s="31"/>
    </row>
    <row r="85" spans="18:18" ht="20.100000000000001" customHeight="1" x14ac:dyDescent="0.25">
      <c r="R85" s="31"/>
    </row>
    <row r="86" spans="18:18" ht="20.100000000000001" customHeight="1" x14ac:dyDescent="0.25">
      <c r="R86" s="31"/>
    </row>
    <row r="87" spans="18:18" ht="20.100000000000001" customHeight="1" x14ac:dyDescent="0.25">
      <c r="R87" s="31"/>
    </row>
    <row r="88" spans="18:18" ht="20.100000000000001" customHeight="1" x14ac:dyDescent="0.25">
      <c r="R88" s="31"/>
    </row>
    <row r="89" spans="18:18" ht="20.100000000000001" customHeight="1" x14ac:dyDescent="0.25">
      <c r="R89" s="31"/>
    </row>
    <row r="90" spans="18:18" ht="20.100000000000001" customHeight="1" x14ac:dyDescent="0.25">
      <c r="R90" s="31"/>
    </row>
    <row r="91" spans="18:18" ht="20.100000000000001" customHeight="1" x14ac:dyDescent="0.25">
      <c r="R91" s="31"/>
    </row>
    <row r="92" spans="18:18" ht="20.100000000000001" customHeight="1" x14ac:dyDescent="0.25">
      <c r="R92" s="31"/>
    </row>
    <row r="93" spans="18:18" ht="20.100000000000001" customHeight="1" x14ac:dyDescent="0.25">
      <c r="R93" s="31"/>
    </row>
    <row r="94" spans="18:18" ht="20.100000000000001" customHeight="1" x14ac:dyDescent="0.25">
      <c r="R94" s="31"/>
    </row>
    <row r="95" spans="18:18" ht="20.100000000000001" customHeight="1" x14ac:dyDescent="0.25">
      <c r="R95" s="31"/>
    </row>
    <row r="96" spans="18:18" ht="20.100000000000001" customHeight="1" x14ac:dyDescent="0.25">
      <c r="R96" s="31"/>
    </row>
    <row r="97" spans="18:18" ht="20.100000000000001" customHeight="1" x14ac:dyDescent="0.25">
      <c r="R97" s="31"/>
    </row>
    <row r="98" spans="18:18" ht="20.100000000000001" customHeight="1" x14ac:dyDescent="0.25">
      <c r="R98" s="31"/>
    </row>
    <row r="99" spans="18:18" ht="20.100000000000001" customHeight="1" x14ac:dyDescent="0.25">
      <c r="R99" s="31"/>
    </row>
    <row r="100" spans="18:18" ht="20.100000000000001" customHeight="1" x14ac:dyDescent="0.25">
      <c r="R100" s="31"/>
    </row>
    <row r="101" spans="18:18" ht="20.100000000000001" customHeight="1" x14ac:dyDescent="0.25">
      <c r="R101" s="31"/>
    </row>
    <row r="102" spans="18:18" ht="20.100000000000001" customHeight="1" x14ac:dyDescent="0.25">
      <c r="R102" s="31"/>
    </row>
    <row r="103" spans="18:18" ht="20.100000000000001" customHeight="1" x14ac:dyDescent="0.25">
      <c r="R103" s="31"/>
    </row>
    <row r="104" spans="18:18" ht="20.100000000000001" customHeight="1" x14ac:dyDescent="0.25">
      <c r="R104" s="31"/>
    </row>
    <row r="105" spans="18:18" ht="20.100000000000001" customHeight="1" x14ac:dyDescent="0.25">
      <c r="R105" s="31"/>
    </row>
    <row r="106" spans="18:18" ht="20.100000000000001" customHeight="1" x14ac:dyDescent="0.25">
      <c r="R106" s="31"/>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117EDBF0-7C11-4101-9381-D597A59DE54B}">
      <formula1>"Litres of milk, Milk solids"</formula1>
    </dataValidation>
    <dataValidation type="list" allowBlank="1" showInputMessage="1" showErrorMessage="1" sqref="E7" xr:uid="{BD379828-B7A5-4096-9AAE-0AA6E2D974FC}">
      <formula1>INDIRECT("Table_SourceData_Dairy_WjCowsHeifers[Breed]")</formula1>
    </dataValidation>
    <dataValidation type="list" allowBlank="1" showInputMessage="1" showErrorMessage="1" sqref="E79:E81 E95:E97" xr:uid="{C45A635F-AE93-4447-928B-09122044A833}">
      <formula1>"Yes, No"</formula1>
    </dataValidation>
    <dataValidation type="list" allowBlank="1" showInputMessage="1" showErrorMessage="1" sqref="E60" xr:uid="{0F4AAF32-78E3-4613-A6BB-2B38E525727A}">
      <formula1>INDIRECT("Table_SourceData_Dairy_ProductionSystemTemplates[Area]")</formula1>
    </dataValidation>
    <dataValidation type="list" allowBlank="1" showInputMessage="1" showErrorMessage="1" sqref="E110" xr:uid="{532E5531-3860-45EE-A152-886859FC1B09}">
      <formula1>INDIRECT("Table_SourceData_Dairy_IrrigationMethods[Irrigation method]")</formula1>
    </dataValidation>
    <dataValidation type="list" allowBlank="1" showInputMessage="1" showErrorMessage="1" sqref="E109" xr:uid="{3CCACF43-F058-421B-B34F-EB5BFA4FC59E}">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182</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c r="D5" s="91" t="s">
        <v>183</v>
      </c>
    </row>
    <row r="6" spans="1:13" x14ac:dyDescent="0.25">
      <c r="D6" s="29" t="s">
        <v>184</v>
      </c>
      <c r="E6" s="29" t="s">
        <v>185</v>
      </c>
      <c r="F6" s="29" t="s">
        <v>186</v>
      </c>
      <c r="G6" s="29" t="s">
        <v>187</v>
      </c>
      <c r="H6" s="29" t="s">
        <v>188</v>
      </c>
      <c r="I6" s="29" t="s">
        <v>189</v>
      </c>
    </row>
    <row r="7" spans="1:13" x14ac:dyDescent="0.25">
      <c r="D7" s="43"/>
      <c r="E7" s="23"/>
      <c r="F7" s="92">
        <v>45566</v>
      </c>
      <c r="G7" s="29">
        <v>10</v>
      </c>
      <c r="H7" s="29">
        <v>500</v>
      </c>
      <c r="I7" s="25">
        <f t="shared" ref="I7:I16" si="0">G7*H7</f>
        <v>5000</v>
      </c>
    </row>
    <row r="8" spans="1:13" x14ac:dyDescent="0.25">
      <c r="A8" s="7" t="s">
        <v>0</v>
      </c>
      <c r="D8" s="43"/>
      <c r="E8" s="23"/>
      <c r="F8" s="92"/>
      <c r="G8" s="29"/>
      <c r="H8" s="29"/>
      <c r="I8" s="25">
        <f t="shared" si="0"/>
        <v>0</v>
      </c>
    </row>
    <row r="9" spans="1:13" x14ac:dyDescent="0.25">
      <c r="A9" s="5" t="str">
        <f>HYPERLINK("#'Input - Enterprise'!A1", "Enterprise")</f>
        <v>Enterprise</v>
      </c>
      <c r="D9" s="43"/>
      <c r="E9" s="23"/>
      <c r="F9" s="92"/>
      <c r="G9" s="29"/>
      <c r="H9" s="29"/>
      <c r="I9" s="25">
        <f t="shared" si="0"/>
        <v>0</v>
      </c>
    </row>
    <row r="10" spans="1:13" x14ac:dyDescent="0.25">
      <c r="A10" s="5" t="str">
        <f>HYPERLINK("#'Input - Site'!A1", "Site")</f>
        <v>Site</v>
      </c>
      <c r="D10" s="43"/>
      <c r="E10" s="23"/>
      <c r="F10" s="92"/>
      <c r="G10" s="29"/>
      <c r="H10" s="29"/>
      <c r="I10" s="25">
        <f t="shared" si="0"/>
        <v>0</v>
      </c>
    </row>
    <row r="11" spans="1:13" x14ac:dyDescent="0.25">
      <c r="A11" s="5" t="str">
        <f>HYPERLINK("#'Input - Dairy'!A1", "Dairy")</f>
        <v>Dairy</v>
      </c>
      <c r="D11" s="43"/>
      <c r="E11" s="23"/>
      <c r="F11" s="92"/>
      <c r="G11" s="29"/>
      <c r="H11" s="29"/>
      <c r="I11" s="25">
        <f t="shared" si="0"/>
        <v>0</v>
      </c>
    </row>
    <row r="12" spans="1:13" x14ac:dyDescent="0.25">
      <c r="A12" s="5" t="str">
        <f>HYPERLINK("#'Input - Dairy (Enteric)'!A1", "Dairy (Enteric)")</f>
        <v>Dairy (Enteric)</v>
      </c>
      <c r="D12" s="43"/>
      <c r="E12" s="23"/>
      <c r="F12" s="92"/>
      <c r="G12" s="29"/>
      <c r="H12" s="29"/>
      <c r="I12" s="25">
        <f t="shared" si="0"/>
        <v>0</v>
      </c>
    </row>
    <row r="13" spans="1:13" x14ac:dyDescent="0.25">
      <c r="A13" s="98" t="str">
        <f>HYPERLINK("#'Input - Livestock sales'!A1", "Livestock sales")</f>
        <v>Livestock sales</v>
      </c>
      <c r="D13" s="43"/>
      <c r="E13" s="23"/>
      <c r="F13" s="92"/>
      <c r="G13" s="29"/>
      <c r="H13" s="29"/>
      <c r="I13" s="25">
        <f t="shared" si="0"/>
        <v>0</v>
      </c>
    </row>
    <row r="14" spans="1:13" x14ac:dyDescent="0.25">
      <c r="A14" s="5" t="str">
        <f>HYPERLINK("#'Input - Dairy cattle purchases'!A1", "Dairy cattle purchases")</f>
        <v>Dairy cattle purchases</v>
      </c>
      <c r="D14" s="43"/>
      <c r="E14" s="23"/>
      <c r="F14" s="92"/>
      <c r="G14" s="29"/>
      <c r="H14" s="29"/>
      <c r="I14" s="25">
        <f t="shared" si="0"/>
        <v>0</v>
      </c>
    </row>
    <row r="15" spans="1:13" x14ac:dyDescent="0.25">
      <c r="A15" s="5" t="str">
        <f>HYPERLINK("#'Input - Pasture'!A1", "Pasture")</f>
        <v>Pasture</v>
      </c>
      <c r="D15" s="43"/>
      <c r="E15" s="23"/>
      <c r="F15" s="92"/>
      <c r="G15" s="29"/>
      <c r="H15" s="29"/>
      <c r="I15" s="25">
        <f t="shared" si="0"/>
        <v>0</v>
      </c>
    </row>
    <row r="16" spans="1:13" x14ac:dyDescent="0.25">
      <c r="A16" s="5" t="str">
        <f>HYPERLINK("#'Input - Fert Prod System'!A1", "Fert Prod System")</f>
        <v>Fert Prod System</v>
      </c>
      <c r="D16" s="43"/>
      <c r="E16" s="23"/>
      <c r="F16" s="92"/>
      <c r="G16" s="29"/>
      <c r="H16" s="29"/>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C1BE3-A2E5-425A-A469-F6A98F3E325A}">
  <sheetPr>
    <tabColor theme="5" tint="-0.249977111117893"/>
  </sheetPr>
  <dimension ref="A1:J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9" width="35" style="1" customWidth="1"/>
    <col min="10" max="10" width="5.28515625" style="1" customWidth="1"/>
    <col min="11" max="16384" width="9.140625" style="261"/>
  </cols>
  <sheetData>
    <row r="1" spans="1:10" ht="25.5" x14ac:dyDescent="0.35">
      <c r="A1" s="16" t="e" vm="1">
        <v>#VALUE!</v>
      </c>
      <c r="C1" s="16" t="s">
        <v>1008</v>
      </c>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x14ac:dyDescent="0.25">
      <c r="A5" s="5" t="str">
        <f>HYPERLINK("#'Results'!A1", "Results")</f>
        <v>Results</v>
      </c>
      <c r="D5" s="91" t="s">
        <v>1009</v>
      </c>
      <c r="E5" s="262"/>
      <c r="F5" s="262"/>
      <c r="G5" s="262"/>
      <c r="H5" s="262"/>
      <c r="I5" s="262"/>
    </row>
    <row r="6" spans="1:10" x14ac:dyDescent="0.25">
      <c r="A6"/>
      <c r="D6" s="263" t="s">
        <v>184</v>
      </c>
      <c r="E6" s="263" t="s">
        <v>185</v>
      </c>
      <c r="F6" s="263" t="s">
        <v>1010</v>
      </c>
      <c r="G6" s="263" t="s">
        <v>1011</v>
      </c>
      <c r="H6" s="263" t="s">
        <v>1012</v>
      </c>
      <c r="I6" s="263" t="s">
        <v>1013</v>
      </c>
    </row>
    <row r="7" spans="1:10" x14ac:dyDescent="0.25">
      <c r="A7"/>
      <c r="D7" s="43" t="s">
        <v>1014</v>
      </c>
      <c r="E7" s="23" t="s">
        <v>507</v>
      </c>
      <c r="F7" s="23" t="s">
        <v>1015</v>
      </c>
      <c r="G7" s="85">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5">
        <v>350</v>
      </c>
    </row>
    <row r="8" spans="1:10" x14ac:dyDescent="0.25">
      <c r="A8" s="7" t="s">
        <v>0</v>
      </c>
      <c r="D8" s="43"/>
      <c r="E8" s="213" t="s">
        <v>213</v>
      </c>
      <c r="F8" s="23" t="s">
        <v>1016</v>
      </c>
      <c r="G8" s="85">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5">
        <v>625</v>
      </c>
    </row>
    <row r="9" spans="1:10" x14ac:dyDescent="0.25">
      <c r="A9" s="5" t="str">
        <f>HYPERLINK("#'Input - Enterprise'!A1", "Enterprise")</f>
        <v>Enterprise</v>
      </c>
      <c r="D9" s="43"/>
      <c r="E9" s="213" t="s">
        <v>506</v>
      </c>
      <c r="F9" s="23" t="s">
        <v>1015</v>
      </c>
      <c r="G9" s="85"/>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5"/>
    </row>
    <row r="10" spans="1:10" x14ac:dyDescent="0.25">
      <c r="A10" s="5" t="str">
        <f>HYPERLINK("#'Input - Site'!A1", "Site")</f>
        <v>Site</v>
      </c>
      <c r="D10" s="43"/>
      <c r="E10" s="213"/>
      <c r="F10" s="23"/>
      <c r="G10" s="85"/>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5"/>
    </row>
    <row r="11" spans="1:10" x14ac:dyDescent="0.25">
      <c r="A11" s="5" t="str">
        <f>HYPERLINK("#'Input - Dairy'!A1", "Dairy")</f>
        <v>Dairy</v>
      </c>
      <c r="D11" s="43"/>
      <c r="E11" s="213"/>
      <c r="F11" s="23"/>
      <c r="G11" s="85"/>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5"/>
    </row>
    <row r="12" spans="1:10" x14ac:dyDescent="0.25">
      <c r="A12" s="5" t="str">
        <f>HYPERLINK("#'Input - Dairy (Enteric)'!A1", "Dairy (Enteric)")</f>
        <v>Dairy (Enteric)</v>
      </c>
      <c r="D12" s="43"/>
      <c r="E12" s="213"/>
      <c r="F12" s="23"/>
      <c r="G12" s="85"/>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5"/>
    </row>
    <row r="13" spans="1:10" x14ac:dyDescent="0.25">
      <c r="A13" s="5" t="str">
        <f>HYPERLINK("#'Input - Livestock sales'!A1", "Livestock sales")</f>
        <v>Livestock sales</v>
      </c>
      <c r="D13" s="43"/>
      <c r="E13" s="213"/>
      <c r="F13" s="23"/>
      <c r="G13" s="85"/>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5"/>
    </row>
    <row r="14" spans="1:10" x14ac:dyDescent="0.25">
      <c r="A14" s="98" t="str">
        <f>HYPERLINK("#'Input - Dairy cattle purchases'!A1", "Dairy cattle purchases")</f>
        <v>Dairy cattle purchases</v>
      </c>
      <c r="D14" s="43"/>
      <c r="E14" s="213"/>
      <c r="F14" s="23"/>
      <c r="G14" s="85"/>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5"/>
    </row>
    <row r="15" spans="1:10" x14ac:dyDescent="0.25">
      <c r="A15" s="5" t="str">
        <f>HYPERLINK("#'Input - Pasture'!A1", "Pasture")</f>
        <v>Pasture</v>
      </c>
      <c r="D15" s="43"/>
      <c r="E15" s="213"/>
      <c r="F15" s="23"/>
      <c r="G15" s="85"/>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5"/>
    </row>
    <row r="16" spans="1:10" x14ac:dyDescent="0.25">
      <c r="A16" s="5" t="str">
        <f>HYPERLINK("#'Input - Fert Prod System'!A1", "Fert Prod System")</f>
        <v>Fert Prod System</v>
      </c>
      <c r="D16" s="43"/>
      <c r="E16" s="213"/>
      <c r="F16" s="23"/>
      <c r="G16" s="85"/>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5"/>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983B25D5-89D4-48BE-803A-AFFD61C80321}">
      <formula1>INDIRECT("Table_SourceData_Dairy_WjCowsHeifers[[#Headers],[Milking cows]:[Heifers &lt; 1 (weaned)]]")</formula1>
    </dataValidation>
    <dataValidation type="list" allowBlank="1" showInputMessage="1" showErrorMessage="1" sqref="F7:F16" xr:uid="{5775CA15-FF18-4AD0-B3DA-4D89F0755B28}">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323C7-F3C0-4CB4-BD7D-9829FAAFD701}">
  <dimension ref="A1:G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946</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8"/>
      <c r="D3" s="38"/>
      <c r="E3" s="38"/>
      <c r="F3" s="38"/>
      <c r="G3" s="38"/>
    </row>
    <row r="4" spans="1:7" ht="20.100000000000001" customHeight="1" x14ac:dyDescent="0.25">
      <c r="A4" s="5" t="str">
        <f>HYPERLINK("#'Overview'!A1", "Overview")</f>
        <v>Overview</v>
      </c>
    </row>
    <row r="5" spans="1:7" ht="20.100000000000001" customHeight="1" x14ac:dyDescent="0.25">
      <c r="A5" s="5" t="str">
        <f>HYPERLINK("#'Results'!A1", "Results")</f>
        <v>Results</v>
      </c>
      <c r="D5" s="2" t="s">
        <v>528</v>
      </c>
    </row>
    <row r="6" spans="1:7" ht="20.100000000000001" customHeight="1" x14ac:dyDescent="0.25"/>
    <row r="7" spans="1:7" ht="20.100000000000001" customHeight="1" x14ac:dyDescent="0.25">
      <c r="D7" s="79" t="s">
        <v>947</v>
      </c>
      <c r="E7" s="79"/>
      <c r="F7" s="79"/>
    </row>
    <row r="8" spans="1:7" ht="20.100000000000001" customHeight="1" x14ac:dyDescent="0.25">
      <c r="A8" s="7" t="s">
        <v>0</v>
      </c>
    </row>
    <row r="9" spans="1:7" ht="20.100000000000001" customHeight="1" x14ac:dyDescent="0.25">
      <c r="A9" s="5" t="str">
        <f>HYPERLINK("#'Input - Enterprise'!A1", "Enterprise")</f>
        <v>Enterprise</v>
      </c>
      <c r="D9" s="1" t="s">
        <v>948</v>
      </c>
      <c r="E9" s="23" t="s">
        <v>949</v>
      </c>
      <c r="F9" s="26" t="s">
        <v>950</v>
      </c>
    </row>
    <row r="10" spans="1:7" ht="20.100000000000001" customHeight="1" x14ac:dyDescent="0.25">
      <c r="A10" s="5" t="str">
        <f>HYPERLINK("#'Input - Site'!A1", "Site")</f>
        <v>Site</v>
      </c>
      <c r="D10" s="1" t="s">
        <v>64</v>
      </c>
      <c r="E10" s="23" t="s">
        <v>504</v>
      </c>
      <c r="F10" s="26" t="s">
        <v>950</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951</v>
      </c>
      <c r="E12" s="85">
        <v>1000</v>
      </c>
      <c r="F12" s="26" t="s">
        <v>952</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953</v>
      </c>
    </row>
    <row r="15" spans="1:7" ht="20.100000000000001" customHeight="1" x14ac:dyDescent="0.25">
      <c r="A15" s="98" t="str">
        <f>HYPERLINK("#'Input - Pasture'!A1", "Pasture")</f>
        <v>Pasture</v>
      </c>
    </row>
    <row r="16" spans="1:7" ht="20.100000000000001" customHeight="1" x14ac:dyDescent="0.25">
      <c r="A16" s="5" t="str">
        <f>HYPERLINK("#'Input - Fert Prod System'!A1", "Fert Prod System")</f>
        <v>Fert Prod System</v>
      </c>
      <c r="D16" s="255" t="s">
        <v>954</v>
      </c>
      <c r="E16" s="53"/>
      <c r="F16" s="54"/>
    </row>
    <row r="17" spans="1:6" ht="20.100000000000001" customHeight="1" x14ac:dyDescent="0.25">
      <c r="A17" s="5" t="str">
        <f>HYPERLINK("#'Input - Fertiliser'!A1", "Fertiliser")</f>
        <v>Fertiliser</v>
      </c>
      <c r="D17" s="55" t="s">
        <v>955</v>
      </c>
      <c r="E17" s="56"/>
      <c r="F17" s="57"/>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956</v>
      </c>
      <c r="E19" s="85">
        <f>_xlfn.XLOOKUP(X_Cell_Pasture_PastureType, Table_SourceData_PastureAttributes[Pasture type],Table_SourceData_PastureAttributes[Average Yield (t DM ha) Yp])</f>
        <v>8.34</v>
      </c>
      <c r="F19" s="26" t="s">
        <v>957</v>
      </c>
    </row>
    <row r="20" spans="1:6" ht="20.100000000000001" customHeight="1" x14ac:dyDescent="0.25">
      <c r="A20" s="5" t="str">
        <f>HYPERLINK("#'Input - Common farm inputs'!A1", "Common farm inputs")</f>
        <v>Common farm inputs</v>
      </c>
      <c r="D20" s="1" t="s">
        <v>958</v>
      </c>
      <c r="E20" s="25">
        <f>X_Cell_Pasture_AreaUnderPasture*X_Cell_Pasture_YieldPerHectare</f>
        <v>8340</v>
      </c>
      <c r="F20" s="26" t="s">
        <v>959</v>
      </c>
    </row>
    <row r="21" spans="1:6" ht="20.100000000000001" customHeight="1" x14ac:dyDescent="0.25">
      <c r="A21" s="5" t="str">
        <f>HYPERLINK("#'Input - Crop pasture farm input'!A1", "Crop pasture farm input")</f>
        <v>Crop pasture farm input</v>
      </c>
    </row>
    <row r="22" spans="1:6" ht="20.100000000000001" customHeight="1" x14ac:dyDescent="0.25">
      <c r="A22" s="5" t="str">
        <f>HYPERLINK("#'Input - Livestock farm Inputs'!A1", "Livestock farm Inputs")</f>
        <v>Livestock farm Inputs</v>
      </c>
    </row>
    <row r="23" spans="1:6" ht="20.100000000000001" customHeight="1" x14ac:dyDescent="0.25">
      <c r="A23" s="5" t="str">
        <f>HYPERLINK("#'Input - Freight'!A1", "Freight")</f>
        <v>Freight</v>
      </c>
      <c r="D23" s="2" t="s">
        <v>960</v>
      </c>
    </row>
    <row r="24" spans="1:6" ht="20.100000000000001" customHeight="1" x14ac:dyDescent="0.25">
      <c r="A24" s="5" t="str">
        <f>HYPERLINK("#'Input - Manure sent off-site'!A1", "Manure sent off-site")</f>
        <v>Manure sent off-site</v>
      </c>
    </row>
    <row r="25" spans="1:6" ht="20.100000000000001" customHeight="1" x14ac:dyDescent="0.25">
      <c r="A25" s="5" t="str">
        <f>HYPERLINK("#'Input - Solid waste'!A1", "Solid waste")</f>
        <v>Solid waste</v>
      </c>
      <c r="D25" s="1" t="s">
        <v>961</v>
      </c>
      <c r="E25" s="85">
        <v>500</v>
      </c>
      <c r="F25" s="26" t="s">
        <v>952</v>
      </c>
    </row>
    <row r="26" spans="1:6" ht="20.100000000000001" customHeight="1" x14ac:dyDescent="0.25">
      <c r="A26" s="5" t="str">
        <f>HYPERLINK("#'Input - Data quality'!A1", "Data quality")</f>
        <v>Data quality</v>
      </c>
    </row>
    <row r="27" spans="1:6" ht="20.100000000000001" customHeight="1" x14ac:dyDescent="0.25"/>
    <row r="28" spans="1:6" ht="20.100000000000001" customHeight="1" x14ac:dyDescent="0.25"/>
    <row r="29" spans="1:6" ht="20.100000000000001" customHeight="1" x14ac:dyDescent="0.25">
      <c r="A29" s="6" t="s">
        <v>2</v>
      </c>
    </row>
    <row r="30" spans="1:6" ht="20.100000000000001" customHeight="1" x14ac:dyDescent="0.25">
      <c r="A30" s="5" t="str">
        <f>HYPERLINK("#'5.1.1.1-2 Inorganic fert N2O'!A1", "5.1.1.1-2 Inorganic fert N2O")</f>
        <v>5.1.1.1-2 Inorganic fert N2O</v>
      </c>
    </row>
    <row r="31" spans="1:6" ht="20.100000000000001" customHeight="1" x14ac:dyDescent="0.25">
      <c r="A31" s="5" t="str">
        <f>HYPERLINK("#'5.1.1.3-4 Inorganic fert CO2'!A1", "5.1.1.3-4 Inorganic fert CO2")</f>
        <v>5.1.1.3-4 Inorganic fert CO2</v>
      </c>
    </row>
    <row r="32" spans="1:6"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700A1F8C-647E-47D2-A93A-96B41EBE80F9}">
      <formula1>INDIRECT("Table_SourceData_Fertiliser_IrrigationMethods[Irrigation method]")</formula1>
    </dataValidation>
    <dataValidation type="list" allowBlank="1" showInputMessage="1" showErrorMessage="1" sqref="E9" xr:uid="{ACA785FF-D9D4-4669-803F-44A13C8DB513}">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167</v>
      </c>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x14ac:dyDescent="0.25">
      <c r="A5" s="5" t="str">
        <f>HYPERLINK("#'Results'!A1", "Results")</f>
        <v>Results</v>
      </c>
      <c r="D5" s="79" t="s">
        <v>172</v>
      </c>
      <c r="E5" s="79"/>
      <c r="F5" s="79"/>
      <c r="G5" s="79"/>
    </row>
    <row r="6" spans="1:11" x14ac:dyDescent="0.25">
      <c r="F6" s="26"/>
    </row>
    <row r="7" spans="1:11" x14ac:dyDescent="0.25">
      <c r="D7" s="1" t="s">
        <v>168</v>
      </c>
      <c r="E7" s="25" t="s">
        <v>171</v>
      </c>
      <c r="F7" s="26"/>
    </row>
    <row r="8" spans="1:11" x14ac:dyDescent="0.25">
      <c r="A8" s="7" t="s">
        <v>0</v>
      </c>
      <c r="D8" s="1" t="s">
        <v>169</v>
      </c>
      <c r="E8" s="25" t="s">
        <v>171</v>
      </c>
      <c r="F8" s="26"/>
    </row>
    <row r="9" spans="1:11" x14ac:dyDescent="0.25">
      <c r="A9" s="5" t="str">
        <f>HYPERLINK("#'Input - Enterprise'!A1", "Enterprise")</f>
        <v>Enterprise</v>
      </c>
      <c r="D9" s="1" t="s">
        <v>64</v>
      </c>
      <c r="E9" s="25" t="str" cm="1">
        <f t="array" ref="E9">X_Cell_Pasture_IrrigationMethod</f>
        <v>Surface irrigation</v>
      </c>
    </row>
    <row r="10" spans="1:11" x14ac:dyDescent="0.25">
      <c r="A10" s="5" t="str">
        <f>HYPERLINK("#'Input - Site'!A1", "Site")</f>
        <v>Site</v>
      </c>
      <c r="D10" s="1" t="s">
        <v>170</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8"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89C39-980F-4A9F-B857-E44FA2C54A48}">
  <dimension ref="A1:AA378"/>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549</v>
      </c>
    </row>
    <row r="2" spans="1:27" s="3" customFormat="1" ht="20.100000000000001" customHeight="1" x14ac:dyDescent="0.25">
      <c r="A2"/>
    </row>
    <row r="3" spans="1:27" ht="20.100000000000001" customHeight="1" x14ac:dyDescent="0.25">
      <c r="A3" s="5" t="str">
        <f>HYPERLINK("#'Home'!A1", "Home")</f>
        <v>Home</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5" t="str">
        <f>HYPERLINK("#'Overview'!A1", "Overview")</f>
        <v>Overview</v>
      </c>
    </row>
    <row r="5" spans="1:27" ht="20.100000000000001" customHeight="1" x14ac:dyDescent="0.25">
      <c r="A5" s="5" t="str">
        <f>HYPERLINK("#'Results'!A1", "Results")</f>
        <v>Results</v>
      </c>
      <c r="D5" s="2" t="s">
        <v>550</v>
      </c>
      <c r="E5" s="34"/>
      <c r="F5" s="34"/>
      <c r="G5" s="34"/>
      <c r="H5" s="34"/>
      <c r="I5" s="34"/>
      <c r="J5" s="34"/>
      <c r="K5" s="34"/>
      <c r="L5" s="34"/>
      <c r="M5" s="34"/>
    </row>
    <row r="6" spans="1:27" ht="20.100000000000001" customHeight="1" x14ac:dyDescent="0.25">
      <c r="D6" s="8"/>
      <c r="E6" s="8"/>
      <c r="F6" s="8"/>
      <c r="G6" s="8"/>
      <c r="H6" s="8"/>
      <c r="I6" s="8"/>
      <c r="J6" s="8"/>
      <c r="K6" s="8"/>
      <c r="L6" s="8"/>
      <c r="M6" s="8"/>
    </row>
    <row r="7" spans="1:27" ht="20.100000000000001" customHeight="1" x14ac:dyDescent="0.25">
      <c r="D7" s="145" t="s">
        <v>551</v>
      </c>
      <c r="E7" s="53"/>
      <c r="F7" s="53"/>
      <c r="G7" s="53"/>
      <c r="H7" s="54"/>
      <c r="I7" s="151"/>
      <c r="J7" s="152"/>
      <c r="K7" s="153"/>
      <c r="L7" s="153"/>
      <c r="M7" s="153"/>
    </row>
    <row r="8" spans="1:27" ht="20.100000000000001" customHeight="1" x14ac:dyDescent="0.25">
      <c r="A8" s="7" t="s">
        <v>0</v>
      </c>
      <c r="D8" s="55" t="s">
        <v>552</v>
      </c>
      <c r="E8" s="56"/>
      <c r="F8" s="56"/>
      <c r="G8" s="57"/>
      <c r="H8" s="154"/>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0" t="s">
        <v>553</v>
      </c>
      <c r="E10" s="8"/>
      <c r="F10" s="8"/>
      <c r="G10" s="8"/>
      <c r="H10" s="8"/>
      <c r="I10" s="8"/>
      <c r="J10" s="8"/>
      <c r="K10" s="8"/>
      <c r="L10" s="8"/>
      <c r="M10" s="8"/>
    </row>
    <row r="11" spans="1:27" ht="20.100000000000001" customHeight="1" x14ac:dyDescent="0.25">
      <c r="A11" s="5" t="str">
        <f>HYPERLINK("#'Input - Dairy'!A1", "Dairy")</f>
        <v>Dairy</v>
      </c>
      <c r="D11" s="155" t="s">
        <v>554</v>
      </c>
      <c r="E11" s="156" t="s">
        <v>555</v>
      </c>
      <c r="F11" s="157" t="s">
        <v>556</v>
      </c>
      <c r="G11" s="156" t="s">
        <v>557</v>
      </c>
      <c r="H11" s="157" t="s">
        <v>558</v>
      </c>
      <c r="I11" s="156" t="s">
        <v>559</v>
      </c>
      <c r="J11" s="155" t="s">
        <v>560</v>
      </c>
      <c r="K11" s="155" t="s">
        <v>561</v>
      </c>
      <c r="L11" s="155" t="s">
        <v>562</v>
      </c>
      <c r="M11" s="155" t="s">
        <v>563</v>
      </c>
      <c r="N11" s="155" t="s">
        <v>564</v>
      </c>
      <c r="O11" s="155" t="s">
        <v>565</v>
      </c>
      <c r="P11" s="155" t="s">
        <v>566</v>
      </c>
      <c r="Q11" s="155" t="s">
        <v>567</v>
      </c>
      <c r="R11" s="155" t="s">
        <v>568</v>
      </c>
      <c r="S11" s="155" t="s">
        <v>569</v>
      </c>
      <c r="T11" s="155" t="s">
        <v>570</v>
      </c>
      <c r="U11" s="155" t="s">
        <v>571</v>
      </c>
      <c r="V11" s="155" t="s">
        <v>572</v>
      </c>
      <c r="W11" s="155" t="s">
        <v>573</v>
      </c>
      <c r="X11" s="155" t="s">
        <v>574</v>
      </c>
      <c r="Y11" s="155" t="s">
        <v>575</v>
      </c>
      <c r="Z11" s="155" t="s">
        <v>576</v>
      </c>
    </row>
    <row r="12" spans="1:27" ht="20.100000000000001" customHeight="1" x14ac:dyDescent="0.25">
      <c r="A12" s="5" t="str">
        <f>HYPERLINK("#'Input - Dairy (Enteric)'!A1", "Dairy (Enteric)")</f>
        <v>Dairy (Enteric)</v>
      </c>
      <c r="D12" s="158" t="s">
        <v>577</v>
      </c>
      <c r="E12" s="159">
        <v>100</v>
      </c>
      <c r="F12" s="25" t="str">
        <f>IFERROR(_xlfn.XLOOKUP(Table_Input_InorganicFertiliser_Brands[[#This Row],[Product (select)]],FertiliserProducts[Product],FertiliserProducts[Unit]), "kg")</f>
        <v>kg</v>
      </c>
      <c r="G12" s="159">
        <f t="shared" ref="G12" si="0">X_Cell_Fertiliser_AreaUnderCropping</f>
        <v>1000</v>
      </c>
      <c r="H12" s="160">
        <f>IFERROR(_xlfn.XLOOKUP(Table_Input_InorganicFertiliser_Brands[[#This Row],[Product (select)]],FertiliserProducts[Product],FertiliserProducts[Density]), 1)</f>
        <v>1</v>
      </c>
      <c r="I12" s="161">
        <f>(Table_Input_InorganicFertiliser_Brands[[#This Row],[Amount applied per hectare]]*Table_Input_InorganicFertiliser_Brands[[#This Row],[Density]])*Table_Input_InorganicFertiliser_Brands[[#This Row],[Application area (ha)]]</f>
        <v>100000</v>
      </c>
      <c r="J12" s="16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6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61"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61"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61"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61"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61"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61"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61"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61"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61"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61"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61" cm="1">
        <f t="array" ref="W12">IFERROR(Fertiliser_InputFunctions.Fertiliser_FertiliserProductLookup(Table_Input_InorganicFertiliser_Brands[[#This Row],[Product (select)]], "N declared", FertiliserProducts[#Data], FertiliserProducts[Product], FertiliserProducts[#Headers])*0.01, 0)</f>
        <v>0.46</v>
      </c>
      <c r="X12"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61" t="str">
        <f>IFERROR(_xlfn.XLOOKUP(Table_Input_InorganicFertiliser_Brands[[#This Row],[Product (select)]],FertiliserProducts[Product],FertiliserProducts[Urea source]), "")</f>
        <v/>
      </c>
      <c r="Z12" s="161" t="str">
        <f>IFERROR(_xlfn.XLOOKUP(Table_Input_InorganicFertiliser_Brands[[#This Row],[Product (select)]],FertiliserProducts[Product],FertiliserProducts[Ammonia source]), "")</f>
        <v/>
      </c>
    </row>
    <row r="13" spans="1:27" ht="20.100000000000001" customHeight="1" x14ac:dyDescent="0.25">
      <c r="A13" s="5" t="str">
        <f>HYPERLINK("#'Input - Livestock sales'!A1", "Livestock sales")</f>
        <v>Livestock sales</v>
      </c>
      <c r="D13" s="158" t="s">
        <v>578</v>
      </c>
      <c r="E13" s="159">
        <v>100</v>
      </c>
      <c r="F13" s="25" t="str">
        <f>IFERROR(_xlfn.XLOOKUP(Table_Input_InorganicFertiliser_Brands[[#This Row],[Product (select)]],FertiliserProducts[Product],FertiliserProducts[Unit]), "kg")</f>
        <v>kg</v>
      </c>
      <c r="G13" s="159">
        <f t="shared" ref="G13" si="1">X_Cell_Fertiliser_AreaUnderCropping</f>
        <v>1000</v>
      </c>
      <c r="H13" s="160">
        <f>IFERROR(_xlfn.XLOOKUP(Table_Input_InorganicFertiliser_Brands[[#This Row],[Product (select)]],FertiliserProducts[Product],FertiliserProducts[Density]), 1)</f>
        <v>1</v>
      </c>
      <c r="I13" s="161">
        <f>(Table_Input_InorganicFertiliser_Brands[[#This Row],[Amount applied per hectare]]*Table_Input_InorganicFertiliser_Brands[[#This Row],[Density]])*Table_Input_InorganicFertiliser_Brands[[#This Row],[Application area (ha)]]</f>
        <v>100000</v>
      </c>
      <c r="J13" s="16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6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6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6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6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6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6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6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6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6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6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6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62" cm="1">
        <f t="array" ref="W13">IFERROR(Fertiliser_InputFunctions.Fertiliser_FertiliserProductLookup(Table_Input_InorganicFertiliser_Brands[[#This Row],[Product (select)]], "N declared", FertiliserProducts[#Data], FertiliserProducts[Product], FertiliserProducts[#Headers])*0.01, 0)</f>
        <v>0.24</v>
      </c>
      <c r="X13"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61" t="str">
        <f>IFERROR(_xlfn.XLOOKUP(Table_Input_InorganicFertiliser_Brands[[#This Row],[Product (select)]],FertiliserProducts[Product],FertiliserProducts[Urea source]), "")</f>
        <v/>
      </c>
      <c r="Z13" s="161" t="str">
        <f>IFERROR(_xlfn.XLOOKUP(Table_Input_InorganicFertiliser_Brands[[#This Row],[Product (select)]],FertiliserProducts[Product],FertiliserProducts[Ammonia source]), "")</f>
        <v/>
      </c>
    </row>
    <row r="14" spans="1:27" ht="20.100000000000001" customHeight="1" x14ac:dyDescent="0.25">
      <c r="A14" s="5" t="str">
        <f>HYPERLINK("#'Input - Dairy cattle purchases'!A1", "Dairy cattle purchases")</f>
        <v>Dairy cattle purchases</v>
      </c>
      <c r="D14" s="158" t="s">
        <v>579</v>
      </c>
      <c r="E14" s="159">
        <v>100</v>
      </c>
      <c r="F14" s="25" t="str">
        <f>IFERROR(_xlfn.XLOOKUP(Table_Input_InorganicFertiliser_Brands[[#This Row],[Product (select)]],FertiliserProducts[Product],FertiliserProducts[Unit]), "kg")</f>
        <v>kg</v>
      </c>
      <c r="G14" s="159">
        <f t="shared" ref="G14" si="2">X_Cell_Fertiliser_AreaUnderCropping</f>
        <v>1000</v>
      </c>
      <c r="H14" s="160">
        <f>IFERROR(_xlfn.XLOOKUP(Table_Input_InorganicFertiliser_Brands[[#This Row],[Product (select)]],FertiliserProducts[Product],FertiliserProducts[Density]), 1)</f>
        <v>1</v>
      </c>
      <c r="I14" s="161">
        <f>(Table_Input_InorganicFertiliser_Brands[[#This Row],[Amount applied per hectare]]*Table_Input_InorganicFertiliser_Brands[[#This Row],[Density]])*Table_Input_InorganicFertiliser_Brands[[#This Row],[Application area (ha)]]</f>
        <v>100000</v>
      </c>
      <c r="J14" s="16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6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6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6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6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6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6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6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6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6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61"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61"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62" cm="1">
        <f t="array" ref="W14">IFERROR(Fertiliser_InputFunctions.Fertiliser_FertiliserProductLookup(Table_Input_InorganicFertiliser_Brands[[#This Row],[Product (select)]], "N declared", FertiliserProducts[#Data], FertiliserProducts[Product], FertiliserProducts[#Headers])*0.01, 0)</f>
        <v>0.17899999999999999</v>
      </c>
      <c r="X14"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61" t="str">
        <f>IFERROR(_xlfn.XLOOKUP(Table_Input_InorganicFertiliser_Brands[[#This Row],[Product (select)]],FertiliserProducts[Product],FertiliserProducts[Urea source]), "")</f>
        <v/>
      </c>
      <c r="Z14" s="161" t="str">
        <f>IFERROR(_xlfn.XLOOKUP(Table_Input_InorganicFertiliser_Brands[[#This Row],[Product (select)]],FertiliserProducts[Product],FertiliserProducts[Ammonia source]), "")</f>
        <v/>
      </c>
    </row>
    <row r="15" spans="1:27" ht="20.100000000000001" customHeight="1" x14ac:dyDescent="0.25">
      <c r="A15" s="5" t="str">
        <f>HYPERLINK("#'Input - Pasture'!A1", "Pasture")</f>
        <v>Pasture</v>
      </c>
      <c r="D15" s="158"/>
      <c r="E15" s="159"/>
      <c r="F15" s="25" t="str">
        <f>IFERROR(_xlfn.XLOOKUP(Table_Input_InorganicFertiliser_Brands[[#This Row],[Product (select)]],FertiliserProducts[Product],FertiliserProducts[Unit]), "kg")</f>
        <v>kg</v>
      </c>
      <c r="G15" s="159">
        <f t="shared" ref="G15" si="3">X_Cell_Fertiliser_AreaUnderCropping</f>
        <v>1000</v>
      </c>
      <c r="H15" s="160">
        <f>IFERROR(_xlfn.XLOOKUP(Table_Input_InorganicFertiliser_Brands[[#This Row],[Product (select)]],FertiliserProducts[Product],FertiliserProducts[Density]), 1)</f>
        <v>1</v>
      </c>
      <c r="I15" s="161">
        <f>(Table_Input_InorganicFertiliser_Brands[[#This Row],[Amount applied per hectare]]*Table_Input_InorganicFertiliser_Brands[[#This Row],[Density]])*Table_Input_InorganicFertiliser_Brands[[#This Row],[Application area (ha)]]</f>
        <v>0</v>
      </c>
      <c r="J15" s="16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61"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6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61"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6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61"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6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6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6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6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6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6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62" cm="1">
        <f t="array" ref="W15">IFERROR(Fertiliser_InputFunctions.Fertiliser_FertiliserProductLookup(Table_Input_InorganicFertiliser_Brands[[#This Row],[Product (select)]], "N declared", FertiliserProducts[#Data], FertiliserProducts[Product], FertiliserProducts[#Headers])*0.01, 0)</f>
        <v>0</v>
      </c>
      <c r="X15"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61" t="str">
        <f>IFERROR(_xlfn.XLOOKUP(Table_Input_InorganicFertiliser_Brands[[#This Row],[Product (select)]],FertiliserProducts[Product],FertiliserProducts[Urea source]), "")</f>
        <v/>
      </c>
      <c r="Z15" s="161" t="str">
        <f>IFERROR(_xlfn.XLOOKUP(Table_Input_InorganicFertiliser_Brands[[#This Row],[Product (select)]],FertiliserProducts[Product],FertiliserProducts[Ammonia source]), "")</f>
        <v/>
      </c>
    </row>
    <row r="16" spans="1:27" ht="20.100000000000001" customHeight="1" x14ac:dyDescent="0.25">
      <c r="A16" s="5" t="str">
        <f>HYPERLINK("#'Input - Fert Prod System'!A1", "Fert Prod System")</f>
        <v>Fert Prod System</v>
      </c>
      <c r="D16" s="158"/>
      <c r="E16" s="159"/>
      <c r="F16" s="25" t="str">
        <f>IFERROR(_xlfn.XLOOKUP(Table_Input_InorganicFertiliser_Brands[[#This Row],[Product (select)]],FertiliserProducts[Product],FertiliserProducts[Unit]), "kg")</f>
        <v>kg</v>
      </c>
      <c r="G16" s="159">
        <f t="shared" ref="G16" si="4">X_Cell_Fertiliser_AreaUnderCropping</f>
        <v>1000</v>
      </c>
      <c r="H16" s="160">
        <f>IFERROR(_xlfn.XLOOKUP(Table_Input_InorganicFertiliser_Brands[[#This Row],[Product (select)]],FertiliserProducts[Product],FertiliserProducts[Density]), 1)</f>
        <v>1</v>
      </c>
      <c r="I16" s="161">
        <f>(Table_Input_InorganicFertiliser_Brands[[#This Row],[Amount applied per hectare]]*Table_Input_InorganicFertiliser_Brands[[#This Row],[Density]])*Table_Input_InorganicFertiliser_Brands[[#This Row],[Application area (ha)]]</f>
        <v>0</v>
      </c>
      <c r="J16" s="16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61"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6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61"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6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6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6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6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6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6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6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6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62" cm="1">
        <f t="array" ref="W16">IFERROR(Fertiliser_InputFunctions.Fertiliser_FertiliserProductLookup(Table_Input_InorganicFertiliser_Brands[[#This Row],[Product (select)]], "N declared", FertiliserProducts[#Data], FertiliserProducts[Product], FertiliserProducts[#Headers])*0.01, 0)</f>
        <v>0</v>
      </c>
      <c r="X16"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61" t="str">
        <f>IFERROR(_xlfn.XLOOKUP(Table_Input_InorganicFertiliser_Brands[[#This Row],[Product (select)]],FertiliserProducts[Product],FertiliserProducts[Urea source]), "")</f>
        <v/>
      </c>
      <c r="Z16" s="161" t="str">
        <f>IFERROR(_xlfn.XLOOKUP(Table_Input_InorganicFertiliser_Brands[[#This Row],[Product (select)]],FertiliserProducts[Product],FertiliserProducts[Ammonia source]), "")</f>
        <v/>
      </c>
    </row>
    <row r="17" spans="1:26" ht="20.100000000000001" customHeight="1" x14ac:dyDescent="0.25">
      <c r="A17" s="98" t="str">
        <f>HYPERLINK("#'Input - Fertiliser'!A1", "Fertiliser")</f>
        <v>Fertiliser</v>
      </c>
      <c r="D17" s="158"/>
      <c r="E17" s="159"/>
      <c r="F17" s="25" t="str">
        <f>IFERROR(_xlfn.XLOOKUP(Table_Input_InorganicFertiliser_Brands[[#This Row],[Product (select)]],FertiliserProducts[Product],FertiliserProducts[Unit]), "kg")</f>
        <v>kg</v>
      </c>
      <c r="G17" s="159">
        <f t="shared" ref="G17" si="5">X_Cell_Fertiliser_AreaUnderCropping</f>
        <v>1000</v>
      </c>
      <c r="H17" s="160">
        <f>IFERROR(_xlfn.XLOOKUP(Table_Input_InorganicFertiliser_Brands[[#This Row],[Product (select)]],FertiliserProducts[Product],FertiliserProducts[Density]), 1)</f>
        <v>1</v>
      </c>
      <c r="I17" s="161">
        <f>(Table_Input_InorganicFertiliser_Brands[[#This Row],[Amount applied per hectare]]*Table_Input_InorganicFertiliser_Brands[[#This Row],[Density]])*Table_Input_InorganicFertiliser_Brands[[#This Row],[Application area (ha)]]</f>
        <v>0</v>
      </c>
      <c r="J17" s="16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6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6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6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6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6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6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6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6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6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6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6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62" cm="1">
        <f t="array" ref="W17">IFERROR(Fertiliser_InputFunctions.Fertiliser_FertiliserProductLookup(Table_Input_InorganicFertiliser_Brands[[#This Row],[Product (select)]], "N declared", FertiliserProducts[#Data], FertiliserProducts[Product], FertiliserProducts[#Headers])*0.01, 0)</f>
        <v>0</v>
      </c>
      <c r="X17"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61" t="str">
        <f>IFERROR(_xlfn.XLOOKUP(Table_Input_InorganicFertiliser_Brands[[#This Row],[Product (select)]],FertiliserProducts[Product],FertiliserProducts[Urea source]), "")</f>
        <v/>
      </c>
      <c r="Z17" s="161" t="str">
        <f>IFERROR(_xlfn.XLOOKUP(Table_Input_InorganicFertiliser_Brands[[#This Row],[Product (select)]],FertiliserProducts[Product],FertiliserProducts[Ammonia source]), "")</f>
        <v/>
      </c>
    </row>
    <row r="18" spans="1:26" ht="20.100000000000001" customHeight="1" x14ac:dyDescent="0.25">
      <c r="A18" s="5" t="str">
        <f>HYPERLINK("#'Input - Fuel'!A1", "Fuel")</f>
        <v>Fuel</v>
      </c>
      <c r="D18" s="158"/>
      <c r="E18" s="159"/>
      <c r="F18" s="25" t="str">
        <f>IFERROR(_xlfn.XLOOKUP(Table_Input_InorganicFertiliser_Brands[[#This Row],[Product (select)]],FertiliserProducts[Product],FertiliserProducts[Unit]), "kg")</f>
        <v>kg</v>
      </c>
      <c r="G18" s="159">
        <f t="shared" ref="G18" si="6">X_Cell_Fertiliser_AreaUnderCropping</f>
        <v>1000</v>
      </c>
      <c r="H18" s="160">
        <f>IFERROR(_xlfn.XLOOKUP(Table_Input_InorganicFertiliser_Brands[[#This Row],[Product (select)]],FertiliserProducts[Product],FertiliserProducts[Density]), 1)</f>
        <v>1</v>
      </c>
      <c r="I18" s="161">
        <f>(Table_Input_InorganicFertiliser_Brands[[#This Row],[Amount applied per hectare]]*Table_Input_InorganicFertiliser_Brands[[#This Row],[Density]])*Table_Input_InorganicFertiliser_Brands[[#This Row],[Application area (ha)]]</f>
        <v>0</v>
      </c>
      <c r="J18" s="16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6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6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6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6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6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6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6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6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6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6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6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62" cm="1">
        <f t="array" ref="W18">IFERROR(Fertiliser_InputFunctions.Fertiliser_FertiliserProductLookup(Table_Input_InorganicFertiliser_Brands[[#This Row],[Product (select)]], "N declared", FertiliserProducts[#Data], FertiliserProducts[Product], FertiliserProducts[#Headers])*0.01, 0)</f>
        <v>0</v>
      </c>
      <c r="X18"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61" t="str">
        <f>IFERROR(_xlfn.XLOOKUP(Table_Input_InorganicFertiliser_Brands[[#This Row],[Product (select)]],FertiliserProducts[Product],FertiliserProducts[Urea source]), "")</f>
        <v/>
      </c>
      <c r="Z18" s="161" t="str">
        <f>IFERROR(_xlfn.XLOOKUP(Table_Input_InorganicFertiliser_Brands[[#This Row],[Product (select)]],FertiliserProducts[Product],FertiliserProducts[Ammonia source]), "")</f>
        <v/>
      </c>
    </row>
    <row r="19" spans="1:26" ht="20.100000000000001" customHeight="1" x14ac:dyDescent="0.25">
      <c r="A19" s="5" t="str">
        <f>HYPERLINK("#'Input - Electricity'!A1", "Electricity")</f>
        <v>Electricity</v>
      </c>
      <c r="D19" s="158"/>
      <c r="E19" s="159"/>
      <c r="F19" s="25" t="str">
        <f>IFERROR(_xlfn.XLOOKUP(Table_Input_InorganicFertiliser_Brands[[#This Row],[Product (select)]],FertiliserProducts[Product],FertiliserProducts[Unit]), "kg")</f>
        <v>kg</v>
      </c>
      <c r="G19" s="159">
        <f t="shared" ref="G19" si="7">X_Cell_Fertiliser_AreaUnderCropping</f>
        <v>1000</v>
      </c>
      <c r="H19" s="160">
        <f>IFERROR(_xlfn.XLOOKUP(Table_Input_InorganicFertiliser_Brands[[#This Row],[Product (select)]],FertiliserProducts[Product],FertiliserProducts[Density]), 1)</f>
        <v>1</v>
      </c>
      <c r="I19" s="161">
        <f>(Table_Input_InorganicFertiliser_Brands[[#This Row],[Amount applied per hectare]]*Table_Input_InorganicFertiliser_Brands[[#This Row],[Density]])*Table_Input_InorganicFertiliser_Brands[[#This Row],[Application area (ha)]]</f>
        <v>0</v>
      </c>
      <c r="J19" s="16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6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6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6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6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6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6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6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6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6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6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6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62" cm="1">
        <f t="array" ref="W19">IFERROR(Fertiliser_InputFunctions.Fertiliser_FertiliserProductLookup(Table_Input_InorganicFertiliser_Brands[[#This Row],[Product (select)]], "N declared", FertiliserProducts[#Data], FertiliserProducts[Product], FertiliserProducts[#Headers])*0.01, 0)</f>
        <v>0</v>
      </c>
      <c r="X19"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61" t="str">
        <f>IFERROR(_xlfn.XLOOKUP(Table_Input_InorganicFertiliser_Brands[[#This Row],[Product (select)]],FertiliserProducts[Product],FertiliserProducts[Urea source]), "")</f>
        <v/>
      </c>
      <c r="Z19" s="161" t="str">
        <f>IFERROR(_xlfn.XLOOKUP(Table_Input_InorganicFertiliser_Brands[[#This Row],[Product (select)]],FertiliserProducts[Product],FertiliserProducts[Ammonia source]), "")</f>
        <v/>
      </c>
    </row>
    <row r="20" spans="1:26" ht="20.100000000000001" customHeight="1" x14ac:dyDescent="0.25">
      <c r="A20" s="5" t="str">
        <f>HYPERLINK("#'Input - Common farm inputs'!A1", "Common farm inputs")</f>
        <v>Common farm inputs</v>
      </c>
      <c r="D20" s="158"/>
      <c r="E20" s="159"/>
      <c r="F20" s="25" t="str">
        <f>IFERROR(_xlfn.XLOOKUP(Table_Input_InorganicFertiliser_Brands[[#This Row],[Product (select)]],FertiliserProducts[Product],FertiliserProducts[Unit]), "kg")</f>
        <v>kg</v>
      </c>
      <c r="G20" s="159">
        <f t="shared" ref="G20" si="8">X_Cell_Fertiliser_AreaUnderCropping</f>
        <v>1000</v>
      </c>
      <c r="H20" s="160">
        <f>IFERROR(_xlfn.XLOOKUP(Table_Input_InorganicFertiliser_Brands[[#This Row],[Product (select)]],FertiliserProducts[Product],FertiliserProducts[Density]), 1)</f>
        <v>1</v>
      </c>
      <c r="I20" s="161">
        <f>(Table_Input_InorganicFertiliser_Brands[[#This Row],[Amount applied per hectare]]*Table_Input_InorganicFertiliser_Brands[[#This Row],[Density]])*Table_Input_InorganicFertiliser_Brands[[#This Row],[Application area (ha)]]</f>
        <v>0</v>
      </c>
      <c r="J20" s="16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6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6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6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6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6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6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6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6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6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6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6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62" cm="1">
        <f t="array" ref="W20">IFERROR(Fertiliser_InputFunctions.Fertiliser_FertiliserProductLookup(Table_Input_InorganicFertiliser_Brands[[#This Row],[Product (select)]], "N declared", FertiliserProducts[#Data], FertiliserProducts[Product], FertiliserProducts[#Headers])*0.01, 0)</f>
        <v>0</v>
      </c>
      <c r="X20"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61" t="str">
        <f>IFERROR(_xlfn.XLOOKUP(Table_Input_InorganicFertiliser_Brands[[#This Row],[Product (select)]],FertiliserProducts[Product],FertiliserProducts[Urea source]), "")</f>
        <v/>
      </c>
      <c r="Z20" s="161" t="str">
        <f>IFERROR(_xlfn.XLOOKUP(Table_Input_InorganicFertiliser_Brands[[#This Row],[Product (select)]],FertiliserProducts[Product],FertiliserProducts[Ammonia source]), "")</f>
        <v/>
      </c>
    </row>
    <row r="21" spans="1:26" ht="20.100000000000001" customHeight="1" x14ac:dyDescent="0.25">
      <c r="A21" s="5" t="str">
        <f>HYPERLINK("#'Input - Crop pasture farm input'!A1", "Crop pasture farm input")</f>
        <v>Crop pasture farm input</v>
      </c>
      <c r="D21" s="158"/>
      <c r="E21" s="159"/>
      <c r="F21" s="25" t="str">
        <f>IFERROR(_xlfn.XLOOKUP(Table_Input_InorganicFertiliser_Brands[[#This Row],[Product (select)]],FertiliserProducts[Product],FertiliserProducts[Unit]), "kg")</f>
        <v>kg</v>
      </c>
      <c r="G21" s="159">
        <f t="shared" ref="G21" si="9">X_Cell_Fertiliser_AreaUnderCropping</f>
        <v>1000</v>
      </c>
      <c r="H21" s="160">
        <f>IFERROR(_xlfn.XLOOKUP(Table_Input_InorganicFertiliser_Brands[[#This Row],[Product (select)]],FertiliserProducts[Product],FertiliserProducts[Density]), 1)</f>
        <v>1</v>
      </c>
      <c r="I21" s="161">
        <f>(Table_Input_InorganicFertiliser_Brands[[#This Row],[Amount applied per hectare]]*Table_Input_InorganicFertiliser_Brands[[#This Row],[Density]])*Table_Input_InorganicFertiliser_Brands[[#This Row],[Application area (ha)]]</f>
        <v>0</v>
      </c>
      <c r="J21" s="16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6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6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6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6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6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6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6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6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6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6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6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6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62" cm="1">
        <f t="array" ref="W21">IFERROR(Fertiliser_InputFunctions.Fertiliser_FertiliserProductLookup(Table_Input_InorganicFertiliser_Brands[[#This Row],[Product (select)]], "N declared", FertiliserProducts[#Data], FertiliserProducts[Product], FertiliserProducts[#Headers])*0.01, 0)</f>
        <v>0</v>
      </c>
      <c r="X21" s="16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61" t="str">
        <f>IFERROR(_xlfn.XLOOKUP(Table_Input_InorganicFertiliser_Brands[[#This Row],[Product (select)]],FertiliserProducts[Product],FertiliserProducts[Urea source]), "")</f>
        <v/>
      </c>
      <c r="Z21" s="161" t="str">
        <f>IFERROR(_xlfn.XLOOKUP(Table_Input_InorganicFertiliser_Brands[[#This Row],[Product (select)]],FertiliserProducts[Product],FertiliserProducts[Ammonia source]), "")</f>
        <v/>
      </c>
    </row>
    <row r="22" spans="1:26" ht="20.100000000000001" customHeight="1" x14ac:dyDescent="0.25">
      <c r="A22" s="5" t="str">
        <f>HYPERLINK("#'Input - Livestock farm Inputs'!A1", "Livestock farm Inputs")</f>
        <v>Livestock farm Inputs</v>
      </c>
      <c r="D22" s="163"/>
      <c r="E22" s="164"/>
      <c r="F22" s="165"/>
      <c r="G22" s="165"/>
      <c r="H22" s="165"/>
      <c r="I22" s="165"/>
      <c r="J22" s="166"/>
      <c r="K22" s="166"/>
      <c r="L22" s="167"/>
      <c r="M22" s="167"/>
      <c r="N22" s="168"/>
      <c r="O22" s="168"/>
      <c r="P22" s="168"/>
      <c r="Q22" s="168"/>
      <c r="R22" s="168"/>
      <c r="S22" s="168"/>
      <c r="T22" s="168"/>
      <c r="U22" s="168"/>
      <c r="V22" s="168"/>
      <c r="W22" s="168"/>
      <c r="X22" s="168"/>
    </row>
    <row r="23" spans="1:26" ht="20.100000000000001" customHeight="1" x14ac:dyDescent="0.25">
      <c r="A23" s="5" t="str">
        <f>HYPERLINK("#'Input - Freight'!A1", "Freight")</f>
        <v>Freight</v>
      </c>
      <c r="D23" s="169" t="s">
        <v>580</v>
      </c>
      <c r="E23" s="170"/>
      <c r="F23" s="170"/>
      <c r="G23" s="170"/>
      <c r="H23" s="170"/>
      <c r="I23" s="170"/>
      <c r="J23" s="170"/>
      <c r="K23" s="170"/>
      <c r="L23" s="170"/>
      <c r="M23" s="170"/>
      <c r="N23" s="168"/>
      <c r="O23" s="168"/>
      <c r="P23" s="168"/>
      <c r="Q23" s="168"/>
      <c r="R23" s="168"/>
      <c r="S23" s="168"/>
      <c r="T23" s="168"/>
      <c r="V23" s="168"/>
      <c r="W23" s="168"/>
      <c r="X23" s="168"/>
    </row>
    <row r="24" spans="1:26" ht="20.100000000000001" customHeight="1" x14ac:dyDescent="0.25">
      <c r="A24" s="5" t="str">
        <f>HYPERLINK("#'Input - Manure sent off-site'!A1", "Manure sent off-site")</f>
        <v>Manure sent off-site</v>
      </c>
      <c r="D24" s="156" t="s">
        <v>581</v>
      </c>
      <c r="E24" s="156" t="s">
        <v>582</v>
      </c>
      <c r="F24" s="156" t="s">
        <v>557</v>
      </c>
      <c r="G24" s="156" t="s">
        <v>559</v>
      </c>
      <c r="H24" s="156" t="s">
        <v>583</v>
      </c>
      <c r="I24" s="156" t="s">
        <v>561</v>
      </c>
      <c r="J24" s="156" t="s">
        <v>562</v>
      </c>
      <c r="K24" s="156" t="s">
        <v>563</v>
      </c>
      <c r="L24" s="156" t="s">
        <v>564</v>
      </c>
      <c r="M24" s="156" t="s">
        <v>565</v>
      </c>
      <c r="N24" s="156" t="s">
        <v>566</v>
      </c>
      <c r="O24" s="156" t="s">
        <v>567</v>
      </c>
      <c r="P24" s="156" t="s">
        <v>574</v>
      </c>
      <c r="Q24" s="171" t="s">
        <v>584</v>
      </c>
      <c r="R24" s="171" t="s">
        <v>585</v>
      </c>
      <c r="S24" s="168"/>
      <c r="T24" s="168"/>
      <c r="V24" s="168"/>
      <c r="W24" s="168"/>
      <c r="X24" s="168"/>
    </row>
    <row r="25" spans="1:26" ht="20.100000000000001" customHeight="1" x14ac:dyDescent="0.25">
      <c r="A25" s="5" t="str">
        <f>HYPERLINK("#'Input - Solid waste'!A1", "Solid waste")</f>
        <v>Solid waste</v>
      </c>
      <c r="D25" s="43" t="s">
        <v>586</v>
      </c>
      <c r="E25" s="156">
        <v>100</v>
      </c>
      <c r="F25" s="159">
        <f t="shared" ref="F25:F34" si="10">X_Cell_Fertiliser_AreaUnderCropping</f>
        <v>1000</v>
      </c>
      <c r="G25" s="161">
        <f>Table_Input_InorganicFertiliser_Custom[[#This Row],[Amount applied (kg / ha)]]*Table_Input_InorganicFertiliser_Custom[[#This Row],[Application area (ha)]]</f>
        <v>100000</v>
      </c>
      <c r="H25" s="172" t="s">
        <v>587</v>
      </c>
      <c r="I25" s="173">
        <v>0.5</v>
      </c>
      <c r="J25" s="172" t="s">
        <v>588</v>
      </c>
      <c r="K25" s="173">
        <v>0.2</v>
      </c>
      <c r="L25" s="172" t="s">
        <v>589</v>
      </c>
      <c r="M25" s="173">
        <v>0.2</v>
      </c>
      <c r="N25" s="174" t="s">
        <v>590</v>
      </c>
      <c r="O25" s="28">
        <v>0.1</v>
      </c>
      <c r="P25"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7"/>
      <c r="V25" s="168"/>
    </row>
    <row r="26" spans="1:26" ht="20.100000000000001" customHeight="1" x14ac:dyDescent="0.25">
      <c r="A26" s="5" t="str">
        <f>HYPERLINK("#'Input - Data quality'!A1", "Data quality")</f>
        <v>Data quality</v>
      </c>
      <c r="D26" s="43" t="s">
        <v>591</v>
      </c>
      <c r="E26" s="156">
        <v>100</v>
      </c>
      <c r="F26" s="159">
        <f t="shared" si="10"/>
        <v>1000</v>
      </c>
      <c r="G26" s="161">
        <f>Table_Input_InorganicFertiliser_Custom[[#This Row],[Amount applied (kg / ha)]]*Table_Input_InorganicFertiliser_Custom[[#This Row],[Application area (ha)]]</f>
        <v>100000</v>
      </c>
      <c r="H26" s="172" t="s">
        <v>577</v>
      </c>
      <c r="I26" s="175">
        <v>1</v>
      </c>
      <c r="J26" s="172"/>
      <c r="K26" s="175"/>
      <c r="L26" s="172"/>
      <c r="M26" s="175"/>
      <c r="N26" s="174"/>
      <c r="O26" s="28"/>
      <c r="P26"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68"/>
      <c r="W26" s="87"/>
    </row>
    <row r="27" spans="1:26" ht="20.100000000000001" customHeight="1" x14ac:dyDescent="0.25">
      <c r="D27" s="43" t="s">
        <v>592</v>
      </c>
      <c r="E27" s="156">
        <v>100</v>
      </c>
      <c r="F27" s="159">
        <f t="shared" si="10"/>
        <v>1000</v>
      </c>
      <c r="G27" s="161">
        <f>Table_Input_InorganicFertiliser_Custom[[#This Row],[Amount applied (kg / ha)]]*Table_Input_InorganicFertiliser_Custom[[#This Row],[Application area (ha)]]</f>
        <v>100000</v>
      </c>
      <c r="H27" s="172" t="s">
        <v>593</v>
      </c>
      <c r="I27" s="175">
        <v>0.5</v>
      </c>
      <c r="J27" s="172"/>
      <c r="K27" s="175"/>
      <c r="L27" s="172"/>
      <c r="M27" s="175"/>
      <c r="N27" s="174"/>
      <c r="O27" s="28"/>
      <c r="P27"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68"/>
    </row>
    <row r="28" spans="1:26" ht="20.100000000000001" customHeight="1" x14ac:dyDescent="0.25">
      <c r="D28" s="43"/>
      <c r="E28" s="156"/>
      <c r="F28" s="176">
        <f t="shared" si="10"/>
        <v>1000</v>
      </c>
      <c r="G28" s="161">
        <f>Table_Input_InorganicFertiliser_Custom[[#This Row],[Amount applied (kg / ha)]]*Table_Input_InorganicFertiliser_Custom[[#This Row],[Application area (ha)]]</f>
        <v>0</v>
      </c>
      <c r="H28" s="172"/>
      <c r="I28" s="175"/>
      <c r="J28" s="172"/>
      <c r="K28" s="175"/>
      <c r="L28" s="172"/>
      <c r="M28" s="175"/>
      <c r="N28" s="174"/>
      <c r="O28" s="28"/>
      <c r="P28"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7"/>
    </row>
    <row r="29" spans="1:26" ht="20.100000000000001" customHeight="1" x14ac:dyDescent="0.25">
      <c r="A29" s="6" t="s">
        <v>2</v>
      </c>
      <c r="D29" s="43"/>
      <c r="E29" s="156"/>
      <c r="F29" s="176">
        <f t="shared" si="10"/>
        <v>1000</v>
      </c>
      <c r="G29" s="161">
        <f>Table_Input_InorganicFertiliser_Custom[[#This Row],[Amount applied (kg / ha)]]*Table_Input_InorganicFertiliser_Custom[[#This Row],[Application area (ha)]]</f>
        <v>0</v>
      </c>
      <c r="H29" s="172"/>
      <c r="I29" s="175"/>
      <c r="J29" s="172"/>
      <c r="K29" s="175"/>
      <c r="L29" s="172"/>
      <c r="M29" s="175"/>
      <c r="N29" s="174"/>
      <c r="O29" s="28"/>
      <c r="P29"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HYPERLINK("#'5.1.1.1-2 Inorganic fert N2O'!A1", "5.1.1.1-2 Inorganic fert N2O")</f>
        <v>5.1.1.1-2 Inorganic fert N2O</v>
      </c>
      <c r="D30" s="43"/>
      <c r="E30" s="156"/>
      <c r="F30" s="176">
        <f t="shared" si="10"/>
        <v>1000</v>
      </c>
      <c r="G30" s="161">
        <f>Table_Input_InorganicFertiliser_Custom[[#This Row],[Amount applied (kg / ha)]]*Table_Input_InorganicFertiliser_Custom[[#This Row],[Application area (ha)]]</f>
        <v>0</v>
      </c>
      <c r="H30" s="172"/>
      <c r="I30" s="175"/>
      <c r="J30" s="172"/>
      <c r="K30" s="175"/>
      <c r="L30" s="172"/>
      <c r="M30" s="175"/>
      <c r="N30" s="174"/>
      <c r="O30" s="28"/>
      <c r="P30"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HYPERLINK("#'5.1.1.3-4 Inorganic fert CO2'!A1", "5.1.1.3-4 Inorganic fert CO2")</f>
        <v>5.1.1.3-4 Inorganic fert CO2</v>
      </c>
      <c r="D31" s="43"/>
      <c r="E31" s="156"/>
      <c r="F31" s="176">
        <f t="shared" si="10"/>
        <v>1000</v>
      </c>
      <c r="G31" s="161">
        <f>Table_Input_InorganicFertiliser_Custom[[#This Row],[Amount applied (kg / ha)]]*Table_Input_InorganicFertiliser_Custom[[#This Row],[Application area (ha)]]</f>
        <v>0</v>
      </c>
      <c r="H31" s="172"/>
      <c r="I31" s="175"/>
      <c r="J31" s="172"/>
      <c r="K31" s="175"/>
      <c r="L31" s="172"/>
      <c r="M31" s="175"/>
      <c r="N31" s="174"/>
      <c r="O31" s="28"/>
      <c r="P31"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HYPERLINK("#'5.2.1.1-2 Organic Fert N2O'!A1", "5.2.1.1-2 Organic fert N2O")</f>
        <v>5.2.1.1-2 Organic fert N2O</v>
      </c>
      <c r="D32" s="43"/>
      <c r="E32" s="156"/>
      <c r="F32" s="176">
        <f t="shared" si="10"/>
        <v>1000</v>
      </c>
      <c r="G32" s="161">
        <f>Table_Input_InorganicFertiliser_Custom[[#This Row],[Amount applied (kg / ha)]]*Table_Input_InorganicFertiliser_Custom[[#This Row],[Application area (ha)]]</f>
        <v>0</v>
      </c>
      <c r="H32" s="172"/>
      <c r="I32" s="175"/>
      <c r="J32" s="172"/>
      <c r="K32" s="175"/>
      <c r="L32" s="172"/>
      <c r="M32" s="175"/>
      <c r="N32" s="174"/>
      <c r="O32" s="28"/>
      <c r="P32"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HYPERLINK("#'5.3.1.1-2 Lime CO2'!A1", "5.3.1.1-2 Lime CO2")</f>
        <v>5.3.1.1-2 Lime CO2</v>
      </c>
      <c r="D33" s="43"/>
      <c r="E33" s="156"/>
      <c r="F33" s="176">
        <f t="shared" si="10"/>
        <v>1000</v>
      </c>
      <c r="G33" s="161">
        <f>Table_Input_InorganicFertiliser_Custom[[#This Row],[Amount applied (kg / ha)]]*Table_Input_InorganicFertiliser_Custom[[#This Row],[Application area (ha)]]</f>
        <v>0</v>
      </c>
      <c r="H33" s="172"/>
      <c r="I33" s="175"/>
      <c r="J33" s="172"/>
      <c r="K33" s="175"/>
      <c r="L33" s="172"/>
      <c r="M33" s="175"/>
      <c r="N33" s="174"/>
      <c r="O33" s="28"/>
      <c r="P33"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HYPERLINK("#'5.4.1.1-4 Atmos deposition'!A1", "5.4.1.1-4 Atmos. deposition")</f>
        <v>5.4.1.1-4 Atmos. deposition</v>
      </c>
      <c r="D34" s="43"/>
      <c r="E34" s="156"/>
      <c r="F34" s="176">
        <f t="shared" si="10"/>
        <v>1000</v>
      </c>
      <c r="G34" s="161">
        <f>Table_Input_InorganicFertiliser_Custom[[#This Row],[Amount applied (kg / ha)]]*Table_Input_InorganicFertiliser_Custom[[#This Row],[Application area (ha)]]</f>
        <v>0</v>
      </c>
      <c r="H34" s="172"/>
      <c r="I34" s="175"/>
      <c r="J34" s="172"/>
      <c r="K34" s="175"/>
      <c r="L34" s="172"/>
      <c r="M34" s="175"/>
      <c r="N34" s="174"/>
      <c r="O34" s="28"/>
      <c r="P34" s="16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HYPERLINK("#'5.5.1.1-2 Leaching and runoff'!A1", "5.5.1.1-2 Leaching &amp; runoff")</f>
        <v>5.5.1.1-2 Leaching &amp; runoff</v>
      </c>
    </row>
    <row r="36" spans="1:27" ht="20.100000000000001" customHeight="1" x14ac:dyDescent="0.25">
      <c r="A36" s="5" t="str">
        <f>HYPERLINK("#'6.2.1.1-2 Pasture residue N2O'!A1", "6.2.1.1-2 Pasture residue N2O")</f>
        <v>6.2.1.1-2 Pasture residue N2O</v>
      </c>
      <c r="D36" s="2" t="s">
        <v>594</v>
      </c>
      <c r="E36" s="34"/>
      <c r="F36" s="34"/>
      <c r="G36" s="34"/>
      <c r="H36" s="34"/>
      <c r="I36" s="34"/>
      <c r="J36" s="34"/>
      <c r="K36" s="8"/>
      <c r="L36" s="8"/>
      <c r="M36" s="8"/>
    </row>
    <row r="37" spans="1:27" ht="20.100000000000001" customHeight="1" x14ac:dyDescent="0.25">
      <c r="A37" s="5" t="str">
        <f>HYPERLINK("#'6.3.1.1-2 Leach runoff pasture'!A1", "6.3.1.1-2 Leach &amp; runoff (pasture)")</f>
        <v>6.3.1.1-2 Leach &amp; runoff (pasture)</v>
      </c>
      <c r="D37" s="145" t="s">
        <v>595</v>
      </c>
      <c r="E37" s="53"/>
      <c r="F37" s="54"/>
      <c r="G37" s="145"/>
      <c r="H37" s="54"/>
      <c r="I37" s="34"/>
      <c r="J37" s="34"/>
      <c r="K37" s="8"/>
      <c r="L37" s="8"/>
      <c r="M37" s="34"/>
    </row>
    <row r="38" spans="1:27" ht="20.100000000000001" customHeight="1" x14ac:dyDescent="0.25">
      <c r="A38" s="5" t="str">
        <f>HYPERLINK("#'8.1.1.1-2 Transport fuel'!A1", "8.1.1.1-2 Transport fuel")</f>
        <v>8.1.1.1-2 Transport fuel</v>
      </c>
      <c r="C38" s="168"/>
      <c r="D38" s="177" t="s">
        <v>596</v>
      </c>
      <c r="E38" s="178"/>
      <c r="F38" s="179"/>
      <c r="G38" s="177"/>
      <c r="H38" s="179"/>
      <c r="I38" s="8"/>
      <c r="J38" s="8"/>
      <c r="K38" s="8"/>
      <c r="L38" s="8"/>
      <c r="M38" s="8"/>
    </row>
    <row r="39" spans="1:27" ht="20.100000000000001" customHeight="1" x14ac:dyDescent="0.25">
      <c r="A39" s="5" t="str">
        <f>HYPERLINK("#'8.2.1.1-2 Stationary fuel'!A1", "8.2.1.1-2 Stationary fuel")</f>
        <v>8.2.1.1-2 Stationary fuel</v>
      </c>
      <c r="C39" s="168"/>
      <c r="D39" s="55" t="s">
        <v>552</v>
      </c>
      <c r="E39" s="56"/>
      <c r="F39" s="56"/>
      <c r="G39" s="56"/>
      <c r="H39" s="57"/>
      <c r="I39" s="8"/>
      <c r="J39" s="8"/>
      <c r="K39" s="8"/>
      <c r="L39" s="8"/>
      <c r="M39" s="34"/>
    </row>
    <row r="40" spans="1:27" s="180" customFormat="1" ht="20.100000000000001" customHeight="1" x14ac:dyDescent="0.25">
      <c r="A40" s="5" t="str">
        <f>HYPERLINK("#'14.1.1-2 Purchased electricity'!A1", "14.1.1-2 Purchased electricity")</f>
        <v>14.1.1-2 Purchased electricity</v>
      </c>
      <c r="C40" s="1"/>
      <c r="D40" s="91" t="str">
        <f>IF(MAX(Table_Input_Lime[Total]) &gt; 1, "There can not be more than 100% ingredients in a product. Check the table below.", "")</f>
        <v/>
      </c>
      <c r="E40" s="1"/>
      <c r="F40" s="1"/>
      <c r="G40" s="1"/>
      <c r="H40" s="1"/>
      <c r="I40" s="1"/>
      <c r="J40" s="1"/>
      <c r="K40" s="1"/>
      <c r="L40" s="8"/>
      <c r="M40" s="34"/>
      <c r="N40" s="1"/>
      <c r="O40" s="1"/>
      <c r="P40" s="1"/>
      <c r="Q40" s="1"/>
      <c r="R40" s="1"/>
      <c r="S40" s="1"/>
      <c r="T40" s="1"/>
      <c r="U40" s="1"/>
      <c r="V40" s="1"/>
      <c r="W40" s="1"/>
      <c r="X40" s="1"/>
      <c r="Y40" s="1"/>
      <c r="Z40" s="1"/>
      <c r="AA40" s="1"/>
    </row>
    <row r="41" spans="1:27" s="180" customFormat="1" ht="20.100000000000001" customHeight="1" x14ac:dyDescent="0.25">
      <c r="A41" s="5" t="str">
        <f>HYPERLINK("#'15 Scope 3'!A1", "15 Scope 3")</f>
        <v>15 Scope 3</v>
      </c>
      <c r="C41" s="1"/>
      <c r="D41" s="181" t="s">
        <v>138</v>
      </c>
      <c r="E41" s="181" t="s">
        <v>597</v>
      </c>
      <c r="F41" s="181" t="s">
        <v>557</v>
      </c>
      <c r="G41" s="181" t="s">
        <v>598</v>
      </c>
      <c r="H41" s="181" t="s">
        <v>599</v>
      </c>
      <c r="I41" s="181" t="s">
        <v>600</v>
      </c>
      <c r="J41" s="181" t="s">
        <v>601</v>
      </c>
      <c r="K41" s="181" t="s">
        <v>4</v>
      </c>
      <c r="L41" s="1"/>
      <c r="M41" s="1"/>
      <c r="N41" s="1"/>
      <c r="O41" s="1"/>
      <c r="P41" s="1"/>
      <c r="Q41" s="1"/>
      <c r="R41" s="1"/>
      <c r="S41" s="168"/>
      <c r="T41" s="1"/>
      <c r="U41" s="1"/>
      <c r="V41" s="1"/>
      <c r="W41" s="1"/>
      <c r="X41" s="1"/>
      <c r="Y41" s="1"/>
      <c r="Z41" s="1"/>
      <c r="AA41" s="1"/>
    </row>
    <row r="42" spans="1:27" ht="20.100000000000001" customHeight="1" x14ac:dyDescent="0.25">
      <c r="A42" s="5" t="str">
        <f>HYPERLINK("#'Calcs - Manure sent off-site'!A1", "Calcs - Manure sent off-site")</f>
        <v>Calcs - Manure sent off-site</v>
      </c>
      <c r="D42" s="182" t="s">
        <v>602</v>
      </c>
      <c r="E42" s="159">
        <v>1</v>
      </c>
      <c r="F42" s="159">
        <f>X_Cell_Fertiliser_AreaUnderCropping</f>
        <v>1000</v>
      </c>
      <c r="G42" s="161">
        <f>IFERROR(Table_Input_Lime[[#This Row],[Amount applied (t/hectare)]]*Table_Input_Lime[[#This Row],[Application area (ha)]], 0)</f>
        <v>1000</v>
      </c>
      <c r="H42" s="183">
        <v>0.8</v>
      </c>
      <c r="I42" s="183">
        <v>0.1</v>
      </c>
      <c r="J42" s="183">
        <v>0.1</v>
      </c>
      <c r="K42" s="184">
        <f>SUM(Table_Input_Lime[[#This Row],[Percent Lime CaCO3]:[Percent Gypsum]])</f>
        <v>1</v>
      </c>
      <c r="S42" s="168"/>
    </row>
    <row r="43" spans="1:27" ht="20.100000000000001" customHeight="1" x14ac:dyDescent="0.25">
      <c r="A43" s="5" t="str">
        <f>HYPERLINK("#'4.3.1.1-2 Methane'!A1", "4.3.1.1-2 Methane")</f>
        <v>4.3.1.1-2 Methane</v>
      </c>
      <c r="D43" s="182" t="s">
        <v>603</v>
      </c>
      <c r="E43" s="159">
        <v>1</v>
      </c>
      <c r="F43" s="159">
        <f>X_Cell_Fertiliser_AreaUnderCropping</f>
        <v>1000</v>
      </c>
      <c r="G43" s="161">
        <f>IFERROR(Table_Input_Lime[[#This Row],[Amount applied (t/hectare)]]*Table_Input_Lime[[#This Row],[Application area (ha)]], 0)</f>
        <v>1000</v>
      </c>
      <c r="H43" s="183">
        <v>1</v>
      </c>
      <c r="I43" s="183"/>
      <c r="J43" s="183"/>
      <c r="K43" s="184">
        <f>SUM(Table_Input_Lime[[#This Row],[Percent Lime CaCO3]:[Percent Gypsum]])</f>
        <v>1</v>
      </c>
    </row>
    <row r="44" spans="1:27" ht="20.100000000000001" customHeight="1" x14ac:dyDescent="0.25">
      <c r="A44" s="5" t="str">
        <f>HYPERLINK("#'4.3.1.3-4 Direct N20'!A1", "4.3.1.3-4 Direct N20")</f>
        <v>4.3.1.3-4 Direct N20</v>
      </c>
      <c r="D44" s="182" t="s">
        <v>604</v>
      </c>
      <c r="E44" s="159">
        <v>1</v>
      </c>
      <c r="F44" s="159">
        <f>X_Cell_Fertiliser_AreaUnderCropping</f>
        <v>1000</v>
      </c>
      <c r="G44" s="161">
        <f>IFERROR(Table_Input_Lime[[#This Row],[Amount applied (t/hectare)]]*Table_Input_Lime[[#This Row],[Application area (ha)]], 0)</f>
        <v>1000</v>
      </c>
      <c r="H44" s="183">
        <v>0</v>
      </c>
      <c r="I44" s="183"/>
      <c r="J44" s="183">
        <v>1</v>
      </c>
      <c r="K44" s="184">
        <f>SUM(Table_Input_Lime[[#This Row],[Percent Lime CaCO3]:[Percent Gypsum]])</f>
        <v>1</v>
      </c>
      <c r="L44" s="34"/>
    </row>
    <row r="45" spans="1:27" ht="20.100000000000001" customHeight="1" x14ac:dyDescent="0.25">
      <c r="A45" s="5" t="str">
        <f>HYPERLINK("#'4.3.1.5 Atmos deposition'!A1", "4.3.1.5 Atmos deposition")</f>
        <v>4.3.1.5 Atmos deposition</v>
      </c>
      <c r="L45" s="34"/>
      <c r="M45" s="34"/>
    </row>
    <row r="46" spans="1:27" ht="20.100000000000001" customHeight="1" x14ac:dyDescent="0.25">
      <c r="A46" s="5" t="str">
        <f>HYPERLINK("#'4.3.1.6-7 Leaching and runoff'!A1", "4.3.1.6-7 Leaching and runoff")</f>
        <v>4.3.1.6-7 Leaching and runoff</v>
      </c>
      <c r="D46" s="8"/>
      <c r="E46" s="8"/>
      <c r="F46" s="8"/>
      <c r="G46" s="8"/>
      <c r="H46" s="8"/>
      <c r="I46" s="8"/>
      <c r="J46" s="8"/>
      <c r="L46" s="8"/>
      <c r="M46" s="34"/>
    </row>
    <row r="47" spans="1:27" ht="20.100000000000001" customHeight="1" x14ac:dyDescent="0.25">
      <c r="A47" s="5" t="str">
        <f>HYPERLINK("#'4.3.1.8 Manure applied to soils'!A1", "4.3.1.8 Manure applied to soils")</f>
        <v>4.3.1.8 Manure applied to soils</v>
      </c>
      <c r="D47" s="8"/>
      <c r="E47" s="8"/>
      <c r="F47" s="8"/>
      <c r="G47" s="8"/>
      <c r="H47" s="8"/>
      <c r="I47" s="8"/>
      <c r="J47" s="185"/>
      <c r="K47" s="34"/>
      <c r="L47" s="8"/>
      <c r="M47" s="8"/>
    </row>
    <row r="48" spans="1:27" ht="20.100000000000001" customHeight="1" x14ac:dyDescent="0.25">
      <c r="A48" s="5" t="str">
        <f>HYPERLINK("#'4.3.1.9 Soil direct N2O'!A1", "4.3.1.9 Soil direct N2O")</f>
        <v>4.3.1.9 Soil direct N2O</v>
      </c>
      <c r="D48" s="2" t="s">
        <v>605</v>
      </c>
      <c r="E48" s="34"/>
      <c r="F48" s="34"/>
      <c r="G48" s="34"/>
      <c r="H48" s="8"/>
      <c r="I48" s="8"/>
      <c r="J48" s="8"/>
      <c r="K48" s="8"/>
      <c r="L48" s="8"/>
      <c r="M48" s="8"/>
    </row>
    <row r="49" spans="1:18" ht="20.100000000000001" customHeight="1" x14ac:dyDescent="0.25">
      <c r="A49" s="5" t="str">
        <f>HYPERLINK("#'4.3.1.10-11 Soil Atmos Dep'!A1", "4.3.1.10-11 Soil Atmos Dep")</f>
        <v>4.3.1.10-11 Soil Atmos Dep</v>
      </c>
      <c r="D49" s="8"/>
      <c r="E49" s="8"/>
      <c r="F49" s="8"/>
      <c r="G49" s="8"/>
      <c r="H49" s="8"/>
      <c r="I49" s="8"/>
      <c r="J49" s="8"/>
      <c r="K49" s="8"/>
      <c r="L49" s="8"/>
      <c r="M49" s="8"/>
      <c r="Q49" s="168"/>
      <c r="R49" s="168"/>
    </row>
    <row r="50" spans="1:18" ht="20.100000000000001" customHeight="1" x14ac:dyDescent="0.25">
      <c r="A50" s="5" t="str">
        <f>HYPERLINK("#'4.3.1.12-13 Soil leach runoff'!A1", "4.3.1.12-13 Soil leach runoff")</f>
        <v>4.3.1.12-13 Soil leach runoff</v>
      </c>
      <c r="D50" s="145" t="s">
        <v>595</v>
      </c>
      <c r="E50" s="53"/>
      <c r="F50" s="53"/>
      <c r="G50" s="53"/>
      <c r="H50" s="54"/>
      <c r="I50" s="8"/>
      <c r="J50" s="8"/>
      <c r="K50" s="8"/>
      <c r="L50" s="8"/>
      <c r="M50" s="8"/>
      <c r="O50" s="168"/>
      <c r="P50" s="168"/>
      <c r="Q50" s="168"/>
      <c r="R50" s="168"/>
    </row>
    <row r="51" spans="1:18" ht="20.100000000000001" customHeight="1" x14ac:dyDescent="0.25">
      <c r="A51" s="5" t="str">
        <f>HYPERLINK("#'3.3.1.1-2 Enteric Methane'!A1", "3.3.1.1-2 Enteric Methane")</f>
        <v>3.3.1.1-2 Enteric Methane</v>
      </c>
      <c r="D51" s="55" t="s">
        <v>552</v>
      </c>
      <c r="E51" s="56"/>
      <c r="F51" s="56"/>
      <c r="G51" s="56"/>
      <c r="H51" s="57"/>
      <c r="I51" s="8"/>
      <c r="J51" s="8"/>
      <c r="K51" s="8"/>
      <c r="L51" s="170"/>
      <c r="M51" s="168"/>
      <c r="N51" s="168"/>
      <c r="O51" s="168"/>
      <c r="P51" s="168"/>
    </row>
    <row r="52" spans="1:18" ht="20.100000000000001" customHeight="1" x14ac:dyDescent="0.25">
      <c r="A52" s="5" t="str">
        <f>HYPERLINK("#'10.1.1-2 Solid waste treatment'!A1", "10.1.1-2 Solid waste treatment")</f>
        <v>10.1.1-2 Solid waste treatment</v>
      </c>
      <c r="D52" s="8"/>
      <c r="E52" s="8"/>
      <c r="F52" s="8"/>
      <c r="G52" s="8"/>
      <c r="H52" s="8"/>
      <c r="I52" s="8"/>
      <c r="J52" s="8"/>
      <c r="K52" s="8"/>
      <c r="L52" s="170"/>
      <c r="M52" s="168"/>
      <c r="N52" s="168"/>
    </row>
    <row r="53" spans="1:18" ht="20.100000000000001" customHeight="1" x14ac:dyDescent="0.25">
      <c r="D53" s="181" t="s">
        <v>606</v>
      </c>
      <c r="E53" s="181" t="s">
        <v>607</v>
      </c>
      <c r="F53" s="181" t="s">
        <v>608</v>
      </c>
      <c r="G53" s="181" t="s">
        <v>609</v>
      </c>
      <c r="H53" s="181" t="s">
        <v>557</v>
      </c>
      <c r="I53" s="181" t="s">
        <v>610</v>
      </c>
      <c r="J53" s="181" t="s">
        <v>611</v>
      </c>
      <c r="K53" s="170"/>
    </row>
    <row r="54" spans="1:18" ht="20.100000000000001" customHeight="1" x14ac:dyDescent="0.25">
      <c r="D54" s="158" t="s">
        <v>612</v>
      </c>
      <c r="E54" s="183">
        <v>0.3</v>
      </c>
      <c r="F54" s="159">
        <v>10</v>
      </c>
      <c r="G54" s="161">
        <f>Table_Input_OrganicFertiliser[[#This Row],[Amount applied (kg/hectare)]]*Table_Input_OrganicFertiliser[[#This Row],[Percentage of N in fertiliser]]</f>
        <v>3</v>
      </c>
      <c r="H54" s="159">
        <f>X_Cell_Fertiliser_AreaUnderCropping</f>
        <v>1000</v>
      </c>
      <c r="I54" s="161">
        <f>Table_Input_OrganicFertiliser[[#This Row],[Amount applied (kg/hectare)]]*Table_Input_OrganicFertiliser[[#This Row],[Application area (ha)]]</f>
        <v>10000</v>
      </c>
      <c r="J54" s="161">
        <f>IFERROR(Table_Input_OrganicFertiliser[[#This Row],[Amount N applied (kg/hectare)]]*Table_Input_OrganicFertiliser[[#This Row],[Application area (ha)]], 0)</f>
        <v>3000</v>
      </c>
      <c r="K54" s="170"/>
    </row>
    <row r="55" spans="1:18" ht="20.100000000000001" customHeight="1" x14ac:dyDescent="0.25">
      <c r="A55" s="100" t="s">
        <v>1</v>
      </c>
      <c r="D55" s="158" t="s">
        <v>613</v>
      </c>
      <c r="E55" s="183">
        <v>0.25</v>
      </c>
      <c r="F55" s="159">
        <v>10</v>
      </c>
      <c r="G55" s="161">
        <f>Table_Input_OrganicFertiliser[[#This Row],[Amount applied (kg/hectare)]]*Table_Input_OrganicFertiliser[[#This Row],[Percentage of N in fertiliser]]</f>
        <v>2.5</v>
      </c>
      <c r="H55" s="159">
        <f>X_Cell_Fertiliser_AreaUnderCropping</f>
        <v>1000</v>
      </c>
      <c r="I55" s="161">
        <f>Table_Input_OrganicFertiliser[[#This Row],[Amount applied (kg/hectare)]]*Table_Input_OrganicFertiliser[[#This Row],[Application area (ha)]]</f>
        <v>10000</v>
      </c>
      <c r="J55" s="161">
        <f>IFERROR(Table_Input_OrganicFertiliser[[#This Row],[Amount N applied (kg/hectare)]]*Table_Input_OrganicFertiliser[[#This Row],[Application area (ha)]], 0)</f>
        <v>2500</v>
      </c>
    </row>
    <row r="56" spans="1:18" ht="20.100000000000001" customHeight="1" x14ac:dyDescent="0.25">
      <c r="A56" s="5" t="str">
        <f>HYPERLINK("#'Constants - Dairy'!A1", "Constants - Dairy")</f>
        <v>Constants - Dairy</v>
      </c>
      <c r="D56" s="158" t="s">
        <v>614</v>
      </c>
      <c r="E56" s="183">
        <v>0.16</v>
      </c>
      <c r="F56" s="159">
        <v>10</v>
      </c>
      <c r="G56" s="161">
        <f>Table_Input_OrganicFertiliser[[#This Row],[Amount applied (kg/hectare)]]*Table_Input_OrganicFertiliser[[#This Row],[Percentage of N in fertiliser]]</f>
        <v>1.6</v>
      </c>
      <c r="H56" s="159">
        <f>X_Cell_Fertiliser_AreaUnderCropping</f>
        <v>1000</v>
      </c>
      <c r="I56" s="161">
        <f>Table_Input_OrganicFertiliser[[#This Row],[Amount applied (kg/hectare)]]*Table_Input_OrganicFertiliser[[#This Row],[Application area (ha)]]</f>
        <v>10000</v>
      </c>
      <c r="J56" s="161">
        <f>IFERROR(Table_Input_OrganicFertiliser[[#This Row],[Amount N applied (kg/hectare)]]*Table_Input_OrganicFertiliser[[#This Row],[Application area (ha)]], 0)</f>
        <v>1600</v>
      </c>
    </row>
    <row r="57" spans="1:18" ht="20.100000000000001" customHeight="1" x14ac:dyDescent="0.25">
      <c r="A57" s="5" t="str">
        <f>HYPERLINK("#'Constants - Ag Residue'!A1", "Constants - Ag residue")</f>
        <v>Constants - Ag residue</v>
      </c>
    </row>
    <row r="58" spans="1:18" ht="20.100000000000001" customHeight="1" x14ac:dyDescent="0.25">
      <c r="A58" s="5" t="str">
        <f>HYPERLINK("#'Constants - Common Livestock'!A1", "Constants - Common Livestock")</f>
        <v>Constants - Common Livestock</v>
      </c>
    </row>
    <row r="59" spans="1:18" ht="20.100000000000001" customHeight="1" x14ac:dyDescent="0.25">
      <c r="A59" s="5" t="str">
        <f>HYPERLINK("#'Constants - Electricity'!A1", "Constants - Electricity")</f>
        <v>Constants - Electricity</v>
      </c>
    </row>
    <row r="60" spans="1:18" ht="20.100000000000001" customHeight="1" x14ac:dyDescent="0.25">
      <c r="A60" s="5" t="str">
        <f>HYPERLINK("#'Constants - Fertiliser'!A1", "Constants - Fertiliser")</f>
        <v>Constants - Fertiliser</v>
      </c>
    </row>
    <row r="61" spans="1:18" ht="20.100000000000001" customHeight="1" x14ac:dyDescent="0.25">
      <c r="A61" s="5" t="str">
        <f>HYPERLINK("#'Constants - Fuel'!A1", "Constants - Fuel")</f>
        <v>Constants - Fuel</v>
      </c>
    </row>
    <row r="62" spans="1:18" ht="20.100000000000001" customHeight="1" x14ac:dyDescent="0.25">
      <c r="A62" s="5" t="str">
        <f>HYPERLINK("#'Constants - Scope 3'!A1", "Constants - Scope 3")</f>
        <v>Constants - Scope 3</v>
      </c>
    </row>
    <row r="63" spans="1:18" ht="20.100000000000001" customHeight="1" x14ac:dyDescent="0.25">
      <c r="A63" s="5" t="str">
        <f>HYPERLINK("#'Constants - Common'!A1", "Constants - Common")</f>
        <v>Constants - Common</v>
      </c>
    </row>
    <row r="64" spans="1:18"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4"/>
    </row>
    <row r="127" spans="13:13" ht="20.100000000000001" customHeight="1" x14ac:dyDescent="0.25">
      <c r="M127" s="34"/>
    </row>
    <row r="128" spans="13:13" ht="20.100000000000001" customHeight="1" x14ac:dyDescent="0.25">
      <c r="M128" s="34"/>
    </row>
    <row r="129" spans="13:13" ht="20.100000000000001" customHeight="1" x14ac:dyDescent="0.25">
      <c r="M129" s="34"/>
    </row>
    <row r="130" spans="13:13" ht="20.100000000000001" customHeight="1" x14ac:dyDescent="0.25">
      <c r="M130" s="34"/>
    </row>
    <row r="131" spans="13:13" ht="20.100000000000001" customHeight="1" x14ac:dyDescent="0.25">
      <c r="M131" s="34"/>
    </row>
    <row r="132" spans="13:13" ht="20.100000000000001" customHeight="1" x14ac:dyDescent="0.25">
      <c r="M132" s="34"/>
    </row>
    <row r="133" spans="13:13" ht="20.100000000000001" customHeight="1" x14ac:dyDescent="0.25">
      <c r="M133" s="34"/>
    </row>
    <row r="134" spans="13:13" ht="20.100000000000001" customHeight="1" x14ac:dyDescent="0.25">
      <c r="M134" s="34"/>
    </row>
    <row r="135" spans="13:13" ht="20.100000000000001" customHeight="1" x14ac:dyDescent="0.25">
      <c r="M135" s="34"/>
    </row>
    <row r="136" spans="13:13" ht="20.100000000000001" customHeight="1" x14ac:dyDescent="0.25">
      <c r="M136" s="34"/>
    </row>
    <row r="137" spans="13:13" ht="20.100000000000001" customHeight="1" x14ac:dyDescent="0.25">
      <c r="M137" s="34"/>
    </row>
    <row r="138" spans="13:13" ht="20.100000000000001" customHeight="1" x14ac:dyDescent="0.25">
      <c r="M138" s="34"/>
    </row>
    <row r="139" spans="13:13" ht="20.100000000000001" customHeight="1" x14ac:dyDescent="0.25">
      <c r="M139" s="34"/>
    </row>
    <row r="140" spans="13:13" ht="20.100000000000001" customHeight="1" x14ac:dyDescent="0.25">
      <c r="M140" s="34"/>
    </row>
    <row r="141" spans="13:13" ht="20.100000000000001" customHeight="1" x14ac:dyDescent="0.25">
      <c r="M141" s="34"/>
    </row>
    <row r="142" spans="13:13" ht="20.100000000000001" customHeight="1" x14ac:dyDescent="0.25">
      <c r="M142" s="34"/>
    </row>
    <row r="143" spans="13:13" ht="20.100000000000001" customHeight="1" x14ac:dyDescent="0.25">
      <c r="M143" s="34"/>
    </row>
    <row r="144" spans="13:13" ht="20.100000000000001" customHeight="1" x14ac:dyDescent="0.25">
      <c r="M144" s="34"/>
    </row>
    <row r="145" spans="13:13" ht="20.100000000000001" customHeight="1" x14ac:dyDescent="0.25">
      <c r="M145" s="34"/>
    </row>
    <row r="146" spans="13:13" ht="20.100000000000001" customHeight="1" x14ac:dyDescent="0.25">
      <c r="M146" s="34"/>
    </row>
    <row r="147" spans="13:13" ht="20.100000000000001" customHeight="1" x14ac:dyDescent="0.25">
      <c r="M147" s="34"/>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91"/>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A76566D6-9CA6-4EAA-80DB-0771011CDB96}">
      <formula1>INDIRECT("FertiliserProducts[Product]")</formula1>
    </dataValidation>
    <dataValidation type="list" allowBlank="1" showInputMessage="1" showErrorMessage="1" sqref="Q25:R34" xr:uid="{4D71443D-29BE-4B7C-BB17-C49C9A00D128}">
      <formula1>INDIRECT("Table_SourceData_Fertiliser_UreaAmmoniaSources[Source]")</formula1>
    </dataValidation>
    <dataValidation type="list" allowBlank="1" showInputMessage="1" showErrorMessage="1" sqref="D54:D56" xr:uid="{BCF648A0-55E9-4112-B4A2-88AC83FC3C0E}">
      <formula1>INDIRECT("Table_SourceData_OrganicFertiliserTypes[Organic fertiliser type]")</formula1>
    </dataValidation>
    <dataValidation type="list" allowBlank="1" showInputMessage="1" showErrorMessage="1" sqref="H25:H34 J25:J34 L25:L34 N25:N34" xr:uid="{0F477B72-71E3-4B06-8D47-6436BB45888C}">
      <formula1>INDIRECT("Table_Fertiliser_ChemicalCompounds[Fertiliser type f]")</formula1>
    </dataValidation>
    <dataValidation type="list" allowBlank="1" showInputMessage="1" showErrorMessage="1" sqref="E81" xr:uid="{C44EC31C-5D51-4E9F-A4EC-6958D749D312}">
      <formula1>INDIRECT("Table_SourceData_Swine_CropProdSystems[Production system]")</formula1>
    </dataValidation>
    <dataValidation type="list" allowBlank="1" showInputMessage="1" showErrorMessage="1" sqref="E82" xr:uid="{BC8277A8-0E4E-4665-8271-80988C0B0522}">
      <formula1>INDIRECT("Table_SourceData_Swine_IrrigationMethods[Irrigation method]")</formula1>
    </dataValidation>
    <dataValidation type="list" allowBlank="1" showInputMessage="1" showErrorMessage="1" sqref="E266 E271 E276 E310 E305 E300 E178 E166 E142 E154" xr:uid="{3ACF19CA-5211-4173-8569-CC11DD3419E4}">
      <formula1>"Yes, No"</formula1>
    </dataValidation>
    <dataValidation type="list" allowBlank="1" showInputMessage="1" showErrorMessage="1" sqref="E242" xr:uid="{EE7F52BF-4DA5-43FD-8BAB-BD2F4F9DFD1D}">
      <formula1>INDIRECT("Table_SourceData_Dairy_ProductionSystemTemplates[Area]")</formula1>
    </dataValidation>
    <dataValidation type="list" allowBlank="1" showInputMessage="1" showErrorMessage="1" sqref="D294" xr:uid="{92DE8778-1BA8-429C-AADB-8FA217404783}">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DCA5C-6712-460A-ADCE-B4764396E97F}">
  <dimension ref="A1:K346"/>
  <sheetViews>
    <sheetView showGridLines="0" topLeftCell="A2"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780</v>
      </c>
    </row>
    <row r="2" spans="1:11" s="3" customFormat="1" ht="20.100000000000001" customHeight="1" x14ac:dyDescent="0.25">
      <c r="A2"/>
    </row>
    <row r="3" spans="1:11" ht="20.100000000000001" customHeight="1" x14ac:dyDescent="0.25">
      <c r="A3" s="5" t="str">
        <f>HYPERLINK("#'Home'!A1", "Home")</f>
        <v>Home</v>
      </c>
      <c r="C3" s="38"/>
      <c r="D3" s="38"/>
      <c r="E3" s="38"/>
      <c r="F3" s="38"/>
      <c r="G3" s="38"/>
      <c r="H3" s="38"/>
      <c r="I3" s="38"/>
      <c r="J3" s="38"/>
      <c r="K3" s="38"/>
    </row>
    <row r="4" spans="1:11" ht="20.100000000000001" customHeight="1" x14ac:dyDescent="0.25">
      <c r="A4" s="5" t="str">
        <f>HYPERLINK("#'Overview'!A1", "Overview")</f>
        <v>Overview</v>
      </c>
    </row>
    <row r="5" spans="1:11" ht="20.100000000000001" customHeight="1" x14ac:dyDescent="0.25">
      <c r="A5" s="5" t="str">
        <f>HYPERLINK("#'Results'!A1", "Results")</f>
        <v>Results</v>
      </c>
      <c r="D5" s="2" t="s">
        <v>781</v>
      </c>
      <c r="E5" s="34"/>
      <c r="F5" s="34"/>
      <c r="G5" s="34"/>
      <c r="H5" s="34"/>
    </row>
    <row r="6" spans="1:11" ht="20.100000000000001" customHeight="1" x14ac:dyDescent="0.25">
      <c r="D6" s="8"/>
      <c r="E6" s="8"/>
      <c r="F6" s="8"/>
      <c r="G6" s="8"/>
      <c r="H6" s="8"/>
      <c r="I6" s="8"/>
      <c r="J6" s="8"/>
    </row>
    <row r="7" spans="1:11" ht="20.100000000000001" customHeight="1" x14ac:dyDescent="0.25">
      <c r="D7" s="1" t="s">
        <v>782</v>
      </c>
    </row>
    <row r="8" spans="1:11" ht="20.100000000000001" customHeight="1" x14ac:dyDescent="0.25">
      <c r="A8" s="7" t="s">
        <v>0</v>
      </c>
      <c r="D8" s="1" t="s">
        <v>783</v>
      </c>
    </row>
    <row r="9" spans="1:11" ht="20.100000000000001" customHeight="1" x14ac:dyDescent="0.25">
      <c r="A9" s="5" t="str">
        <f>HYPERLINK("#'Input - Enterprise'!A1", "Enterprise")</f>
        <v>Enterprise</v>
      </c>
      <c r="D9" s="1" t="s">
        <v>784</v>
      </c>
    </row>
    <row r="10" spans="1:11" ht="20.100000000000001" customHeight="1" x14ac:dyDescent="0.25">
      <c r="A10" s="5" t="str">
        <f>HYPERLINK("#'Input - Site'!A1", "Site")</f>
        <v>Site</v>
      </c>
    </row>
    <row r="11" spans="1:11" ht="20.100000000000001" customHeight="1" x14ac:dyDescent="0.25">
      <c r="A11" s="5" t="str">
        <f>HYPERLINK("#'Input - Dairy'!A1", "Dairy")</f>
        <v>Dairy</v>
      </c>
      <c r="D11" s="1" t="s">
        <v>785</v>
      </c>
      <c r="E11" s="23" t="s">
        <v>786</v>
      </c>
      <c r="F11" s="26" t="s">
        <v>101</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5" t="s">
        <v>753</v>
      </c>
      <c r="E13" s="53"/>
      <c r="F13" s="53"/>
      <c r="G13" s="53"/>
      <c r="H13" s="54"/>
    </row>
    <row r="14" spans="1:11" ht="20.100000000000001" customHeight="1" x14ac:dyDescent="0.25">
      <c r="A14" s="5" t="str">
        <f>HYPERLINK("#'Input - Dairy cattle purchases'!A1", "Dairy cattle purchases")</f>
        <v>Dairy cattle purchases</v>
      </c>
      <c r="D14" s="55" t="s">
        <v>787</v>
      </c>
      <c r="E14" s="56"/>
      <c r="F14" s="56"/>
      <c r="G14" s="56"/>
      <c r="H14" s="57"/>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788</v>
      </c>
      <c r="E16" s="94" t="s">
        <v>789</v>
      </c>
      <c r="F16" s="94" t="s">
        <v>790</v>
      </c>
      <c r="G16" s="94" t="s">
        <v>791</v>
      </c>
      <c r="H16" s="94" t="s">
        <v>792</v>
      </c>
      <c r="I16" s="94" t="s">
        <v>793</v>
      </c>
      <c r="J16" s="94" t="s">
        <v>794</v>
      </c>
    </row>
    <row r="17" spans="1:10" ht="20.100000000000001" customHeight="1" x14ac:dyDescent="0.25">
      <c r="A17" s="5" t="str">
        <f>HYPERLINK("#'Input - Fertiliser'!A1", "Fertiliser")</f>
        <v>Fertiliser</v>
      </c>
      <c r="D17" s="23" t="s">
        <v>795</v>
      </c>
      <c r="E17" s="23" t="s">
        <v>796</v>
      </c>
      <c r="F17" s="210">
        <v>100</v>
      </c>
      <c r="G17" s="25" t="str" cm="1">
        <f t="array" ref="G17">Common_InputFunctions.Utility_LookupValueInTable(Table_Input_Fuel[[#This Row],[Fuel type (select)]],Table_FuelTypes_Units[Fuel type], Table_FuelTypes_Units[Input Unit])</f>
        <v>GJ</v>
      </c>
      <c r="H17" s="211">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8" t="str">
        <f>HYPERLINK("#'Input - Fuel'!A1", "Fuel")</f>
        <v>Fuel</v>
      </c>
      <c r="D18" s="23" t="s">
        <v>795</v>
      </c>
      <c r="E18" s="23" t="s">
        <v>797</v>
      </c>
      <c r="F18" s="210">
        <v>10000</v>
      </c>
      <c r="G18" s="25" t="str" cm="1">
        <f t="array" ref="G18">Common_InputFunctions.Utility_LookupValueInTable(Table_Input_Fuel[[#This Row],[Fuel type (select)]],Table_FuelTypes_Units[Fuel type], Table_FuelTypes_Units[Input Unit])</f>
        <v>L</v>
      </c>
      <c r="H18" s="212">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798</v>
      </c>
      <c r="E19" s="23" t="s">
        <v>799</v>
      </c>
      <c r="F19" s="210">
        <v>10000</v>
      </c>
      <c r="G19" s="25" t="str" cm="1">
        <f t="array" ref="G19">Common_InputFunctions.Utility_LookupValueInTable(Table_Input_Fuel[[#This Row],[Fuel type (select)]],Table_FuelTypes_Units[Fuel type], Table_FuelTypes_Units[Input Unit])</f>
        <v>L</v>
      </c>
      <c r="H19" s="212">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Common farm inputs'!A1", "Common farm inputs")</f>
        <v>Common farm inputs</v>
      </c>
      <c r="D20" s="23" t="s">
        <v>800</v>
      </c>
      <c r="E20" s="23" t="s">
        <v>799</v>
      </c>
      <c r="F20" s="210">
        <v>10000</v>
      </c>
      <c r="G20" s="25" t="str" cm="1">
        <f t="array" ref="G20">Common_InputFunctions.Utility_LookupValueInTable(Table_Input_Fuel[[#This Row],[Fuel type (select)]],Table_FuelTypes_Units[Fuel type], Table_FuelTypes_Units[Input Unit])</f>
        <v>L</v>
      </c>
      <c r="H20" s="212">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Crop pasture farm input'!A1", "Crop pasture farm input")</f>
        <v>Crop pasture farm input</v>
      </c>
      <c r="D21" s="213" t="s">
        <v>801</v>
      </c>
      <c r="E21" s="213" t="s">
        <v>802</v>
      </c>
      <c r="F21" s="210">
        <v>10000</v>
      </c>
      <c r="G21" s="214" t="str" cm="1">
        <f t="array" ref="G21">Common_InputFunctions.Utility_LookupValueInTable(Table_Input_Fuel[[#This Row],[Fuel type (select)]],Table_FuelTypes_Units[Fuel type], Table_FuelTypes_Units[Input Unit])</f>
        <v>L</v>
      </c>
      <c r="H21" s="215">
        <f>1</f>
        <v>1</v>
      </c>
      <c r="I21" s="214">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Livestock farm Inputs'!A1", "Livestock farm Inputs")</f>
        <v>Livestock farm Inputs</v>
      </c>
    </row>
    <row r="23" spans="1:10" ht="20.100000000000001" customHeight="1" x14ac:dyDescent="0.25">
      <c r="A23" s="5" t="str">
        <f>HYPERLINK("#'Input - Freight'!A1", "Freight")</f>
        <v>Freight</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Solid waste'!A1", "Solid waste")</f>
        <v>Solid waste</v>
      </c>
    </row>
    <row r="26" spans="1:10" ht="20.100000000000001" customHeight="1" x14ac:dyDescent="0.25">
      <c r="A26" s="5" t="str">
        <f>HYPERLINK("#'Input - Data quality'!A1", "Data quality")</f>
        <v>Data quality</v>
      </c>
    </row>
    <row r="27" spans="1:10" ht="20.100000000000001" customHeight="1" x14ac:dyDescent="0.25"/>
    <row r="28" spans="1:10" ht="20.100000000000001" customHeight="1" x14ac:dyDescent="0.25"/>
    <row r="29" spans="1:10" ht="20.100000000000001" customHeight="1" x14ac:dyDescent="0.25">
      <c r="A29" s="6" t="s">
        <v>2</v>
      </c>
    </row>
    <row r="30" spans="1:10" ht="20.100000000000001" customHeight="1" x14ac:dyDescent="0.25">
      <c r="A30" s="5" t="str">
        <f>HYPERLINK("#'5.1.1.1-2 Inorganic fert N2O'!A1", "5.1.1.1-2 Inorganic fert N2O")</f>
        <v>5.1.1.1-2 Inorganic fert N2O</v>
      </c>
    </row>
    <row r="31" spans="1:10" ht="20.100000000000001" customHeight="1" x14ac:dyDescent="0.25">
      <c r="A31" s="5" t="str">
        <f>HYPERLINK("#'5.1.1.3-4 Inorganic fert CO2'!A1", "5.1.1.3-4 Inorganic fert CO2")</f>
        <v>5.1.1.3-4 Inorganic fert CO2</v>
      </c>
    </row>
    <row r="32" spans="1:10" ht="20.100000000000001" customHeight="1" x14ac:dyDescent="0.25">
      <c r="A32" s="5" t="str">
        <f>HYPERLINK("#'5.2.1.1-2 Organic Fert N2O'!A1", "5.2.1.1-2 Organic fert N2O")</f>
        <v>5.2.1.1-2 Organic fert N2O</v>
      </c>
    </row>
    <row r="33" spans="1:11" ht="20.100000000000001" customHeight="1" x14ac:dyDescent="0.25">
      <c r="A33" s="5" t="str">
        <f>HYPERLINK("#'5.3.1.1-2 Lime CO2'!A1", "5.3.1.1-2 Lime CO2")</f>
        <v>5.3.1.1-2 Lime CO2</v>
      </c>
    </row>
    <row r="34" spans="1:11" ht="20.100000000000001" customHeight="1" x14ac:dyDescent="0.25">
      <c r="A34" s="5" t="str">
        <f>HYPERLINK("#'5.4.1.1-4 Atmos deposition'!A1", "5.4.1.1-4 Atmos. deposition")</f>
        <v>5.4.1.1-4 Atmos. deposition</v>
      </c>
    </row>
    <row r="35" spans="1:11" ht="20.100000000000001" customHeight="1" x14ac:dyDescent="0.25">
      <c r="A35" s="5" t="str">
        <f>HYPERLINK("#'5.5.1.1-2 Leaching and runoff'!A1", "5.5.1.1-2 Leaching &amp; runoff")</f>
        <v>5.5.1.1-2 Leaching &amp; runoff</v>
      </c>
    </row>
    <row r="36" spans="1:11" ht="20.100000000000001" customHeight="1" x14ac:dyDescent="0.25">
      <c r="A36" s="5" t="str">
        <f>HYPERLINK("#'6.2.1.1-2 Pasture residue N2O'!A1", "6.2.1.1-2 Pasture residue N2O")</f>
        <v>6.2.1.1-2 Pasture residue N2O</v>
      </c>
    </row>
    <row r="37" spans="1:11" ht="20.100000000000001" customHeight="1" x14ac:dyDescent="0.25">
      <c r="A37" s="5" t="str">
        <f>HYPERLINK("#'6.3.1.1-2 Leach runoff pasture'!A1", "6.3.1.1-2 Leach &amp; runoff (pasture)")</f>
        <v>6.3.1.1-2 Leach &amp; runoff (pasture)</v>
      </c>
    </row>
    <row r="38" spans="1:11" ht="20.100000000000001" customHeight="1" x14ac:dyDescent="0.25">
      <c r="A38" s="5" t="str">
        <f>HYPERLINK("#'8.1.1.1-2 Transport fuel'!A1", "8.1.1.1-2 Transport fuel")</f>
        <v>8.1.1.1-2 Transport fuel</v>
      </c>
      <c r="C38" s="168"/>
      <c r="K38" s="168"/>
    </row>
    <row r="39" spans="1:11" ht="20.100000000000001" customHeight="1" x14ac:dyDescent="0.25">
      <c r="A39" s="5" t="str">
        <f>HYPERLINK("#'8.2.1.1-2 Stationary fuel'!A1", "8.2.1.1-2 Stationary fuel")</f>
        <v>8.2.1.1-2 Stationary fuel</v>
      </c>
      <c r="C39" s="168"/>
      <c r="K39" s="168"/>
    </row>
    <row r="40" spans="1:11" s="180" customFormat="1" ht="20.100000000000001" customHeight="1" x14ac:dyDescent="0.25">
      <c r="A40" s="5" t="str">
        <f>HYPERLINK("#'14.1.1-2 Purchased electricity'!A1", "14.1.1-2 Purchased electricity")</f>
        <v>14.1.1-2 Purchased electricity</v>
      </c>
      <c r="C40" s="1"/>
      <c r="D40" s="1"/>
      <c r="E40" s="1"/>
      <c r="F40" s="1"/>
      <c r="G40" s="1"/>
      <c r="H40" s="1"/>
      <c r="I40" s="1"/>
      <c r="J40" s="1"/>
      <c r="K40" s="1"/>
    </row>
    <row r="41" spans="1:11" s="180" customFormat="1" ht="20.100000000000001" customHeight="1" x14ac:dyDescent="0.25">
      <c r="A41" s="5" t="str">
        <f>HYPERLINK("#'15 Scope 3'!A1", "15 Scope 3")</f>
        <v>15 Scope 3</v>
      </c>
      <c r="C41" s="1"/>
      <c r="D41" s="1"/>
      <c r="E41" s="1"/>
      <c r="F41" s="1"/>
      <c r="G41" s="1"/>
      <c r="H41" s="1"/>
      <c r="I41" s="1"/>
      <c r="J41" s="1"/>
      <c r="K41" s="1"/>
    </row>
    <row r="42" spans="1:11" ht="20.100000000000001" customHeight="1" x14ac:dyDescent="0.25">
      <c r="A42" s="5" t="str">
        <f>HYPERLINK("#'Calcs - Manure sent off-site'!A1", "Calcs - Manure sent off-site")</f>
        <v>Calcs - Manure sent off-site</v>
      </c>
    </row>
    <row r="43" spans="1:11" ht="20.100000000000001" customHeight="1" x14ac:dyDescent="0.25">
      <c r="A43" s="5" t="str">
        <f>HYPERLINK("#'4.3.1.1-2 Methane'!A1", "4.3.1.1-2 Methane")</f>
        <v>4.3.1.1-2 Methane</v>
      </c>
    </row>
    <row r="44" spans="1:11" ht="20.100000000000001" customHeight="1" x14ac:dyDescent="0.25">
      <c r="A44" s="5" t="str">
        <f>HYPERLINK("#'4.3.1.3-4 Direct N20'!A1", "4.3.1.3-4 Direct N20")</f>
        <v>4.3.1.3-4 Direct N20</v>
      </c>
    </row>
    <row r="45" spans="1:11" ht="20.100000000000001" customHeight="1" x14ac:dyDescent="0.25">
      <c r="A45" s="5" t="str">
        <f>HYPERLINK("#'4.3.1.5 Atmos deposition'!A1", "4.3.1.5 Atmos deposition")</f>
        <v>4.3.1.5 Atmos deposition</v>
      </c>
    </row>
    <row r="46" spans="1:11" ht="20.100000000000001" customHeight="1" x14ac:dyDescent="0.25">
      <c r="A46" s="5" t="str">
        <f>HYPERLINK("#'4.3.1.6-7 Leaching and runoff'!A1", "4.3.1.6-7 Leaching and runoff")</f>
        <v>4.3.1.6-7 Leaching and runoff</v>
      </c>
    </row>
    <row r="47" spans="1:11" ht="20.100000000000001" customHeight="1" x14ac:dyDescent="0.25">
      <c r="A47" s="5" t="str">
        <f>HYPERLINK("#'4.3.1.8 Manure applied to soils'!A1", "4.3.1.8 Manure applied to soils")</f>
        <v>4.3.1.8 Manure applied to soils</v>
      </c>
    </row>
    <row r="48" spans="1: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1"/>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5B17DB1C-F776-4CB6-9FD2-9E89CCBFDB2C}">
      <formula1>_xlfn.TRIMRANGE(INDIRECT("Table_FuelTypesPerUse["&amp;D17&amp;"]"))</formula1>
    </dataValidation>
    <dataValidation type="list" allowBlank="1" showInputMessage="1" showErrorMessage="1" sqref="D17:D21" xr:uid="{9DB37E27-B393-46B0-8A2D-68BFB8CDFB4B}">
      <formula1>INDIRECT("Table_FuelTypesPerUse[#Headers]")</formula1>
    </dataValidation>
    <dataValidation type="list" allowBlank="1" showInputMessage="1" showErrorMessage="1" sqref="E11" xr:uid="{FA245676-DF04-47BB-AC03-353B33A3B53D}">
      <formula1>"Metro, Non-metro"</formula1>
    </dataValidation>
    <dataValidation type="list" allowBlank="1" showInputMessage="1" showErrorMessage="1" sqref="D29:D30" xr:uid="{A063148C-5025-46D6-8E42-7A0744670E79}">
      <formula1>INDIRECT("Table_SourceData_OrganicFertiliserTypes[Organic fertiliser type]")</formula1>
    </dataValidation>
    <dataValidation type="list" allowBlank="1" showInputMessage="1" showErrorMessage="1" sqref="E49" xr:uid="{131F3759-2085-44F0-9671-1926B4BAC129}">
      <formula1>INDIRECT("Table_SourceData_Swine_CropProdSystems[Production system]")</formula1>
    </dataValidation>
    <dataValidation type="list" allowBlank="1" showInputMessage="1" showErrorMessage="1" sqref="E50" xr:uid="{5E3AAC05-391F-4425-9D45-81E237FC932D}">
      <formula1>INDIRECT("Table_SourceData_Swine_IrrigationMethods[Irrigation method]")</formula1>
    </dataValidation>
    <dataValidation type="list" allowBlank="1" showInputMessage="1" showErrorMessage="1" sqref="E234 E239 E244 E278 E273 E268 E146 E134 E110 E122" xr:uid="{F8BDB124-0FF7-4E58-A2A2-C18F1ECD2298}">
      <formula1>"Yes, No"</formula1>
    </dataValidation>
    <dataValidation type="list" allowBlank="1" showInputMessage="1" showErrorMessage="1" sqref="E210" xr:uid="{F80D8E95-C7FE-4F29-B74D-5DF7B103B604}">
      <formula1>INDIRECT("Table_SourceData_Dairy_ProductionSystemTemplates[Area]")</formula1>
    </dataValidation>
    <dataValidation type="list" allowBlank="1" showInputMessage="1" showErrorMessage="1" sqref="D262" xr:uid="{4F4ADF6E-1C22-4512-825C-16EC0AA3A2A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82A87-3DD9-4C81-BA14-884D6AFBF726}">
  <dimension ref="A1:L365"/>
  <sheetViews>
    <sheetView showGridLines="0" topLeftCell="A24"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734</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1" t="s">
        <v>735</v>
      </c>
      <c r="E5" s="23" t="s">
        <v>736</v>
      </c>
      <c r="F5" s="26" t="s">
        <v>101</v>
      </c>
    </row>
    <row r="6" spans="1:10" ht="20.100000000000001" customHeight="1" x14ac:dyDescent="0.25">
      <c r="E6" s="91"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1"/>
      <c r="D8" s="101"/>
      <c r="E8" s="101"/>
      <c r="F8" s="101"/>
      <c r="G8" s="101"/>
      <c r="H8" s="101"/>
      <c r="I8" s="101"/>
      <c r="J8" s="101"/>
    </row>
    <row r="9" spans="1:10" ht="20.100000000000001" customHeight="1" x14ac:dyDescent="0.25">
      <c r="A9" s="5" t="str">
        <f>HYPERLINK("#'Input - Enterprise'!A1", "Enterprise")</f>
        <v>Enterprise</v>
      </c>
      <c r="D9" s="2" t="s">
        <v>737</v>
      </c>
    </row>
    <row r="10" spans="1:10" ht="20.100000000000001" customHeight="1" x14ac:dyDescent="0.25">
      <c r="A10" s="5" t="str">
        <f>HYPERLINK("#'Input - Site'!A1", "Site")</f>
        <v>Site</v>
      </c>
    </row>
    <row r="11" spans="1:10" ht="20.100000000000001" customHeight="1" x14ac:dyDescent="0.25">
      <c r="A11" s="5" t="str">
        <f>HYPERLINK("#'Input - Dairy'!A1", "Dairy")</f>
        <v>Dairy</v>
      </c>
      <c r="D11" s="90" t="s">
        <v>738</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5" t="s">
        <v>739</v>
      </c>
      <c r="E13" s="48"/>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740</v>
      </c>
      <c r="E15" s="202">
        <v>30000</v>
      </c>
      <c r="F15" s="26" t="s">
        <v>741</v>
      </c>
    </row>
    <row r="16" spans="1:10" ht="20.100000000000001" customHeight="1" x14ac:dyDescent="0.25">
      <c r="A16" s="5" t="str">
        <f>HYPERLINK("#'Input - Fert Prod System'!A1", "Fert Prod System")</f>
        <v>Fert Prod System</v>
      </c>
      <c r="D16" s="1" t="s">
        <v>742</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743</v>
      </c>
      <c r="E17" s="23" t="s">
        <v>744</v>
      </c>
      <c r="F17" s="26" t="s">
        <v>101</v>
      </c>
    </row>
    <row r="18" spans="1:11" ht="20.100000000000001" customHeight="1" x14ac:dyDescent="0.25">
      <c r="A18" s="5" t="str">
        <f>HYPERLINK("#'Input - Fuel'!A1", "Fuel")</f>
        <v>Fuel</v>
      </c>
    </row>
    <row r="19" spans="1:11" ht="20.100000000000001" customHeight="1" x14ac:dyDescent="0.25">
      <c r="A19" s="98" t="str">
        <f>HYPERLINK("#'Input - Electricity'!A1", "Electricity")</f>
        <v>Electricity</v>
      </c>
    </row>
    <row r="20" spans="1:11" ht="20.100000000000001" customHeight="1" x14ac:dyDescent="0.25">
      <c r="A20" s="5" t="str">
        <f>HYPERLINK("#'Input - Common farm inputs'!A1", "Common farm inputs")</f>
        <v>Common farm inputs</v>
      </c>
      <c r="C20" s="101"/>
      <c r="D20" s="101"/>
      <c r="E20" s="101"/>
      <c r="F20" s="101"/>
      <c r="G20" s="101"/>
      <c r="H20" s="101"/>
      <c r="I20" s="101"/>
      <c r="J20" s="101"/>
    </row>
    <row r="21" spans="1:11" ht="20.100000000000001" customHeight="1" x14ac:dyDescent="0.25">
      <c r="A21" s="5" t="str">
        <f>HYPERLINK("#'Input - Crop pasture farm input'!A1", "Crop pasture farm input")</f>
        <v>Crop pasture farm input</v>
      </c>
      <c r="D21" s="2" t="s">
        <v>745</v>
      </c>
    </row>
    <row r="22" spans="1:11" ht="20.100000000000001" customHeight="1" x14ac:dyDescent="0.25">
      <c r="A22" s="5" t="str">
        <f>HYPERLINK("#'Input - Livestock farm Inputs'!A1", "Livestock farm Inputs")</f>
        <v>Livestock farm Inputs</v>
      </c>
      <c r="E22" s="91" t="str">
        <f>IF(E16="ACT", "", "ALERT: Your farm is not in the ACT, so the JRPP is not applicable")</f>
        <v>ALERT: Your farm is not in the ACT, so the JRPP is not applicable</v>
      </c>
    </row>
    <row r="23" spans="1:11" ht="20.100000000000001" customHeight="1" x14ac:dyDescent="0.25">
      <c r="A23" s="5" t="str">
        <f>HYPERLINK("#'Input - Freight'!A1", "Freight")</f>
        <v>Freight</v>
      </c>
      <c r="D23" s="1" t="s">
        <v>746</v>
      </c>
      <c r="E23" s="202">
        <v>30000</v>
      </c>
      <c r="F23" s="26" t="s">
        <v>741</v>
      </c>
    </row>
    <row r="24" spans="1:11" ht="20.100000000000001" customHeight="1" x14ac:dyDescent="0.25">
      <c r="A24" s="5" t="str">
        <f>HYPERLINK("#'Input - Manure sent off-site'!A1", "Manure sent off-site")</f>
        <v>Manure sent off-site</v>
      </c>
      <c r="D24" s="1" t="s">
        <v>747</v>
      </c>
      <c r="E24" s="28">
        <v>0.1</v>
      </c>
      <c r="F24" s="26" t="s">
        <v>156</v>
      </c>
    </row>
    <row r="25" spans="1:11" ht="20.100000000000001" customHeight="1" x14ac:dyDescent="0.25">
      <c r="A25" s="5" t="str">
        <f>HYPERLINK("#'Input - Solid waste'!A1", "Solid waste")</f>
        <v>Solid waste</v>
      </c>
      <c r="D25" s="1" t="s">
        <v>748</v>
      </c>
      <c r="E25" s="28">
        <v>0.1</v>
      </c>
      <c r="F25" s="26" t="s">
        <v>156</v>
      </c>
    </row>
    <row r="26" spans="1:11" ht="20.100000000000001" customHeight="1" x14ac:dyDescent="0.25">
      <c r="A26" s="5" t="str">
        <f>HYPERLINK("#'Input - Data quality'!A1", "Data quality")</f>
        <v>Data quality</v>
      </c>
    </row>
    <row r="27" spans="1:11" ht="20.100000000000001" customHeight="1" x14ac:dyDescent="0.25">
      <c r="D27" s="1" t="s">
        <v>749</v>
      </c>
      <c r="E27" s="202">
        <v>10000</v>
      </c>
      <c r="F27" s="26" t="s">
        <v>741</v>
      </c>
    </row>
    <row r="28" spans="1:11" ht="20.100000000000001" customHeight="1" x14ac:dyDescent="0.25"/>
    <row r="29" spans="1:11" ht="20.100000000000001" customHeight="1" x14ac:dyDescent="0.25">
      <c r="A29" s="6" t="s">
        <v>2</v>
      </c>
      <c r="D29" s="1" t="s">
        <v>750</v>
      </c>
      <c r="E29" s="203" t="str">
        <f>TEXT(X_Cell_Site_StartDate, "dd mmm yyyy")</f>
        <v>01 Jan 2024</v>
      </c>
      <c r="K29" s="180"/>
    </row>
    <row r="30" spans="1:11" ht="20.100000000000001" customHeight="1" x14ac:dyDescent="0.25">
      <c r="A30" s="5" t="str">
        <f>HYPERLINK("#'5.1.1.1-2 Inorganic fert N2O'!A1", "5.1.1.1-2 Inorganic fert N2O")</f>
        <v>5.1.1.1-2 Inorganic fert N2O</v>
      </c>
      <c r="D30" s="1" t="s">
        <v>751</v>
      </c>
      <c r="E30" s="203" t="str">
        <f>TEXT(X_Cell_Site_EndDate, "dd mmm yyyy")</f>
        <v>31 Dec 2024</v>
      </c>
      <c r="K30" s="180"/>
    </row>
    <row r="31" spans="1:11" ht="20.100000000000001" customHeight="1" x14ac:dyDescent="0.25">
      <c r="A31" s="5" t="str">
        <f>HYPERLINK("#'5.1.1.3-4 Inorganic fert CO2'!A1", "5.1.1.3-4 Inorganic fert CO2")</f>
        <v>5.1.1.3-4 Inorganic fert CO2</v>
      </c>
      <c r="K31" s="180"/>
    </row>
    <row r="32" spans="1:11" ht="20.100000000000001" customHeight="1" x14ac:dyDescent="0.25">
      <c r="A32" s="5" t="str">
        <f>HYPERLINK("#'5.2.1.1-2 Organic Fert N2O'!A1", "5.2.1.1-2 Organic fert N2O")</f>
        <v>5.2.1.1-2 Organic fert N2O</v>
      </c>
      <c r="D32" s="90" t="s">
        <v>752</v>
      </c>
      <c r="K32" s="180"/>
    </row>
    <row r="33" spans="1:12" ht="20.100000000000001" customHeight="1" x14ac:dyDescent="0.25">
      <c r="A33" s="5" t="str">
        <f>HYPERLINK("#'5.3.1.1-2 Lime CO2'!A1", "5.3.1.1-2 Lime CO2")</f>
        <v>5.3.1.1-2 Lime CO2</v>
      </c>
      <c r="K33" s="180"/>
    </row>
    <row r="34" spans="1:12" ht="20.100000000000001" customHeight="1" x14ac:dyDescent="0.25">
      <c r="A34" s="5" t="str">
        <f>HYPERLINK("#'5.4.1.1-4 Atmos deposition'!A1", "5.4.1.1-4 Atmos. deposition")</f>
        <v>5.4.1.1-4 Atmos. deposition</v>
      </c>
      <c r="D34" s="45" t="s">
        <v>753</v>
      </c>
      <c r="E34" s="48"/>
      <c r="K34" s="180"/>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c r="D36" s="94" t="s">
        <v>754</v>
      </c>
      <c r="E36" s="94" t="s">
        <v>755</v>
      </c>
      <c r="F36" s="94" t="s">
        <v>756</v>
      </c>
      <c r="G36" s="94" t="s">
        <v>757</v>
      </c>
      <c r="H36" s="94" t="s">
        <v>758</v>
      </c>
      <c r="I36" s="94" t="s">
        <v>759</v>
      </c>
      <c r="L36" s="180"/>
    </row>
    <row r="37" spans="1:12" ht="20.100000000000001" customHeight="1" x14ac:dyDescent="0.25">
      <c r="A37" s="5" t="str">
        <f>HYPERLINK("#'6.3.1.1-2 Leach runoff pasture'!A1", "6.3.1.1-2 Leach &amp; runoff (pasture)")</f>
        <v>6.3.1.1-2 Leach &amp; runoff (pasture)</v>
      </c>
      <c r="D37" s="29" t="s">
        <v>760</v>
      </c>
      <c r="E37" s="23" t="s">
        <v>761</v>
      </c>
      <c r="F37" s="204">
        <v>44185</v>
      </c>
      <c r="G37" s="29">
        <v>12</v>
      </c>
      <c r="H37" s="25">
        <f>Table_Input_RECSurrendered[[#This Row],[Number of certificates]]</f>
        <v>12</v>
      </c>
      <c r="I37" s="25" t="str">
        <f>IF(DATEDIF(Table_Input_RECSurrendered[[#This Row],[Generation date]],DATEVALUE($E$30),"M")&gt;36,"Ineligible - older than 36 months","Elegible")</f>
        <v>Ineligible - older than 36 months</v>
      </c>
      <c r="L37" s="180"/>
    </row>
    <row r="38" spans="1:12" ht="20.100000000000001" customHeight="1" x14ac:dyDescent="0.25">
      <c r="A38" s="5" t="str">
        <f>HYPERLINK("#'8.1.1.1-2 Transport fuel'!A1", "8.1.1.1-2 Transport fuel")</f>
        <v>8.1.1.1-2 Transport fuel</v>
      </c>
      <c r="D38" s="29" t="s">
        <v>762</v>
      </c>
      <c r="E38" s="23" t="s">
        <v>763</v>
      </c>
      <c r="F38" s="204">
        <v>44575</v>
      </c>
      <c r="G38" s="29">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HYPERLINK("#'8.2.1.1-2 Stationary fuel'!A1", "8.2.1.1-2 Stationary fuel")</f>
        <v>8.2.1.1-2 Stationary fuel</v>
      </c>
      <c r="D39" s="29" t="s">
        <v>764</v>
      </c>
      <c r="E39" s="23" t="s">
        <v>761</v>
      </c>
      <c r="F39" s="204">
        <v>45438</v>
      </c>
      <c r="G39" s="29">
        <v>5</v>
      </c>
      <c r="H39" s="25">
        <f>Table_Input_RECSurrendered[[#This Row],[Number of certificates]]</f>
        <v>5</v>
      </c>
      <c r="I39" s="25" t="str">
        <f>IF(DATEDIF(Table_Input_RECSurrendered[[#This Row],[Generation date]],DATEVALUE($E$30),"M")&gt;36,"Ineligible - older than 36 months","Elegible")</f>
        <v>Elegible</v>
      </c>
    </row>
    <row r="40" spans="1:12" s="180" customFormat="1" ht="20.100000000000001" customHeight="1" x14ac:dyDescent="0.25">
      <c r="A40" s="5" t="str">
        <f>HYPERLINK("#'14.1.1-2 Purchased electricity'!A1", "14.1.1-2 Purchased electricity")</f>
        <v>14.1.1-2 Purchased electricity</v>
      </c>
      <c r="C40" s="1"/>
      <c r="D40" s="1"/>
      <c r="E40" s="1"/>
      <c r="F40" s="1"/>
      <c r="G40" s="1"/>
      <c r="H40" s="1"/>
      <c r="I40" s="1"/>
      <c r="J40" s="1"/>
    </row>
    <row r="41" spans="1:12" s="180" customFormat="1" ht="20.100000000000001" customHeight="1" x14ac:dyDescent="0.25">
      <c r="A41" s="5" t="str">
        <f>HYPERLINK("#'15 Scope 3'!A1", "15 Scope 3")</f>
        <v>15 Scope 3</v>
      </c>
      <c r="C41" s="1"/>
      <c r="D41" s="1" t="s">
        <v>765</v>
      </c>
      <c r="E41" s="25">
        <f>SUMIF(Table_Input_RECSurrendered[Elegibility], "Elegible", Table_Input_RECSurrendered[MWh])</f>
        <v>10</v>
      </c>
      <c r="F41" s="26" t="s">
        <v>758</v>
      </c>
      <c r="G41" s="1"/>
      <c r="H41" s="1"/>
      <c r="I41" s="1"/>
      <c r="J41" s="1"/>
      <c r="L41" s="180" t="s">
        <v>487</v>
      </c>
    </row>
    <row r="42" spans="1:12" ht="20.100000000000001" customHeight="1" x14ac:dyDescent="0.25">
      <c r="A42" s="5" t="str">
        <f>HYPERLINK("#'Calcs - Manure sent off-site'!A1", "Calcs - Manure sent off-site")</f>
        <v>Calcs - Manure sent off-site</v>
      </c>
      <c r="C42" s="168"/>
    </row>
    <row r="43" spans="1:12" ht="20.100000000000001" customHeight="1" x14ac:dyDescent="0.25">
      <c r="A43" s="5" t="str">
        <f>HYPERLINK("#'4.3.1.1-2 Methane'!A1", "4.3.1.1-2 Methane")</f>
        <v>4.3.1.1-2 Methane</v>
      </c>
      <c r="C43" s="168"/>
      <c r="D43" s="90" t="s">
        <v>766</v>
      </c>
      <c r="J43" s="168"/>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c r="D45" s="94" t="s">
        <v>754</v>
      </c>
      <c r="E45" s="94" t="s">
        <v>705</v>
      </c>
      <c r="F45" s="94" t="s">
        <v>756</v>
      </c>
      <c r="G45" s="94" t="s">
        <v>757</v>
      </c>
      <c r="H45" s="94" t="s">
        <v>758</v>
      </c>
      <c r="I45" s="94" t="s">
        <v>759</v>
      </c>
    </row>
    <row r="46" spans="1:12" ht="20.100000000000001" customHeight="1" x14ac:dyDescent="0.25">
      <c r="A46" s="5" t="str">
        <f>HYPERLINK("#'4.3.1.6-7 Leaching and runoff'!A1", "4.3.1.6-7 Leaching and runoff")</f>
        <v>4.3.1.6-7 Leaching and runoff</v>
      </c>
      <c r="D46" s="29" t="s">
        <v>767</v>
      </c>
      <c r="E46" s="205" t="str">
        <f>"Issued for generated electricity"</f>
        <v>Issued for generated electricity</v>
      </c>
      <c r="F46" s="204">
        <v>44697</v>
      </c>
      <c r="G46" s="29">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HYPERLINK("#'4.3.1.8 Manure applied to soils'!A1", "4.3.1.8 Manure applied to soils")</f>
        <v>4.3.1.8 Manure applied to soils</v>
      </c>
      <c r="D47" s="29" t="s">
        <v>768</v>
      </c>
      <c r="E47" s="205" t="str">
        <f>"Issued for generated electricity"</f>
        <v>Issued for generated electricity</v>
      </c>
      <c r="F47" s="204">
        <v>45483</v>
      </c>
      <c r="G47" s="29">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HYPERLINK("#'4.3.1.9 Soil direct N2O'!A1", "4.3.1.9 Soil direct N2O")</f>
        <v>4.3.1.9 Soil direct N2O</v>
      </c>
      <c r="D48" s="206">
        <v>45597</v>
      </c>
      <c r="E48" s="205" t="str">
        <f>"Issued for generated electricity"</f>
        <v>Issued for generated electricity</v>
      </c>
      <c r="F48" s="204">
        <v>45607</v>
      </c>
      <c r="G48" s="29">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HYPERLINK("#'4.3.1.10-11 Soil Atmos Dep'!A1", "4.3.1.10-11 Soil Atmos Dep")</f>
        <v>4.3.1.10-11 Soil Atmos Dep</v>
      </c>
    </row>
    <row r="50" spans="1:6" ht="20.100000000000001" customHeight="1" x14ac:dyDescent="0.25">
      <c r="A50" s="5" t="str">
        <f>HYPERLINK("#'4.3.1.12-13 Soil leach runoff'!A1", "4.3.1.12-13 Soil leach runoff")</f>
        <v>4.3.1.12-13 Soil leach runoff</v>
      </c>
      <c r="D50" s="1" t="s">
        <v>769</v>
      </c>
      <c r="E50" s="25">
        <f>SUMIF(Table_Input_RECConsumedByEntity[Elegibility], "Elegible", Table_Input_RECConsumedByEntity[Number of certificates])</f>
        <v>11</v>
      </c>
      <c r="F50" s="26" t="s">
        <v>758</v>
      </c>
    </row>
    <row r="51" spans="1:6" ht="20.100000000000001" customHeight="1" x14ac:dyDescent="0.25">
      <c r="A51" s="5" t="str">
        <f>HYPERLINK("#'3.3.1.1-2 Enteric Methane'!A1", "3.3.1.1-2 Enteric Methane")</f>
        <v>3.3.1.1-2 Enteric Methane</v>
      </c>
    </row>
    <row r="52" spans="1:6" ht="20.100000000000001" customHeight="1" x14ac:dyDescent="0.25">
      <c r="A52" s="5" t="str">
        <f>HYPERLINK("#'10.1.1-2 Solid waste treatment'!A1", "10.1.1-2 Solid waste treatment")</f>
        <v>10.1.1-2 Solid waste treatment</v>
      </c>
    </row>
    <row r="53" spans="1:6" ht="20.100000000000001" customHeight="1" x14ac:dyDescent="0.25"/>
    <row r="54" spans="1:6" ht="20.100000000000001" customHeight="1" x14ac:dyDescent="0.25"/>
    <row r="55" spans="1:6" ht="20.100000000000001" customHeight="1" x14ac:dyDescent="0.25">
      <c r="A55" s="100" t="s">
        <v>1</v>
      </c>
      <c r="D55" s="207"/>
    </row>
    <row r="56" spans="1:6" ht="20.100000000000001" customHeight="1" x14ac:dyDescent="0.25">
      <c r="A56" s="5" t="str">
        <f>HYPERLINK("#'Constants - Dairy'!A1", "Constants - Dairy")</f>
        <v>Constants - Dairy</v>
      </c>
      <c r="D56" s="207"/>
    </row>
    <row r="57" spans="1:6" ht="20.100000000000001" customHeight="1" x14ac:dyDescent="0.25">
      <c r="A57" s="5" t="str">
        <f>HYPERLINK("#'Constants - Ag Residue'!A1", "Constants - Ag residue")</f>
        <v>Constants - Ag residue</v>
      </c>
    </row>
    <row r="58" spans="1:6" ht="20.100000000000001" customHeight="1" x14ac:dyDescent="0.25">
      <c r="A58" s="5" t="str">
        <f>HYPERLINK("#'Constants - Common Livestock'!A1", "Constants - Common Livestock")</f>
        <v>Constants - Common Livestock</v>
      </c>
    </row>
    <row r="59" spans="1:6" ht="20.100000000000001" customHeight="1" x14ac:dyDescent="0.25">
      <c r="A59" s="5" t="str">
        <f>HYPERLINK("#'Constants - Electricity'!A1", "Constants - Electricity")</f>
        <v>Constants - Electricity</v>
      </c>
    </row>
    <row r="60" spans="1:6" ht="20.100000000000001" customHeight="1" x14ac:dyDescent="0.25">
      <c r="A60" s="5" t="str">
        <f>HYPERLINK("#'Constants - Fertiliser'!A1", "Constants - Fertiliser")</f>
        <v>Constants - Fertiliser</v>
      </c>
    </row>
    <row r="61" spans="1:6" ht="20.100000000000001" customHeight="1" x14ac:dyDescent="0.25">
      <c r="A61" s="5" t="str">
        <f>HYPERLINK("#'Constants - Fuel'!A1", "Constants - Fuel")</f>
        <v>Constants - Fuel</v>
      </c>
    </row>
    <row r="62" spans="1:6" ht="20.100000000000001" customHeight="1" x14ac:dyDescent="0.25">
      <c r="A62" s="5" t="str">
        <f>HYPERLINK("#'Constants - Scope 3'!A1", "Constants - Scope 3")</f>
        <v>Constants - Scope 3</v>
      </c>
    </row>
    <row r="63" spans="1:6" ht="20.100000000000001" customHeight="1" x14ac:dyDescent="0.25">
      <c r="A63" s="5" t="str">
        <f>HYPERLINK("#'Constants - Common'!A1", "Constants - Common")</f>
        <v>Constants - Common</v>
      </c>
    </row>
    <row r="64" spans="1:6"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1"/>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15E1B4ED-F4C4-4ADF-B85B-12C63E11B6D6}">
      <formula1>"Location-based (simpler), Market-based (more complex)"</formula1>
    </dataValidation>
    <dataValidation type="list" allowBlank="1" showInputMessage="1" showErrorMessage="1" sqref="E37:E39" xr:uid="{C4EE31FA-C1CC-474B-8726-04EE995A1DB5}">
      <formula1>"Purchased certificate, Issued for generated electricity"</formula1>
    </dataValidation>
    <dataValidation type="list" allowBlank="1" showInputMessage="1" showErrorMessage="1" sqref="E17" xr:uid="{0C723B15-042D-49E0-9D44-DB981DF62AEE}">
      <formula1>INDIRECT("Table_SourceData_ElectricityEFs[State, Territory or grid description]")</formula1>
    </dataValidation>
    <dataValidation type="list" allowBlank="1" showInputMessage="1" showErrorMessage="1" sqref="E69" xr:uid="{1B759358-AFAD-4F33-8387-612518055981}">
      <formula1>INDIRECT("Table_SourceData_Swine_IrrigationMethods[Irrigation method]")</formula1>
    </dataValidation>
    <dataValidation type="list" allowBlank="1" showInputMessage="1" showErrorMessage="1" sqref="E253 E258 E263 E297 E292 E287 E165 E153 E129 E141" xr:uid="{2826386B-E757-4F37-8C47-C52F0D5225CA}">
      <formula1>"Yes, No"</formula1>
    </dataValidation>
    <dataValidation type="list" allowBlank="1" showInputMessage="1" showErrorMessage="1" sqref="E229" xr:uid="{8E43D360-515D-40E6-ACE6-4E5D0D7BD433}">
      <formula1>INDIRECT("Table_SourceData_Dairy_ProductionSystemTemplates[Area]")</formula1>
    </dataValidation>
    <dataValidation type="list" allowBlank="1" showInputMessage="1" showErrorMessage="1" sqref="D281" xr:uid="{620422D9-7185-44F3-83E4-1C2CF556DACE}">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05986-F556-4FF1-B0A9-60724A49B567}">
  <sheetPr>
    <tabColor theme="5" tint="-0.249977111117893"/>
  </sheetPr>
  <dimension ref="A1:S227"/>
  <sheetViews>
    <sheetView showGridLines="0" topLeftCell="A5" workbookViewId="0" zoomScale="100" zoomScaleNormal="100">
      <selection activeCell="A65" sqref="A65"/>
    </sheetView>
  </sheetViews>
  <sheetFormatPr defaultRowHeight="15.75" x14ac:dyDescent="0.25"/>
  <cols>
    <col min="1" max="1" width="30.7109375" style="96" customWidth="1"/>
    <col min="2" max="2" width="4.7109375" style="96" customWidth="1"/>
    <col min="3" max="3" width="4.7109375" style="262" customWidth="1"/>
    <col min="4" max="4" width="47.140625" style="262" customWidth="1"/>
    <col min="5" max="10" width="30.7109375" style="262" customWidth="1"/>
    <col min="11" max="18" width="35" style="1" customWidth="1"/>
    <col min="19" max="19" width="5.28515625" style="1" customWidth="1"/>
    <col min="20" max="16384" width="9.140625" style="96"/>
  </cols>
  <sheetData>
    <row r="1" spans="1:19" ht="30" customHeight="1" x14ac:dyDescent="0.35">
      <c r="A1" s="16" t="e" vm="1">
        <v>#VALUE!</v>
      </c>
      <c r="C1" s="37" t="s">
        <v>1017</v>
      </c>
      <c r="D1" s="31"/>
      <c r="E1" s="31"/>
      <c r="F1" s="31"/>
      <c r="G1" s="31"/>
      <c r="H1" s="31"/>
      <c r="I1" s="31"/>
      <c r="J1" s="31"/>
      <c r="K1" s="31"/>
      <c r="L1" s="31"/>
      <c r="M1" s="31"/>
      <c r="N1" s="31"/>
      <c r="O1" s="31"/>
      <c r="P1" s="31"/>
      <c r="Q1" s="31"/>
      <c r="R1" s="31"/>
      <c r="S1" s="3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8"/>
      <c r="D3" s="38"/>
      <c r="E3" s="38"/>
      <c r="F3" s="38"/>
      <c r="G3" s="38"/>
      <c r="H3" s="38"/>
      <c r="I3" s="38"/>
      <c r="J3" s="38"/>
      <c r="K3" s="38"/>
      <c r="L3" s="38"/>
      <c r="M3" s="38"/>
      <c r="N3" s="38"/>
      <c r="O3" s="38"/>
      <c r="P3" s="38"/>
      <c r="Q3" s="38"/>
      <c r="R3" s="38"/>
      <c r="S3" s="38"/>
    </row>
    <row r="4" spans="1:19" ht="20.100000000000001" customHeight="1" x14ac:dyDescent="0.25">
      <c r="A4" s="5" t="str">
        <f>HYPERLINK("#'Overview'!A1", "Overview")</f>
        <v>Overview</v>
      </c>
      <c r="C4" s="34"/>
      <c r="D4" s="34"/>
      <c r="E4" s="34"/>
      <c r="F4" s="34"/>
      <c r="G4" s="34"/>
      <c r="H4" s="34"/>
      <c r="I4" s="34"/>
      <c r="J4" s="34"/>
    </row>
    <row r="5" spans="1:19" ht="20.100000000000001" customHeight="1" x14ac:dyDescent="0.25">
      <c r="A5" s="5" t="str">
        <f>HYPERLINK("#'Results'!A1", "Results")</f>
        <v>Results</v>
      </c>
      <c r="C5" s="1"/>
      <c r="D5" s="2" t="s">
        <v>1018</v>
      </c>
      <c r="E5" s="34"/>
      <c r="F5" s="34"/>
      <c r="G5" s="34"/>
      <c r="H5" s="34"/>
      <c r="I5" s="34"/>
      <c r="J5" s="34"/>
    </row>
    <row r="6" spans="1:19" ht="20.100000000000001" customHeight="1" x14ac:dyDescent="0.25">
      <c r="A6"/>
      <c r="C6" s="1"/>
    </row>
    <row r="7" spans="1:19" ht="20.100000000000001" customHeight="1" x14ac:dyDescent="0.25">
      <c r="A7"/>
      <c r="C7" s="1"/>
      <c r="D7" s="94" t="s">
        <v>1019</v>
      </c>
      <c r="E7" s="94" t="s">
        <v>1020</v>
      </c>
      <c r="F7" s="94" t="s">
        <v>1021</v>
      </c>
    </row>
    <row r="8" spans="1:19" ht="20.100000000000001" customHeight="1" x14ac:dyDescent="0.25">
      <c r="A8" s="7" t="s">
        <v>0</v>
      </c>
      <c r="C8" s="1"/>
      <c r="D8" s="43" t="s">
        <v>1022</v>
      </c>
      <c r="E8" s="23" t="s">
        <v>1023</v>
      </c>
      <c r="F8" s="85">
        <v>100</v>
      </c>
    </row>
    <row r="9" spans="1:19" ht="20.100000000000001" customHeight="1" x14ac:dyDescent="0.25">
      <c r="A9" s="5" t="str">
        <f>HYPERLINK("#'Input - Enterprise'!A1", "Enterprise")</f>
        <v>Enterprise</v>
      </c>
      <c r="C9" s="1"/>
      <c r="D9" s="43" t="s">
        <v>1024</v>
      </c>
      <c r="E9" s="213" t="s">
        <v>1025</v>
      </c>
      <c r="F9" s="264">
        <v>100</v>
      </c>
    </row>
    <row r="10" spans="1:19" ht="20.100000000000001" customHeight="1" x14ac:dyDescent="0.25">
      <c r="A10" s="5" t="str">
        <f>HYPERLINK("#'Input - Site'!A1", "Site")</f>
        <v>Site</v>
      </c>
      <c r="D10" s="43" t="s">
        <v>1026</v>
      </c>
      <c r="E10" s="213" t="s">
        <v>1027</v>
      </c>
      <c r="F10" s="264">
        <v>100</v>
      </c>
    </row>
    <row r="11" spans="1:19" ht="20.100000000000001" customHeight="1" x14ac:dyDescent="0.25">
      <c r="A11" s="5" t="str">
        <f>HYPERLINK("#'Input - Dairy'!A1", "Dairy")</f>
        <v>Dairy</v>
      </c>
      <c r="D11" s="43" t="s">
        <v>1026</v>
      </c>
      <c r="E11" s="213" t="s">
        <v>1027</v>
      </c>
      <c r="F11" s="264">
        <v>100</v>
      </c>
    </row>
    <row r="12" spans="1:19" ht="20.100000000000001" customHeight="1" x14ac:dyDescent="0.25">
      <c r="A12" s="5" t="str">
        <f>HYPERLINK("#'Input - Dairy (Enteric)'!A1", "Dairy (Enteric)")</f>
        <v>Dairy (Enteric)</v>
      </c>
      <c r="C12" s="1"/>
      <c r="D12" s="43" t="s">
        <v>1022</v>
      </c>
      <c r="E12" s="213" t="s">
        <v>1023</v>
      </c>
      <c r="F12" s="264">
        <v>100</v>
      </c>
    </row>
    <row r="13" spans="1:19" ht="20.100000000000001" customHeight="1" x14ac:dyDescent="0.25">
      <c r="A13" s="5" t="str">
        <f>HYPERLINK("#'Input - Livestock sales'!A1", "Livestock sales")</f>
        <v>Livestock sales</v>
      </c>
      <c r="C13" s="1"/>
      <c r="D13" s="43" t="s">
        <v>1022</v>
      </c>
      <c r="E13" s="213" t="s">
        <v>1023</v>
      </c>
      <c r="F13" s="264">
        <v>100</v>
      </c>
    </row>
    <row r="14" spans="1:19" ht="20.100000000000001" customHeight="1" x14ac:dyDescent="0.25">
      <c r="A14" s="5" t="str">
        <f>HYPERLINK("#'Input - Dairy cattle purchases'!A1", "Dairy cattle purchases")</f>
        <v>Dairy cattle purchases</v>
      </c>
      <c r="D14" s="43"/>
      <c r="E14" s="23"/>
      <c r="F14" s="85"/>
    </row>
    <row r="15" spans="1:19" ht="20.100000000000001" customHeight="1" x14ac:dyDescent="0.25">
      <c r="A15" s="5" t="str">
        <f>HYPERLINK("#'Input - Pasture'!A1", "Pasture")</f>
        <v>Pasture</v>
      </c>
      <c r="D15" s="43"/>
      <c r="E15" s="23"/>
      <c r="F15" s="85"/>
    </row>
    <row r="16" spans="1:19" ht="20.100000000000001" customHeight="1" x14ac:dyDescent="0.25">
      <c r="A16" s="5" t="str">
        <f>HYPERLINK("#'Input - Fert Prod System'!A1", "Fert Prod System")</f>
        <v>Fert Prod System</v>
      </c>
      <c r="D16" s="43"/>
      <c r="E16" s="23"/>
      <c r="F16" s="85"/>
    </row>
    <row r="17" spans="1:10" ht="20.100000000000001" customHeight="1" x14ac:dyDescent="0.25">
      <c r="A17" s="5" t="str">
        <f>HYPERLINK("#'Input - Fertiliser'!A1", "Fertiliser")</f>
        <v>Fertiliser</v>
      </c>
      <c r="C17" s="1"/>
      <c r="D17" s="43"/>
      <c r="E17" s="23"/>
      <c r="F17" s="85"/>
    </row>
    <row r="18" spans="1:10" ht="20.100000000000001" customHeight="1" x14ac:dyDescent="0.25">
      <c r="A18" s="5" t="str">
        <f>HYPERLINK("#'Input - Fuel'!A1", "Fuel")</f>
        <v>Fuel</v>
      </c>
      <c r="C18" s="1"/>
    </row>
    <row r="19" spans="1:10" ht="20.100000000000001" customHeight="1" x14ac:dyDescent="0.25">
      <c r="A19" s="5" t="str">
        <f>HYPERLINK("#'Input - Electricity'!A1", "Electricity")</f>
        <v>Electricity</v>
      </c>
    </row>
    <row r="20" spans="1:10" ht="20.100000000000001" customHeight="1" x14ac:dyDescent="0.25">
      <c r="A20" s="98" t="str">
        <f>HYPERLINK("#'Input - Common farm inputs'!A1", "Common farm inputs")</f>
        <v>Common farm inputs</v>
      </c>
      <c r="D20" s="2" t="s">
        <v>1028</v>
      </c>
    </row>
    <row r="21" spans="1:10" ht="20.100000000000001" customHeight="1" x14ac:dyDescent="0.25">
      <c r="A21" s="5" t="str">
        <f>HYPERLINK("#'Input - Crop pasture farm input'!A1", "Crop pasture farm input")</f>
        <v>Crop pasture farm input</v>
      </c>
      <c r="D21" s="35"/>
      <c r="I21" s="34"/>
      <c r="J21" s="34"/>
    </row>
    <row r="22" spans="1:10" ht="20.100000000000001" customHeight="1" x14ac:dyDescent="0.25">
      <c r="A22" s="5" t="str">
        <f>HYPERLINK("#'Input - Livestock farm Inputs'!A1", "Livestock farm Inputs")</f>
        <v>Livestock farm Inputs</v>
      </c>
      <c r="D22" s="265" t="s">
        <v>1029</v>
      </c>
      <c r="E22" s="265" t="s">
        <v>1030</v>
      </c>
      <c r="F22" s="265" t="s">
        <v>1031</v>
      </c>
      <c r="G22" s="265" t="s">
        <v>791</v>
      </c>
    </row>
    <row r="23" spans="1:10" ht="20.100000000000001" customHeight="1" x14ac:dyDescent="0.25">
      <c r="A23" s="5" t="str">
        <f>HYPERLINK("#'Input - Freight'!A1", "Freight")</f>
        <v>Freight</v>
      </c>
      <c r="D23" s="43" t="s">
        <v>1032</v>
      </c>
      <c r="E23" s="43" t="s">
        <v>1033</v>
      </c>
      <c r="F23" s="85">
        <v>10000</v>
      </c>
      <c r="G23" s="23" t="s">
        <v>1034</v>
      </c>
    </row>
    <row r="24" spans="1:10" ht="20.100000000000001" customHeight="1" x14ac:dyDescent="0.25">
      <c r="A24" s="5" t="str">
        <f>HYPERLINK("#'Input - Manure sent off-site'!A1", "Manure sent off-site")</f>
        <v>Manure sent off-site</v>
      </c>
      <c r="D24" s="43" t="s">
        <v>1035</v>
      </c>
      <c r="E24" s="43" t="s">
        <v>1036</v>
      </c>
      <c r="F24" s="85">
        <v>1000</v>
      </c>
      <c r="G24" s="23" t="s">
        <v>1037</v>
      </c>
    </row>
    <row r="25" spans="1:10" ht="20.100000000000001" customHeight="1" x14ac:dyDescent="0.25">
      <c r="A25" s="5" t="str">
        <f>HYPERLINK("#'Input - Solid waste'!A1", "Solid waste")</f>
        <v>Solid waste</v>
      </c>
      <c r="C25" s="1"/>
      <c r="D25" s="43"/>
      <c r="E25" s="43"/>
      <c r="F25" s="85"/>
      <c r="G25" s="23"/>
    </row>
    <row r="26" spans="1:10" ht="20.100000000000001" customHeight="1" x14ac:dyDescent="0.25">
      <c r="A26" s="5" t="str">
        <f>HYPERLINK("#'Input - Data quality'!A1", "Data quality")</f>
        <v>Data quality</v>
      </c>
      <c r="C26" s="1"/>
      <c r="D26" s="43"/>
      <c r="E26" s="43"/>
      <c r="F26" s="85"/>
      <c r="G26" s="23"/>
    </row>
    <row r="27" spans="1:10" ht="20.100000000000001" customHeight="1" x14ac:dyDescent="0.25">
      <c r="A27"/>
      <c r="C27" s="1"/>
      <c r="D27" s="43"/>
      <c r="E27" s="43"/>
      <c r="F27" s="85"/>
      <c r="G27" s="23"/>
    </row>
    <row r="28" spans="1:10" ht="20.100000000000001" customHeight="1" x14ac:dyDescent="0.25">
      <c r="A28"/>
      <c r="D28" s="43"/>
      <c r="E28" s="43"/>
      <c r="F28" s="85"/>
      <c r="G28" s="23"/>
    </row>
    <row r="29" spans="1:10" ht="20.100000000000001" customHeight="1" x14ac:dyDescent="0.25">
      <c r="A29" s="6" t="s">
        <v>2</v>
      </c>
      <c r="D29" s="43"/>
      <c r="E29" s="43"/>
      <c r="F29" s="85"/>
      <c r="G29" s="23"/>
    </row>
    <row r="30" spans="1:10" ht="20.100000000000001" customHeight="1" x14ac:dyDescent="0.25">
      <c r="A30" s="5" t="str">
        <f>HYPERLINK("#'5.1.1.1-2 Inorganic fert N2O'!A1", "5.1.1.1-2 Inorganic fert N2O")</f>
        <v>5.1.1.1-2 Inorganic fert N2O</v>
      </c>
      <c r="D30" s="43"/>
      <c r="E30" s="43"/>
      <c r="F30" s="85"/>
      <c r="G30" s="23"/>
    </row>
    <row r="31" spans="1:10" ht="20.100000000000001" customHeight="1" x14ac:dyDescent="0.25">
      <c r="A31" s="5" t="str">
        <f>HYPERLINK("#'5.1.1.3-4 Inorganic fert CO2'!A1", "5.1.1.3-4 Inorganic fert CO2")</f>
        <v>5.1.1.3-4 Inorganic fert CO2</v>
      </c>
      <c r="D31" s="43"/>
      <c r="E31" s="43"/>
      <c r="F31" s="85"/>
      <c r="G31" s="23"/>
    </row>
    <row r="32" spans="1:10" ht="20.100000000000001" customHeight="1" x14ac:dyDescent="0.25">
      <c r="A32" s="5" t="str">
        <f>HYPERLINK("#'5.2.1.1-2 Organic Fert N2O'!A1", "5.2.1.1-2 Organic fert N2O")</f>
        <v>5.2.1.1-2 Organic fert N2O</v>
      </c>
      <c r="D32" s="43"/>
      <c r="E32" s="43"/>
      <c r="F32" s="85"/>
      <c r="G32" s="23"/>
    </row>
    <row r="33" spans="1:6" ht="20.100000000000001" customHeight="1" x14ac:dyDescent="0.25">
      <c r="A33" s="5" t="str">
        <f>HYPERLINK("#'5.3.1.1-2 Lime CO2'!A1", "5.3.1.1-2 Lime CO2")</f>
        <v>5.3.1.1-2 Lime CO2</v>
      </c>
    </row>
    <row r="34" spans="1:6" ht="20.100000000000001" customHeight="1" x14ac:dyDescent="0.25">
      <c r="A34" s="5" t="str">
        <f>HYPERLINK("#'5.4.1.1-4 Atmos deposition'!A1", "5.4.1.1-4 Atmos. deposition")</f>
        <v>5.4.1.1-4 Atmos. deposition</v>
      </c>
    </row>
    <row r="35" spans="1:6" ht="20.100000000000001" customHeight="1" x14ac:dyDescent="0.25">
      <c r="A35" s="5" t="str">
        <f>HYPERLINK("#'5.5.1.1-2 Leaching and runoff'!A1", "5.5.1.1-2 Leaching &amp; runoff")</f>
        <v>5.5.1.1-2 Leaching &amp; runoff</v>
      </c>
      <c r="D35" s="2" t="s">
        <v>1038</v>
      </c>
    </row>
    <row r="36" spans="1:6" ht="20.100000000000001" customHeight="1" x14ac:dyDescent="0.25">
      <c r="A36" s="5" t="str">
        <f>HYPERLINK("#'6.2.1.1-2 Pasture residue N2O'!A1", "6.2.1.1-2 Pasture residue N2O")</f>
        <v>6.2.1.1-2 Pasture residue N2O</v>
      </c>
      <c r="D36" s="35"/>
    </row>
    <row r="37" spans="1:6" ht="20.100000000000001" customHeight="1" x14ac:dyDescent="0.25">
      <c r="A37" s="5" t="str">
        <f>HYPERLINK("#'6.3.1.1-2 Leach runoff pasture'!A1", "6.3.1.1-2 Leach &amp; runoff (pasture)")</f>
        <v>6.3.1.1-2 Leach &amp; runoff (pasture)</v>
      </c>
      <c r="D37" s="94" t="s">
        <v>1039</v>
      </c>
      <c r="E37" s="94" t="s">
        <v>883</v>
      </c>
      <c r="F37" s="94" t="s">
        <v>791</v>
      </c>
    </row>
    <row r="38" spans="1:6" ht="20.100000000000001" customHeight="1" x14ac:dyDescent="0.25">
      <c r="A38" s="5" t="str">
        <f>HYPERLINK("#'8.1.1.1-2 Transport fuel'!A1", "8.1.1.1-2 Transport fuel")</f>
        <v>8.1.1.1-2 Transport fuel</v>
      </c>
      <c r="D38" s="43" t="s">
        <v>1040</v>
      </c>
      <c r="E38" s="85">
        <v>1000</v>
      </c>
      <c r="F38" s="43" t="s">
        <v>630</v>
      </c>
    </row>
    <row r="39" spans="1:6" ht="20.100000000000001" customHeight="1" x14ac:dyDescent="0.25">
      <c r="A39" s="5" t="str">
        <f>HYPERLINK("#'8.2.1.1-2 Stationary fuel'!A1", "8.2.1.1-2 Stationary fuel")</f>
        <v>8.2.1.1-2 Stationary fuel</v>
      </c>
      <c r="D39" s="43"/>
      <c r="E39" s="85"/>
      <c r="F39" s="43"/>
    </row>
    <row r="40" spans="1:6" ht="20.100000000000001" customHeight="1" x14ac:dyDescent="0.25">
      <c r="A40" s="5" t="str">
        <f>HYPERLINK("#'14.1.1-2 Purchased electricity'!A1", "14.1.1-2 Purchased electricity")</f>
        <v>14.1.1-2 Purchased electricity</v>
      </c>
      <c r="D40" s="43"/>
      <c r="E40" s="85"/>
      <c r="F40" s="43"/>
    </row>
    <row r="41" spans="1:6" ht="20.100000000000001" customHeight="1" x14ac:dyDescent="0.25">
      <c r="A41" s="5" t="str">
        <f>HYPERLINK("#'15 Scope 3'!A1", "15 Scope 3")</f>
        <v>15 Scope 3</v>
      </c>
      <c r="D41" s="43"/>
      <c r="E41" s="85"/>
      <c r="F41" s="43"/>
    </row>
    <row r="42" spans="1:6" ht="20.100000000000001" customHeight="1" x14ac:dyDescent="0.25">
      <c r="A42" s="5" t="str">
        <f>HYPERLINK("#'Calcs - Manure sent off-site'!A1", "Calcs - Manure sent off-site")</f>
        <v>Calcs - Manure sent off-site</v>
      </c>
      <c r="D42" s="43"/>
      <c r="E42" s="85"/>
      <c r="F42" s="43"/>
    </row>
    <row r="43" spans="1:6" ht="20.100000000000001" customHeight="1" x14ac:dyDescent="0.25">
      <c r="A43" s="5" t="str">
        <f>HYPERLINK("#'4.3.1.1-2 Methane'!A1", "4.3.1.1-2 Methane")</f>
        <v>4.3.1.1-2 Methane</v>
      </c>
      <c r="D43" s="43"/>
      <c r="E43" s="85"/>
      <c r="F43" s="43"/>
    </row>
    <row r="44" spans="1:6" ht="20.100000000000001" customHeight="1" x14ac:dyDescent="0.25">
      <c r="A44" s="5" t="str">
        <f>HYPERLINK("#'4.3.1.3-4 Direct N20'!A1", "4.3.1.3-4 Direct N20")</f>
        <v>4.3.1.3-4 Direct N20</v>
      </c>
      <c r="C44" s="1"/>
      <c r="D44" s="43"/>
      <c r="E44" s="85"/>
      <c r="F44" s="43"/>
    </row>
    <row r="45" spans="1:6" ht="20.100000000000001" customHeight="1" x14ac:dyDescent="0.25">
      <c r="A45" s="5" t="str">
        <f>HYPERLINK("#'4.3.1.5 Atmos deposition'!A1", "4.3.1.5 Atmos deposition")</f>
        <v>4.3.1.5 Atmos deposition</v>
      </c>
      <c r="C45" s="1"/>
      <c r="D45" s="43"/>
      <c r="E45" s="85"/>
      <c r="F45" s="43"/>
    </row>
    <row r="46" spans="1:6" ht="20.100000000000001" customHeight="1" x14ac:dyDescent="0.25">
      <c r="A46" s="5" t="str">
        <f>HYPERLINK("#'4.3.1.6-7 Leaching and runoff'!A1", "4.3.1.6-7 Leaching and runoff")</f>
        <v>4.3.1.6-7 Leaching and runoff</v>
      </c>
      <c r="C46" s="1"/>
      <c r="D46" s="43"/>
      <c r="E46" s="85"/>
      <c r="F46" s="43"/>
    </row>
    <row r="47" spans="1:6" ht="20.100000000000001" customHeight="1" x14ac:dyDescent="0.25">
      <c r="A47" s="5" t="str">
        <f>HYPERLINK("#'4.3.1.8 Manure applied to soils'!A1", "4.3.1.8 Manure applied to soils")</f>
        <v>4.3.1.8 Manure applied to soils</v>
      </c>
      <c r="C47" s="1"/>
      <c r="D47" s="43"/>
      <c r="E47" s="85"/>
      <c r="F47" s="43"/>
    </row>
    <row r="48" spans="1:6" ht="20.100000000000001" customHeight="1" x14ac:dyDescent="0.25">
      <c r="A48" s="5" t="str">
        <f>HYPERLINK("#'4.3.1.9 Soil direct N2O'!A1", "4.3.1.9 Soil direct N2O")</f>
        <v>4.3.1.9 Soil direct N2O</v>
      </c>
      <c r="C48" s="1"/>
    </row>
    <row r="49" spans="1:3" ht="20.100000000000001" customHeight="1" x14ac:dyDescent="0.25">
      <c r="A49" s="5" t="str">
        <f>HYPERLINK("#'4.3.1.10-11 Soil Atmos Dep'!A1", "4.3.1.10-11 Soil Atmos Dep")</f>
        <v>4.3.1.10-11 Soil Atmos Dep</v>
      </c>
      <c r="C49" s="1"/>
    </row>
    <row r="50" spans="1:3" ht="20.100000000000001" customHeight="1" x14ac:dyDescent="0.25">
      <c r="A50" s="5" t="str">
        <f>HYPERLINK("#'4.3.1.12-13 Soil leach runoff'!A1", "4.3.1.12-13 Soil leach runoff")</f>
        <v>4.3.1.12-13 Soil leach runoff</v>
      </c>
    </row>
    <row r="51" spans="1:3" ht="20.100000000000001" customHeight="1" x14ac:dyDescent="0.25">
      <c r="A51" s="5" t="str">
        <f>HYPERLINK("#'3.3.1.1-2 Enteric Methane'!A1", "3.3.1.1-2 Enteric Methane")</f>
        <v>3.3.1.1-2 Enteric Methane</v>
      </c>
    </row>
    <row r="52" spans="1:3" ht="20.100000000000001" customHeight="1" x14ac:dyDescent="0.25">
      <c r="A52" s="5" t="str">
        <f>HYPERLINK("#'10.1.1-2 Solid waste treatment'!A1", "10.1.1-2 Solid waste treatment")</f>
        <v>10.1.1-2 Solid waste treatment</v>
      </c>
    </row>
    <row r="53" spans="1:3" ht="20.100000000000001" customHeight="1" x14ac:dyDescent="0.25">
      <c r="A53"/>
    </row>
    <row r="54" spans="1:3" ht="20.100000000000001" customHeight="1" x14ac:dyDescent="0.25">
      <c r="A54"/>
    </row>
    <row r="55" spans="1:3" ht="20.100000000000001" customHeight="1" x14ac:dyDescent="0.25">
      <c r="A55" s="100" t="s">
        <v>1</v>
      </c>
    </row>
    <row r="56" spans="1:3" ht="20.100000000000001" customHeight="1" x14ac:dyDescent="0.25">
      <c r="A56" s="5" t="str">
        <f>HYPERLINK("#'Constants - Dairy'!A1", "Constants - Dairy")</f>
        <v>Constants - Dairy</v>
      </c>
    </row>
    <row r="57" spans="1:3" ht="20.100000000000001" customHeight="1" x14ac:dyDescent="0.25">
      <c r="A57" s="5" t="str">
        <f>HYPERLINK("#'Constants - Ag Residue'!A1", "Constants - Ag residue")</f>
        <v>Constants - Ag residue</v>
      </c>
    </row>
    <row r="58" spans="1:3" ht="20.100000000000001" customHeight="1" x14ac:dyDescent="0.25">
      <c r="A58" s="5" t="str">
        <f>HYPERLINK("#'Constants - Common Livestock'!A1", "Constants - Common Livestock")</f>
        <v>Constants - Common Livestock</v>
      </c>
    </row>
    <row r="59" spans="1:3" ht="20.100000000000001" customHeight="1" x14ac:dyDescent="0.25">
      <c r="A59" s="5" t="str">
        <f>HYPERLINK("#'Constants - Electricity'!A1", "Constants - Electricity")</f>
        <v>Constants - Electricity</v>
      </c>
    </row>
    <row r="60" spans="1:3" ht="20.100000000000001" customHeight="1" x14ac:dyDescent="0.25">
      <c r="A60" s="5" t="str">
        <f>HYPERLINK("#'Constants - Fertiliser'!A1", "Constants - Fertiliser")</f>
        <v>Constants - Fertiliser</v>
      </c>
    </row>
    <row r="61" spans="1:3" ht="20.100000000000001" customHeight="1" x14ac:dyDescent="0.25">
      <c r="A61" s="5" t="str">
        <f>HYPERLINK("#'Constants - Fuel'!A1", "Constants - Fuel")</f>
        <v>Constants - Fuel</v>
      </c>
    </row>
    <row r="62" spans="1:3" ht="20.100000000000001" customHeight="1" x14ac:dyDescent="0.25">
      <c r="A62" s="5" t="str">
        <f>HYPERLINK("#'Constants - Scope 3'!A1", "Constants - Scope 3")</f>
        <v>Constants - Scope 3</v>
      </c>
    </row>
    <row r="63" spans="1:3" ht="20.100000000000001" customHeight="1" x14ac:dyDescent="0.25">
      <c r="A63" s="5" t="str">
        <f>HYPERLINK("#'Constants - Common'!A1", "Constants - Common")</f>
        <v>Constants - Common</v>
      </c>
    </row>
    <row r="64" spans="1:3" ht="20.100000000000001" customHeight="1" x14ac:dyDescent="0.25">
      <c r="A64" s="5" t="str">
        <f>HYPERLINK("#'Acknowledgements'!A1", "Acknowledgements")</f>
        <v>Acknowledgements</v>
      </c>
    </row>
    <row r="65" spans="1:11" ht="20.100000000000001" customHeight="1" x14ac:dyDescent="0.25">
      <c r="A65" s="5" t="str">
        <f>HYPERLINK("#'Constants - Solid Waste'!A1", "Constants - Solid Waste")</f>
        <v>Constants - Solid Waste</v>
      </c>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62"/>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4"/>
    </row>
    <row r="93" spans="1:10" ht="20.100000000000001" customHeight="1" x14ac:dyDescent="0.25">
      <c r="A93"/>
      <c r="J93" s="34"/>
    </row>
    <row r="94" spans="1:10" ht="20.100000000000001" customHeight="1" x14ac:dyDescent="0.25">
      <c r="A94"/>
      <c r="J94" s="34"/>
    </row>
    <row r="95" spans="1:10" ht="20.100000000000001" customHeight="1" x14ac:dyDescent="0.25">
      <c r="A95"/>
      <c r="J95" s="34"/>
    </row>
    <row r="96" spans="1:10" ht="20.100000000000001" customHeight="1" x14ac:dyDescent="0.25">
      <c r="A96"/>
      <c r="J96" s="34"/>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4"/>
      <c r="M113" s="34"/>
      <c r="N113" s="34"/>
      <c r="O113" s="34"/>
      <c r="P113" s="34"/>
    </row>
    <row r="114" spans="1:16" ht="20.100000000000001" customHeight="1" x14ac:dyDescent="0.25">
      <c r="A114"/>
      <c r="J114" s="1"/>
      <c r="L114" s="34"/>
      <c r="M114" s="34"/>
      <c r="N114" s="34"/>
      <c r="O114" s="34"/>
      <c r="P114" s="34"/>
    </row>
    <row r="115" spans="1:16" ht="20.100000000000001" customHeight="1" x14ac:dyDescent="0.25">
      <c r="A115"/>
      <c r="J115" s="1"/>
      <c r="L115" s="34"/>
      <c r="M115" s="34"/>
      <c r="N115" s="34"/>
      <c r="O115" s="34"/>
      <c r="P115" s="34"/>
    </row>
    <row r="116" spans="1:16" ht="20.100000000000001" customHeight="1" x14ac:dyDescent="0.25">
      <c r="A116"/>
      <c r="I116" s="34"/>
      <c r="J116" s="1"/>
      <c r="N116" s="34"/>
      <c r="O116" s="34"/>
      <c r="P116" s="34"/>
    </row>
    <row r="117" spans="1:16" ht="20.100000000000001" customHeight="1" x14ac:dyDescent="0.25">
      <c r="A117"/>
      <c r="I117" s="34"/>
      <c r="J117" s="1"/>
      <c r="N117" s="34"/>
      <c r="O117" s="34"/>
      <c r="P117" s="34"/>
    </row>
    <row r="118" spans="1:16" ht="20.100000000000001" customHeight="1" x14ac:dyDescent="0.25">
      <c r="A118"/>
      <c r="J118" s="34"/>
      <c r="N118" s="2"/>
      <c r="O118" s="2"/>
      <c r="P118" s="34"/>
    </row>
    <row r="119" spans="1:16" ht="20.100000000000001" customHeight="1" x14ac:dyDescent="0.25">
      <c r="A119"/>
      <c r="J119" s="34"/>
      <c r="P119" s="266"/>
    </row>
    <row r="120" spans="1:16" ht="20.100000000000001" customHeight="1" x14ac:dyDescent="0.25">
      <c r="A120"/>
      <c r="J120" s="34"/>
      <c r="P120" s="266"/>
    </row>
    <row r="121" spans="1:16" ht="20.100000000000001" customHeight="1" x14ac:dyDescent="0.25">
      <c r="A121"/>
      <c r="J121" s="2"/>
      <c r="P121" s="266"/>
    </row>
    <row r="122" spans="1:16" ht="20.100000000000001" customHeight="1" x14ac:dyDescent="0.25">
      <c r="A122"/>
      <c r="G122" s="34"/>
      <c r="H122" s="1"/>
      <c r="J122" s="1"/>
      <c r="P122" s="266"/>
    </row>
    <row r="123" spans="1:16" ht="20.100000000000001" customHeight="1" x14ac:dyDescent="0.25">
      <c r="A123"/>
      <c r="G123" s="34"/>
      <c r="H123" s="1"/>
      <c r="J123" s="1"/>
      <c r="P123" s="266"/>
    </row>
    <row r="124" spans="1:16" ht="20.100000000000001" customHeight="1" x14ac:dyDescent="0.25">
      <c r="A124"/>
      <c r="G124" s="34"/>
      <c r="H124" s="34"/>
      <c r="J124" s="1"/>
      <c r="N124" s="34"/>
      <c r="O124" s="34"/>
      <c r="P124" s="34"/>
    </row>
    <row r="125" spans="1:16" ht="20.100000000000001" customHeight="1" x14ac:dyDescent="0.25">
      <c r="A125"/>
      <c r="G125" s="34"/>
      <c r="H125" s="34"/>
      <c r="I125" s="34"/>
      <c r="J125" s="1"/>
      <c r="N125" s="34"/>
      <c r="O125" s="34"/>
      <c r="P125" s="34"/>
    </row>
    <row r="126" spans="1:16" ht="20.100000000000001" customHeight="1" x14ac:dyDescent="0.25">
      <c r="A126"/>
      <c r="G126" s="34"/>
      <c r="I126" s="34"/>
      <c r="J126" s="1"/>
    </row>
    <row r="127" spans="1:16" ht="20.100000000000001" customHeight="1" x14ac:dyDescent="0.25">
      <c r="A127"/>
      <c r="I127" s="34"/>
      <c r="J127" s="34"/>
    </row>
    <row r="128" spans="1:16" ht="20.100000000000001" customHeight="1" x14ac:dyDescent="0.25">
      <c r="A128"/>
      <c r="I128" s="34"/>
      <c r="J128" s="34"/>
    </row>
    <row r="129" spans="1:13" ht="20.100000000000001" customHeight="1" x14ac:dyDescent="0.25">
      <c r="A129"/>
      <c r="I129" s="34"/>
      <c r="L129" s="34"/>
      <c r="M129" s="34"/>
    </row>
    <row r="130" spans="1:13" ht="20.100000000000001" customHeight="1" x14ac:dyDescent="0.25">
      <c r="A130"/>
      <c r="I130" s="34"/>
      <c r="L130" s="34"/>
      <c r="M130" s="34"/>
    </row>
    <row r="131" spans="1:13" ht="20.100000000000001" customHeight="1" x14ac:dyDescent="0.25">
      <c r="A131"/>
      <c r="G131" s="1"/>
      <c r="I131" s="1"/>
      <c r="L131" s="2"/>
      <c r="M131" s="2"/>
    </row>
    <row r="132" spans="1:13" ht="20.100000000000001" customHeight="1" x14ac:dyDescent="0.25">
      <c r="A132"/>
      <c r="G132" s="34"/>
      <c r="I132" s="1"/>
    </row>
    <row r="133" spans="1:13" ht="20.100000000000001" customHeight="1" x14ac:dyDescent="0.25">
      <c r="A133"/>
      <c r="G133" s="34"/>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4"/>
    </row>
    <row r="137" spans="1:13" ht="20.100000000000001" customHeight="1" x14ac:dyDescent="0.25">
      <c r="A137"/>
      <c r="I137" s="34"/>
      <c r="L137" s="34"/>
      <c r="M137" s="34"/>
    </row>
    <row r="138" spans="1:13" ht="20.100000000000001" customHeight="1" x14ac:dyDescent="0.25">
      <c r="A138"/>
      <c r="L138" s="34"/>
      <c r="M138" s="34"/>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6"/>
    </row>
    <row r="166" spans="11:19" ht="20.100000000000001" customHeight="1" x14ac:dyDescent="0.25">
      <c r="S166" s="96"/>
    </row>
    <row r="167" spans="11:19" ht="20.100000000000001" customHeight="1" x14ac:dyDescent="0.25">
      <c r="S167" s="96"/>
    </row>
    <row r="168" spans="11:19" ht="20.100000000000001" customHeight="1" x14ac:dyDescent="0.25">
      <c r="S168" s="96"/>
    </row>
    <row r="169" spans="11:19" ht="20.100000000000001" customHeight="1" x14ac:dyDescent="0.25">
      <c r="S169" s="96"/>
    </row>
    <row r="170" spans="11:19" ht="20.100000000000001" customHeight="1" x14ac:dyDescent="0.25">
      <c r="S170" s="96"/>
    </row>
    <row r="171" spans="11:19" ht="20.100000000000001" customHeight="1" x14ac:dyDescent="0.25">
      <c r="S171" s="96"/>
    </row>
    <row r="172" spans="11:19" ht="20.100000000000001" customHeight="1" x14ac:dyDescent="0.25">
      <c r="S172" s="96"/>
    </row>
    <row r="173" spans="11:19" ht="20.100000000000001" customHeight="1" x14ac:dyDescent="0.25">
      <c r="S173" s="96"/>
    </row>
    <row r="174" spans="11:19" ht="20.100000000000001" customHeight="1" x14ac:dyDescent="0.25">
      <c r="S174" s="96"/>
    </row>
    <row r="175" spans="11:19" ht="20.100000000000001" customHeight="1" x14ac:dyDescent="0.25">
      <c r="S175" s="96"/>
    </row>
    <row r="176" spans="11:19" ht="20.100000000000001" customHeight="1" x14ac:dyDescent="0.25">
      <c r="K176" s="34"/>
    </row>
    <row r="177" spans="11:19" ht="20.100000000000001" customHeight="1" x14ac:dyDescent="0.25">
      <c r="K177" s="34"/>
    </row>
    <row r="178" spans="11:19" ht="20.100000000000001" customHeight="1" x14ac:dyDescent="0.25"/>
    <row r="179" spans="11:19" ht="20.100000000000001" customHeight="1" x14ac:dyDescent="0.25"/>
    <row r="180" spans="11:19" ht="20.100000000000001" customHeight="1" x14ac:dyDescent="0.25">
      <c r="S180" s="96"/>
    </row>
    <row r="181" spans="11:19" ht="20.100000000000001" customHeight="1" x14ac:dyDescent="0.25">
      <c r="S181" s="96"/>
    </row>
    <row r="182" spans="11:19" ht="20.100000000000001" customHeight="1" x14ac:dyDescent="0.25">
      <c r="S182" s="96"/>
    </row>
    <row r="183" spans="11:19" ht="20.100000000000001" customHeight="1" x14ac:dyDescent="0.25">
      <c r="S183" s="96"/>
    </row>
    <row r="184" spans="11:19" ht="20.100000000000001" customHeight="1" x14ac:dyDescent="0.25">
      <c r="S184" s="96"/>
    </row>
    <row r="185" spans="11:19" ht="20.100000000000001" customHeight="1" x14ac:dyDescent="0.25">
      <c r="S185" s="96"/>
    </row>
    <row r="186" spans="11:19" ht="20.100000000000001" customHeight="1" x14ac:dyDescent="0.25">
      <c r="S186" s="96"/>
    </row>
    <row r="187" spans="11:19" ht="20.100000000000001" customHeight="1" x14ac:dyDescent="0.25">
      <c r="S187" s="96"/>
    </row>
    <row r="188" spans="11:19" ht="20.100000000000001" customHeight="1" x14ac:dyDescent="0.25">
      <c r="S188" s="96"/>
    </row>
    <row r="189" spans="11:19" ht="20.100000000000001" customHeight="1" x14ac:dyDescent="0.25">
      <c r="S189" s="96"/>
    </row>
    <row r="190" spans="11:19" ht="20.100000000000001" customHeight="1" x14ac:dyDescent="0.25">
      <c r="S190" s="96"/>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4C818924-7A9C-420F-9706-4B15EE183BE0}">
      <formula1>INDIRECT("Table_Scope3_AquacultureFeedBait[Feed / Bait ingredient]")</formula1>
    </dataValidation>
    <dataValidation type="list" allowBlank="1" showInputMessage="1" showErrorMessage="1" sqref="G23:G32" xr:uid="{C5D40BD7-B200-4269-AA43-F67A5FC43FB9}">
      <formula1>"Hour, Hectare"</formula1>
    </dataValidation>
    <dataValidation type="list" allowBlank="1" showInputMessage="1" showErrorMessage="1" sqref="E8:E17" xr:uid="{FA8323E4-E31D-49CB-81E2-D08A115AC55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0C1F2-1CD2-437A-A8C9-EF350733E896}">
  <sheetPr>
    <tabColor theme="5" tint="-0.249977111117893"/>
  </sheetPr>
  <dimension ref="A1:S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8" width="35" style="1" customWidth="1"/>
    <col min="19" max="19" width="5.28515625" style="1" customWidth="1"/>
    <col min="20" max="16384" width="9.140625" style="261"/>
  </cols>
  <sheetData>
    <row r="1" spans="1:19" s="16" customFormat="1" ht="25.5" x14ac:dyDescent="0.35">
      <c r="C1" s="16" t="s">
        <v>1041</v>
      </c>
    </row>
    <row r="2" spans="1:19" s="3" customFormat="1" x14ac:dyDescent="0.25">
      <c r="A2"/>
    </row>
    <row r="3" spans="1:19" ht="20.25" x14ac:dyDescent="0.25">
      <c r="A3" s="5" t="str">
        <f>HYPERLINK("#'Home'!A1", "Home")</f>
        <v>Home</v>
      </c>
      <c r="C3" s="38"/>
      <c r="D3" s="38"/>
      <c r="E3" s="38"/>
      <c r="F3" s="38"/>
      <c r="G3" s="38"/>
      <c r="H3" s="38"/>
      <c r="I3" s="38"/>
      <c r="J3" s="38"/>
      <c r="K3" s="38"/>
      <c r="L3" s="38"/>
      <c r="M3" s="38"/>
      <c r="N3" s="38"/>
      <c r="O3" s="38"/>
      <c r="P3" s="38"/>
      <c r="Q3" s="38"/>
      <c r="R3" s="38"/>
      <c r="S3" s="38"/>
    </row>
    <row r="4" spans="1:19" x14ac:dyDescent="0.25">
      <c r="A4" s="5" t="str">
        <f>HYPERLINK("#'Overview'!A1", "Overview")</f>
        <v>Overview</v>
      </c>
    </row>
    <row r="5" spans="1:19" ht="18.75" x14ac:dyDescent="0.25">
      <c r="A5" s="5" t="str">
        <f>HYPERLINK("#'Results'!A1", "Results")</f>
        <v>Results</v>
      </c>
      <c r="D5" s="267" t="s">
        <v>1042</v>
      </c>
      <c r="E5" s="266"/>
      <c r="F5" s="266"/>
      <c r="G5" s="266"/>
      <c r="H5" s="266"/>
      <c r="I5" s="266"/>
      <c r="J5" s="266"/>
    </row>
    <row r="6" spans="1:19" x14ac:dyDescent="0.25">
      <c r="A6"/>
      <c r="D6" s="268" t="s">
        <v>1043</v>
      </c>
      <c r="E6" s="268"/>
      <c r="F6" s="145"/>
      <c r="G6" s="54"/>
      <c r="H6" s="34"/>
      <c r="I6" s="34"/>
      <c r="J6" s="34"/>
    </row>
    <row r="7" spans="1:19" x14ac:dyDescent="0.25">
      <c r="A7"/>
      <c r="D7" s="55" t="s">
        <v>1044</v>
      </c>
      <c r="E7" s="56"/>
      <c r="F7" s="56"/>
      <c r="G7" s="57"/>
      <c r="H7" s="34"/>
      <c r="I7" s="34"/>
      <c r="J7" s="34"/>
    </row>
    <row r="8" spans="1:19" x14ac:dyDescent="0.25">
      <c r="A8" s="7" t="s">
        <v>0</v>
      </c>
      <c r="D8" s="266"/>
      <c r="E8" s="266"/>
      <c r="F8" s="266"/>
      <c r="G8" s="266"/>
      <c r="H8" s="266"/>
      <c r="I8" s="266"/>
      <c r="J8" s="266"/>
      <c r="K8" s="91"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91"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91"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69" t="s">
        <v>1019</v>
      </c>
      <c r="E9" s="269" t="s">
        <v>1045</v>
      </c>
      <c r="F9" s="269" t="s">
        <v>1046</v>
      </c>
      <c r="G9" s="269" t="s">
        <v>557</v>
      </c>
      <c r="H9" s="269" t="s">
        <v>1047</v>
      </c>
      <c r="I9" s="269" t="s">
        <v>1048</v>
      </c>
      <c r="J9" s="269" t="s">
        <v>1049</v>
      </c>
      <c r="K9" s="263" t="s">
        <v>1050</v>
      </c>
      <c r="L9" s="263" t="s">
        <v>1051</v>
      </c>
      <c r="M9" s="263" t="s">
        <v>1052</v>
      </c>
      <c r="N9" s="263" t="s">
        <v>1053</v>
      </c>
      <c r="O9" s="263" t="s">
        <v>1054</v>
      </c>
      <c r="P9" s="263" t="s">
        <v>1055</v>
      </c>
      <c r="Q9" s="263" t="s">
        <v>1056</v>
      </c>
      <c r="R9" s="263" t="s">
        <v>1057</v>
      </c>
    </row>
    <row r="10" spans="1:19" x14ac:dyDescent="0.25">
      <c r="A10" s="5" t="str">
        <f>HYPERLINK("#'Input - Site'!A1", "Site")</f>
        <v>Site</v>
      </c>
      <c r="D10" s="95" t="s">
        <v>1058</v>
      </c>
      <c r="E10" s="270">
        <v>10</v>
      </c>
      <c r="F10" s="23" t="s">
        <v>628</v>
      </c>
      <c r="G10" s="85">
        <v>100</v>
      </c>
      <c r="H10" s="25">
        <f>Table_Input_Pesticides[[#This Row],[Amount applied per ha]]*Table_Input_Pesticides[[#This Row],[Application area (ha)]]</f>
        <v>1000</v>
      </c>
      <c r="I10" s="23" t="s">
        <v>1059</v>
      </c>
      <c r="J10" s="23" t="s">
        <v>1060</v>
      </c>
      <c r="K10" s="85">
        <v>100</v>
      </c>
      <c r="L10" s="25">
        <f>Table_Input_Pesticides[[#This Row],[Total applied]]*Table_Input_Pesticides[[#This Row],[Active ingredient 1 amount]]*IF(Table_Input_Pesticides[[#This Row],[Constituent unit (select)]]="fraction of product", 1, 10^-3)</f>
        <v>100</v>
      </c>
      <c r="M10" s="23" t="s">
        <v>1060</v>
      </c>
      <c r="N10" s="85">
        <v>100</v>
      </c>
      <c r="O10" s="25">
        <f>Table_Input_Pesticides[[#This Row],[Total applied]]*Table_Input_Pesticides[[#This Row],[Active ingredient 2 amount]]*IF(Table_Input_Pesticides[[#This Row],[Constituent unit (select)]]="fraction of product", 1, 10^-3)</f>
        <v>100</v>
      </c>
      <c r="P10" s="23" t="s">
        <v>1061</v>
      </c>
      <c r="Q10" s="85">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Dairy'!A1", "Dairy")</f>
        <v>Dairy</v>
      </c>
      <c r="D11" s="95" t="s">
        <v>1062</v>
      </c>
      <c r="E11" s="270">
        <v>10</v>
      </c>
      <c r="F11" s="23" t="s">
        <v>1063</v>
      </c>
      <c r="G11" s="85">
        <v>100</v>
      </c>
      <c r="H11" s="25">
        <f>Table_Input_Pesticides[[#This Row],[Amount applied per ha]]*Table_Input_Pesticides[[#This Row],[Application area (ha)]]</f>
        <v>1000</v>
      </c>
      <c r="I11" s="23" t="s">
        <v>1059</v>
      </c>
      <c r="J11" s="23" t="s">
        <v>1060</v>
      </c>
      <c r="K11" s="85">
        <v>100</v>
      </c>
      <c r="L11" s="25">
        <f>Table_Input_Pesticides[[#This Row],[Total applied]]*Table_Input_Pesticides[[#This Row],[Active ingredient 1 amount]]*IF(Table_Input_Pesticides[[#This Row],[Constituent unit (select)]]="fraction of product", 1, 10^-3)</f>
        <v>100</v>
      </c>
      <c r="M11" s="23" t="s">
        <v>1064</v>
      </c>
      <c r="N11" s="85">
        <v>100</v>
      </c>
      <c r="O11" s="25">
        <f>Table_Input_Pesticides[[#This Row],[Total applied]]*Table_Input_Pesticides[[#This Row],[Active ingredient 2 amount]]*IF(Table_Input_Pesticides[[#This Row],[Constituent unit (select)]]="fraction of product", 1, 10^-3)</f>
        <v>100</v>
      </c>
      <c r="P11" s="23" t="s">
        <v>1065</v>
      </c>
      <c r="Q11" s="85">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Dairy (Enteric)'!A1", "Dairy (Enteric)")</f>
        <v>Dairy (Enteric)</v>
      </c>
      <c r="D12" s="95" t="s">
        <v>1066</v>
      </c>
      <c r="E12" s="270">
        <v>10</v>
      </c>
      <c r="F12" s="23" t="s">
        <v>628</v>
      </c>
      <c r="G12" s="85">
        <v>100</v>
      </c>
      <c r="H12" s="25">
        <f>Table_Input_Pesticides[[#This Row],[Amount applied per ha]]*Table_Input_Pesticides[[#This Row],[Application area (ha)]]</f>
        <v>1000</v>
      </c>
      <c r="I12" s="23" t="s">
        <v>1059</v>
      </c>
      <c r="J12" s="23" t="s">
        <v>1060</v>
      </c>
      <c r="K12" s="85">
        <v>100</v>
      </c>
      <c r="L12" s="25">
        <f>Table_Input_Pesticides[[#This Row],[Total applied]]*Table_Input_Pesticides[[#This Row],[Active ingredient 1 amount]]*IF(Table_Input_Pesticides[[#This Row],[Constituent unit (select)]]="fraction of product", 1, 10^-3)</f>
        <v>100</v>
      </c>
      <c r="M12" s="23" t="s">
        <v>1067</v>
      </c>
      <c r="N12" s="85">
        <v>100</v>
      </c>
      <c r="O12" s="25">
        <f>Table_Input_Pesticides[[#This Row],[Total applied]]*Table_Input_Pesticides[[#This Row],[Active ingredient 2 amount]]*IF(Table_Input_Pesticides[[#This Row],[Constituent unit (select)]]="fraction of product", 1, 10^-3)</f>
        <v>100</v>
      </c>
      <c r="P12" s="23" t="s">
        <v>1068</v>
      </c>
      <c r="Q12" s="85">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Livestock sales'!A1", "Livestock sales")</f>
        <v>Livestock sales</v>
      </c>
      <c r="D13" s="95"/>
      <c r="E13" s="270"/>
      <c r="F13" s="23"/>
      <c r="G13" s="85"/>
      <c r="H13" s="25">
        <f>Table_Input_Pesticides[[#This Row],[Amount applied per ha]]*Table_Input_Pesticides[[#This Row],[Application area (ha)]]</f>
        <v>0</v>
      </c>
      <c r="I13" s="23"/>
      <c r="J13" s="23"/>
      <c r="K13" s="85"/>
      <c r="L13" s="25">
        <f>Table_Input_Pesticides[[#This Row],[Total applied]]*Table_Input_Pesticides[[#This Row],[Active ingredient 1 amount]]*IF(Table_Input_Pesticides[[#This Row],[Constituent unit (select)]]="fraction of product", 1, 10^-3)</f>
        <v>0</v>
      </c>
      <c r="M13" s="23"/>
      <c r="N13" s="85"/>
      <c r="O13" s="25">
        <f>Table_Input_Pesticides[[#This Row],[Total applied]]*Table_Input_Pesticides[[#This Row],[Active ingredient 2 amount]]*IF(Table_Input_Pesticides[[#This Row],[Constituent unit (select)]]="fraction of product", 1, 10^-3)</f>
        <v>0</v>
      </c>
      <c r="P13" s="23"/>
      <c r="Q13" s="85"/>
      <c r="R13" s="25">
        <f>Table_Input_Pesticides[[#This Row],[Total applied]]*Table_Input_Pesticides[[#This Row],[Active ingredient 3 amount]]*IF(Table_Input_Pesticides[[#This Row],[Constituent unit (select)]]="fraction of product", 1, 10^-3)</f>
        <v>0</v>
      </c>
    </row>
    <row r="14" spans="1:19" x14ac:dyDescent="0.25">
      <c r="A14" s="5" t="str">
        <f>HYPERLINK("#'Input - Dairy cattle purchases'!A1", "Dairy cattle purchases")</f>
        <v>Dairy cattle purchases</v>
      </c>
      <c r="D14" s="95"/>
      <c r="E14" s="270"/>
      <c r="F14" s="23"/>
      <c r="G14" s="85"/>
      <c r="H14" s="25">
        <f>Table_Input_Pesticides[[#This Row],[Amount applied per ha]]*Table_Input_Pesticides[[#This Row],[Application area (ha)]]</f>
        <v>0</v>
      </c>
      <c r="I14" s="23"/>
      <c r="J14" s="23"/>
      <c r="K14" s="85"/>
      <c r="L14" s="25">
        <f>Table_Input_Pesticides[[#This Row],[Total applied]]*Table_Input_Pesticides[[#This Row],[Active ingredient 1 amount]]*IF(Table_Input_Pesticides[[#This Row],[Constituent unit (select)]]="fraction of product", 1, 10^-3)</f>
        <v>0</v>
      </c>
      <c r="M14" s="23"/>
      <c r="N14" s="85"/>
      <c r="O14" s="25">
        <f>Table_Input_Pesticides[[#This Row],[Total applied]]*Table_Input_Pesticides[[#This Row],[Active ingredient 2 amount]]*IF(Table_Input_Pesticides[[#This Row],[Constituent unit (select)]]="fraction of product", 1, 10^-3)</f>
        <v>0</v>
      </c>
      <c r="P14" s="23"/>
      <c r="Q14" s="85"/>
      <c r="R14" s="25">
        <f>Table_Input_Pesticides[[#This Row],[Total applied]]*Table_Input_Pesticides[[#This Row],[Active ingredient 3 amount]]*IF(Table_Input_Pesticides[[#This Row],[Constituent unit (select)]]="fraction of product", 1, 10^-3)</f>
        <v>0</v>
      </c>
    </row>
    <row r="15" spans="1:19" x14ac:dyDescent="0.25">
      <c r="A15" s="5" t="str">
        <f>HYPERLINK("#'Input - Pasture'!A1", "Pasture")</f>
        <v>Pasture</v>
      </c>
      <c r="D15" s="95"/>
      <c r="E15" s="270"/>
      <c r="F15" s="23"/>
      <c r="G15" s="85"/>
      <c r="H15" s="25">
        <f>Table_Input_Pesticides[[#This Row],[Amount applied per ha]]*Table_Input_Pesticides[[#This Row],[Application area (ha)]]</f>
        <v>0</v>
      </c>
      <c r="I15" s="23"/>
      <c r="J15" s="23"/>
      <c r="K15" s="85"/>
      <c r="L15" s="25">
        <f>Table_Input_Pesticides[[#This Row],[Total applied]]*Table_Input_Pesticides[[#This Row],[Active ingredient 1 amount]]*IF(Table_Input_Pesticides[[#This Row],[Constituent unit (select)]]="fraction of product", 1, 10^-3)</f>
        <v>0</v>
      </c>
      <c r="M15" s="23"/>
      <c r="N15" s="85"/>
      <c r="O15" s="25">
        <f>Table_Input_Pesticides[[#This Row],[Total applied]]*Table_Input_Pesticides[[#This Row],[Active ingredient 2 amount]]*IF(Table_Input_Pesticides[[#This Row],[Constituent unit (select)]]="fraction of product", 1, 10^-3)</f>
        <v>0</v>
      </c>
      <c r="P15" s="23"/>
      <c r="Q15" s="85"/>
      <c r="R15" s="25">
        <f>Table_Input_Pesticides[[#This Row],[Total applied]]*Table_Input_Pesticides[[#This Row],[Active ingredient 3 amount]]*IF(Table_Input_Pesticides[[#This Row],[Constituent unit (select)]]="fraction of product", 1, 10^-3)</f>
        <v>0</v>
      </c>
    </row>
    <row r="16" spans="1:19" x14ac:dyDescent="0.25">
      <c r="A16" s="5" t="str">
        <f>HYPERLINK("#'Input - Fert Prod System'!A1", "Fert Prod System")</f>
        <v>Fert Prod System</v>
      </c>
      <c r="D16" s="95"/>
      <c r="E16" s="270"/>
      <c r="F16" s="23"/>
      <c r="G16" s="85"/>
      <c r="H16" s="25">
        <f>Table_Input_Pesticides[[#This Row],[Amount applied per ha]]*Table_Input_Pesticides[[#This Row],[Application area (ha)]]</f>
        <v>0</v>
      </c>
      <c r="I16" s="23"/>
      <c r="J16" s="23"/>
      <c r="K16" s="85"/>
      <c r="L16" s="25">
        <f>Table_Input_Pesticides[[#This Row],[Total applied]]*Table_Input_Pesticides[[#This Row],[Active ingredient 1 amount]]*IF(Table_Input_Pesticides[[#This Row],[Constituent unit (select)]]="fraction of product", 1, 10^-3)</f>
        <v>0</v>
      </c>
      <c r="M16" s="23"/>
      <c r="N16" s="85"/>
      <c r="O16" s="25">
        <f>Table_Input_Pesticides[[#This Row],[Total applied]]*Table_Input_Pesticides[[#This Row],[Active ingredient 2 amount]]*IF(Table_Input_Pesticides[[#This Row],[Constituent unit (select)]]="fraction of product", 1, 10^-3)</f>
        <v>0</v>
      </c>
      <c r="P16" s="23"/>
      <c r="Q16" s="85"/>
      <c r="R16" s="25">
        <f>Table_Input_Pesticides[[#This Row],[Total applied]]*Table_Input_Pesticides[[#This Row],[Active ingredient 3 amount]]*IF(Table_Input_Pesticides[[#This Row],[Constituent unit (select)]]="fraction of product", 1, 10^-3)</f>
        <v>0</v>
      </c>
    </row>
    <row r="17" spans="1:18" x14ac:dyDescent="0.25">
      <c r="A17" s="5" t="str">
        <f>HYPERLINK("#'Input - Fertiliser'!A1", "Fertiliser")</f>
        <v>Fertiliser</v>
      </c>
      <c r="D17" s="95"/>
      <c r="E17" s="270"/>
      <c r="F17" s="23"/>
      <c r="G17" s="85"/>
      <c r="H17" s="25">
        <f>Table_Input_Pesticides[[#This Row],[Amount applied per ha]]*Table_Input_Pesticides[[#This Row],[Application area (ha)]]</f>
        <v>0</v>
      </c>
      <c r="I17" s="23"/>
      <c r="J17" s="23"/>
      <c r="K17" s="85"/>
      <c r="L17" s="25">
        <f>Table_Input_Pesticides[[#This Row],[Total applied]]*Table_Input_Pesticides[[#This Row],[Active ingredient 1 amount]]*IF(Table_Input_Pesticides[[#This Row],[Constituent unit (select)]]="fraction of product", 1, 10^-3)</f>
        <v>0</v>
      </c>
      <c r="M17" s="23"/>
      <c r="N17" s="85"/>
      <c r="O17" s="25">
        <f>Table_Input_Pesticides[[#This Row],[Total applied]]*Table_Input_Pesticides[[#This Row],[Active ingredient 2 amount]]*IF(Table_Input_Pesticides[[#This Row],[Constituent unit (select)]]="fraction of product", 1, 10^-3)</f>
        <v>0</v>
      </c>
      <c r="P17" s="23"/>
      <c r="Q17" s="85"/>
      <c r="R17" s="25">
        <f>Table_Input_Pesticides[[#This Row],[Total applied]]*Table_Input_Pesticides[[#This Row],[Active ingredient 3 amount]]*IF(Table_Input_Pesticides[[#This Row],[Constituent unit (select)]]="fraction of product", 1, 10^-3)</f>
        <v>0</v>
      </c>
    </row>
    <row r="18" spans="1:18" x14ac:dyDescent="0.25">
      <c r="A18" s="5" t="str">
        <f>HYPERLINK("#'Input - Fuel'!A1", "Fuel")</f>
        <v>Fuel</v>
      </c>
      <c r="D18" s="95"/>
      <c r="E18" s="270"/>
      <c r="F18" s="23"/>
      <c r="G18" s="85"/>
      <c r="H18" s="25">
        <f>Table_Input_Pesticides[[#This Row],[Amount applied per ha]]*Table_Input_Pesticides[[#This Row],[Application area (ha)]]</f>
        <v>0</v>
      </c>
      <c r="I18" s="23"/>
      <c r="J18" s="23"/>
      <c r="K18" s="85"/>
      <c r="L18" s="25">
        <f>Table_Input_Pesticides[[#This Row],[Total applied]]*Table_Input_Pesticides[[#This Row],[Active ingredient 1 amount]]*IF(Table_Input_Pesticides[[#This Row],[Constituent unit (select)]]="fraction of product", 1, 10^-3)</f>
        <v>0</v>
      </c>
      <c r="M18" s="23"/>
      <c r="N18" s="85"/>
      <c r="O18" s="25">
        <f>Table_Input_Pesticides[[#This Row],[Total applied]]*Table_Input_Pesticides[[#This Row],[Active ingredient 2 amount]]*IF(Table_Input_Pesticides[[#This Row],[Constituent unit (select)]]="fraction of product", 1, 10^-3)</f>
        <v>0</v>
      </c>
      <c r="P18" s="23"/>
      <c r="Q18" s="85"/>
      <c r="R18" s="25">
        <f>Table_Input_Pesticides[[#This Row],[Total applied]]*Table_Input_Pesticides[[#This Row],[Active ingredient 3 amount]]*IF(Table_Input_Pesticides[[#This Row],[Constituent unit (select)]]="fraction of product", 1, 10^-3)</f>
        <v>0</v>
      </c>
    </row>
    <row r="19" spans="1:18" x14ac:dyDescent="0.25">
      <c r="A19" s="5" t="str">
        <f>HYPERLINK("#'Input - Electricity'!A1", "Electricity")</f>
        <v>Electricity</v>
      </c>
      <c r="D19" s="95"/>
      <c r="E19" s="270"/>
      <c r="F19" s="23"/>
      <c r="G19" s="85"/>
      <c r="H19" s="25">
        <f>Table_Input_Pesticides[[#This Row],[Amount applied per ha]]*Table_Input_Pesticides[[#This Row],[Application area (ha)]]</f>
        <v>0</v>
      </c>
      <c r="I19" s="23"/>
      <c r="J19" s="23"/>
      <c r="K19" s="85"/>
      <c r="L19" s="25">
        <f>Table_Input_Pesticides[[#This Row],[Total applied]]*Table_Input_Pesticides[[#This Row],[Active ingredient 1 amount]]*IF(Table_Input_Pesticides[[#This Row],[Constituent unit (select)]]="fraction of product", 1, 10^-3)</f>
        <v>0</v>
      </c>
      <c r="M19" s="23"/>
      <c r="N19" s="85"/>
      <c r="O19" s="25">
        <f>Table_Input_Pesticides[[#This Row],[Total applied]]*Table_Input_Pesticides[[#This Row],[Active ingredient 2 amount]]*IF(Table_Input_Pesticides[[#This Row],[Constituent unit (select)]]="fraction of product", 1, 10^-3)</f>
        <v>0</v>
      </c>
      <c r="P19" s="23"/>
      <c r="Q19" s="85"/>
      <c r="R19" s="25">
        <f>Table_Input_Pesticides[[#This Row],[Total applied]]*Table_Input_Pesticides[[#This Row],[Active ingredient 3 amount]]*IF(Table_Input_Pesticides[[#This Row],[Constituent unit (select)]]="fraction of product", 1, 10^-3)</f>
        <v>0</v>
      </c>
    </row>
    <row r="20" spans="1:18" x14ac:dyDescent="0.25">
      <c r="A20" s="5" t="str">
        <f>HYPERLINK("#'Input - Common farm inputs'!A1", "Common farm inputs")</f>
        <v>Common farm inputs</v>
      </c>
    </row>
    <row r="21" spans="1:18" x14ac:dyDescent="0.25">
      <c r="A21" s="98" t="str">
        <f>HYPERLINK("#'Input - Crop pasture farm input'!A1", "Crop pasture farm input")</f>
        <v>Crop pasture farm input</v>
      </c>
    </row>
    <row r="22" spans="1:18" ht="23.25" x14ac:dyDescent="0.25">
      <c r="A22" s="5" t="str">
        <f>HYPERLINK("#'Input - Livestock farm Inputs'!A1", "Livestock farm Inputs")</f>
        <v>Livestock farm Inputs</v>
      </c>
      <c r="D22" s="2" t="s">
        <v>1069</v>
      </c>
      <c r="E22" s="262"/>
      <c r="F22" s="262"/>
    </row>
    <row r="23" spans="1:18" x14ac:dyDescent="0.25">
      <c r="A23" s="5" t="str">
        <f>HYPERLINK("#'Input - Freight'!A1", "Freight")</f>
        <v>Freight</v>
      </c>
      <c r="D23" s="1" t="str">
        <f>'Constants - Scope 3'!E204</f>
        <v>Barley grain (for seed)</v>
      </c>
      <c r="E23" s="85">
        <v>500</v>
      </c>
      <c r="F23" s="26" t="s">
        <v>630</v>
      </c>
    </row>
    <row r="24" spans="1:18" x14ac:dyDescent="0.25">
      <c r="A24" s="5" t="str">
        <f>HYPERLINK("#'Input - Manure sent off-site'!A1", "Manure sent off-site")</f>
        <v>Manure sent off-site</v>
      </c>
      <c r="D24" s="1" t="str">
        <f>'Constants - Scope 3'!E205</f>
        <v>Maize grain (for seed)</v>
      </c>
      <c r="E24" s="85">
        <v>600</v>
      </c>
      <c r="F24" s="26" t="s">
        <v>630</v>
      </c>
    </row>
    <row r="25" spans="1:18" x14ac:dyDescent="0.25">
      <c r="A25" s="5" t="str">
        <f>HYPERLINK("#'Input - Solid waste'!A1", "Solid waste")</f>
        <v>Solid waste</v>
      </c>
      <c r="D25" s="1" t="str">
        <f>'Constants - Scope 3'!E207</f>
        <v>Oat grain (for seed)</v>
      </c>
      <c r="E25" s="85">
        <v>700</v>
      </c>
      <c r="F25" s="26" t="s">
        <v>630</v>
      </c>
    </row>
    <row r="26" spans="1:18" x14ac:dyDescent="0.25">
      <c r="A26" s="5" t="str">
        <f>HYPERLINK("#'Input - Data quality'!A1", "Data quality")</f>
        <v>Data quality</v>
      </c>
      <c r="D26" s="1" t="str">
        <f>'Constants - Scope 3'!E208</f>
        <v>Sorghum grain (for seed)</v>
      </c>
      <c r="E26" s="85">
        <v>800</v>
      </c>
      <c r="F26" s="26" t="s">
        <v>630</v>
      </c>
    </row>
    <row r="27" spans="1:18" x14ac:dyDescent="0.25">
      <c r="A27"/>
      <c r="D27" s="1" t="str">
        <f>'Constants - Scope 3'!E209</f>
        <v>Wheat grain (for seed)</v>
      </c>
      <c r="E27" s="85">
        <v>900</v>
      </c>
      <c r="F27" s="26" t="s">
        <v>630</v>
      </c>
    </row>
    <row r="28" spans="1:18" x14ac:dyDescent="0.25">
      <c r="A28"/>
    </row>
    <row r="29" spans="1:18" x14ac:dyDescent="0.25">
      <c r="A29" s="6" t="s">
        <v>2</v>
      </c>
    </row>
    <row r="30" spans="1:18" x14ac:dyDescent="0.25">
      <c r="A30" s="5" t="str">
        <f>HYPERLINK("#'5.1.1.1-2 Inorganic fert N2O'!A1", "5.1.1.1-2 Inorganic fert N2O")</f>
        <v>5.1.1.1-2 Inorganic fert N2O</v>
      </c>
    </row>
    <row r="31" spans="1:18" x14ac:dyDescent="0.25">
      <c r="A31" s="5" t="str">
        <f>HYPERLINK("#'5.1.1.3-4 Inorganic fert CO2'!A1", "5.1.1.3-4 Inorganic fert CO2")</f>
        <v>5.1.1.3-4 Inorganic fert CO2</v>
      </c>
    </row>
    <row r="32" spans="1:18"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891AD6D2-1B0D-4CEC-95FE-3FEC910333C5}">
      <formula1>INDIRECT("Table_SourceData_Scope3_Pesticides[Product]")</formula1>
    </dataValidation>
    <dataValidation type="list" allowBlank="1" showInputMessage="1" showErrorMessage="1" sqref="I10:I19" xr:uid="{C0E822CE-54AE-4754-AE22-C9BE0984FD04}">
      <formula1>"grams/litre or grams/kg, fraction of product"</formula1>
    </dataValidation>
    <dataValidation type="list" allowBlank="1" showInputMessage="1" showErrorMessage="1" sqref="F10:F19" xr:uid="{84EE4A61-EC70-4D98-8665-17F4C2E0617F}">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17C6B-D9AF-46F3-85E4-680784317FE0}">
  <sheetPr>
    <tabColor theme="5" tint="-0.249977111117893"/>
  </sheetPr>
  <dimension ref="A1:R160"/>
  <sheetViews>
    <sheetView showGridLines="0" topLeftCell="A3"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7" width="35" style="1" customWidth="1"/>
    <col min="18" max="18" width="5.28515625" style="1" customWidth="1"/>
    <col min="19" max="16384" width="9.140625" style="261"/>
  </cols>
  <sheetData>
    <row r="1" spans="1:18" s="16" customFormat="1" ht="25.5" x14ac:dyDescent="0.35">
      <c r="C1" s="16" t="s">
        <v>1070</v>
      </c>
    </row>
    <row r="2" spans="1:18" s="3" customFormat="1" ht="20.100000000000001" customHeight="1" x14ac:dyDescent="0.25">
      <c r="A2"/>
    </row>
    <row r="3" spans="1:18" ht="20.100000000000001" customHeight="1" x14ac:dyDescent="0.25">
      <c r="A3" s="5" t="str">
        <f>HYPERLINK("#'Home'!A1", "Home")</f>
        <v>Home</v>
      </c>
      <c r="C3" s="38"/>
      <c r="D3" s="38"/>
      <c r="E3" s="38"/>
      <c r="F3" s="38"/>
      <c r="G3" s="38"/>
      <c r="H3" s="38"/>
      <c r="I3" s="38"/>
      <c r="J3" s="38"/>
      <c r="K3" s="38"/>
      <c r="L3" s="38"/>
      <c r="M3" s="38"/>
      <c r="N3" s="38"/>
      <c r="O3" s="38"/>
      <c r="P3" s="38"/>
      <c r="Q3" s="38"/>
      <c r="R3" s="38"/>
    </row>
    <row r="4" spans="1:18" ht="20.100000000000001" customHeight="1" x14ac:dyDescent="0.25">
      <c r="A4" s="5" t="str">
        <f>HYPERLINK("#'Overview'!A1", "Overview")</f>
        <v>Overview</v>
      </c>
    </row>
    <row r="5" spans="1:18" ht="20.100000000000001" customHeight="1" x14ac:dyDescent="0.25">
      <c r="A5" s="5" t="str">
        <f>HYPERLINK("#'Results'!A1", "Results")</f>
        <v>Results</v>
      </c>
      <c r="D5" s="2" t="s">
        <v>1071</v>
      </c>
      <c r="E5" s="262"/>
      <c r="F5" s="262"/>
      <c r="G5" s="262"/>
      <c r="H5" s="262"/>
      <c r="I5" s="262"/>
      <c r="J5" s="262"/>
    </row>
    <row r="6" spans="1:18" ht="20.100000000000001" customHeight="1" x14ac:dyDescent="0.25">
      <c r="A6"/>
      <c r="D6" s="267" t="s">
        <v>1072</v>
      </c>
      <c r="E6" s="271"/>
      <c r="F6" s="272"/>
      <c r="G6" s="262"/>
      <c r="H6" s="262"/>
      <c r="I6" s="262"/>
      <c r="J6" s="262"/>
    </row>
    <row r="7" spans="1:18" ht="20.100000000000001" customHeight="1" x14ac:dyDescent="0.25">
      <c r="A7"/>
      <c r="D7" s="1" t="str" cm="1">
        <f t="array" ref="D7:D9">Table_SourceData_Scope3_LickBlocks[Product]</f>
        <v>Lick block, dry season mix</v>
      </c>
      <c r="E7" s="85">
        <v>100</v>
      </c>
      <c r="F7" s="26" t="s">
        <v>630</v>
      </c>
      <c r="G7" s="262"/>
      <c r="H7" s="262"/>
      <c r="I7" s="262"/>
      <c r="J7" s="262"/>
    </row>
    <row r="8" spans="1:18" ht="20.100000000000001" customHeight="1" x14ac:dyDescent="0.25">
      <c r="A8" s="7" t="s">
        <v>0</v>
      </c>
      <c r="D8" s="1" t="str">
        <v>Lick block, mineral</v>
      </c>
      <c r="E8" s="85">
        <v>100</v>
      </c>
      <c r="F8" s="26" t="s">
        <v>630</v>
      </c>
      <c r="G8" s="262"/>
      <c r="H8" s="262"/>
      <c r="I8" s="262"/>
      <c r="J8" s="262"/>
    </row>
    <row r="9" spans="1:18" ht="20.100000000000001" customHeight="1" x14ac:dyDescent="0.25">
      <c r="A9" s="5" t="str">
        <f>HYPERLINK("#'Input - Enterprise'!A1", "Enterprise")</f>
        <v>Enterprise</v>
      </c>
      <c r="D9" s="1" t="str">
        <v>Lick block, weaner</v>
      </c>
      <c r="E9" s="85">
        <v>100</v>
      </c>
      <c r="F9" s="26" t="s">
        <v>630</v>
      </c>
      <c r="G9" s="262"/>
      <c r="H9" s="262"/>
      <c r="I9" s="262"/>
      <c r="J9" s="262"/>
    </row>
    <row r="10" spans="1:18" ht="20.100000000000001" customHeight="1" x14ac:dyDescent="0.25">
      <c r="A10" s="5" t="str">
        <f>HYPERLINK("#'Input - Site'!A1", "Site")</f>
        <v>Site</v>
      </c>
      <c r="G10" s="262"/>
      <c r="H10" s="262"/>
      <c r="I10" s="262"/>
      <c r="J10" s="262"/>
    </row>
    <row r="11" spans="1:18" ht="20.100000000000001" customHeight="1" x14ac:dyDescent="0.25">
      <c r="A11" s="5" t="str">
        <f>HYPERLINK("#'Input - Dairy'!A1", "Dairy")</f>
        <v>Dairy</v>
      </c>
      <c r="D11" s="267" t="s">
        <v>1073</v>
      </c>
      <c r="E11" s="34"/>
      <c r="F11" s="34"/>
      <c r="G11" s="262"/>
      <c r="H11" s="262"/>
      <c r="I11" s="262"/>
      <c r="J11" s="262"/>
    </row>
    <row r="12" spans="1:18" ht="20.100000000000001" customHeight="1" x14ac:dyDescent="0.25">
      <c r="A12" s="5" t="str">
        <f>HYPERLINK("#'Input - Dairy (Enteric)'!A1", "Dairy (Enteric)")</f>
        <v>Dairy (Enteric)</v>
      </c>
      <c r="D12" s="1" t="str" cm="1">
        <f t="array" ref="D12:D15">Table_SourceData_Scope3_MixedRations[Product]</f>
        <v>Feed for chickens</v>
      </c>
      <c r="E12" s="85">
        <v>100</v>
      </c>
      <c r="F12" s="26" t="s">
        <v>630</v>
      </c>
      <c r="G12" s="262"/>
      <c r="H12" s="262"/>
      <c r="I12" s="262"/>
      <c r="J12" s="262"/>
    </row>
    <row r="13" spans="1:18" ht="20.100000000000001" customHeight="1" x14ac:dyDescent="0.25">
      <c r="A13" s="5" t="str">
        <f>HYPERLINK("#'Input - Livestock sales'!A1", "Livestock sales")</f>
        <v>Livestock sales</v>
      </c>
      <c r="D13" s="1" t="str">
        <v>Feed for dairy calves</v>
      </c>
      <c r="E13" s="85">
        <v>100</v>
      </c>
      <c r="F13" s="26" t="s">
        <v>630</v>
      </c>
      <c r="G13" s="262"/>
      <c r="H13" s="262"/>
      <c r="I13" s="262"/>
      <c r="J13" s="262"/>
    </row>
    <row r="14" spans="1:18" ht="20.100000000000001" customHeight="1" x14ac:dyDescent="0.25">
      <c r="A14" s="5" t="str">
        <f>HYPERLINK("#'Input - Dairy cattle purchases'!A1", "Dairy cattle purchases")</f>
        <v>Dairy cattle purchases</v>
      </c>
      <c r="D14" s="1" t="str">
        <v>Feed for dairy cows</v>
      </c>
      <c r="E14" s="85">
        <v>100</v>
      </c>
      <c r="F14" s="26" t="s">
        <v>630</v>
      </c>
      <c r="G14" s="262"/>
      <c r="H14" s="262"/>
      <c r="I14" s="262"/>
      <c r="J14" s="262"/>
    </row>
    <row r="15" spans="1:18" ht="20.100000000000001" customHeight="1" x14ac:dyDescent="0.25">
      <c r="A15" s="5" t="str">
        <f>HYPERLINK("#'Input - Pasture'!A1", "Pasture")</f>
        <v>Pasture</v>
      </c>
      <c r="D15" s="1" t="str">
        <v>Feed for pigs</v>
      </c>
      <c r="E15" s="85">
        <v>100</v>
      </c>
      <c r="F15" s="26" t="s">
        <v>630</v>
      </c>
      <c r="G15" s="262"/>
      <c r="H15" s="262"/>
      <c r="I15" s="262"/>
      <c r="J15" s="262"/>
    </row>
    <row r="16" spans="1:18" ht="20.100000000000001" customHeight="1" x14ac:dyDescent="0.25">
      <c r="A16" s="5" t="str">
        <f>HYPERLINK("#'Input - Fert Prod System'!A1", "Fert Prod System")</f>
        <v>Fert Prod System</v>
      </c>
      <c r="D16" s="34"/>
      <c r="E16" s="34"/>
      <c r="F16" s="34"/>
      <c r="G16" s="262"/>
      <c r="H16" s="262"/>
      <c r="I16" s="262"/>
      <c r="J16" s="262"/>
    </row>
    <row r="17" spans="1:17" ht="20.100000000000001" customHeight="1" x14ac:dyDescent="0.25">
      <c r="A17" s="5" t="str">
        <f>HYPERLINK("#'Input - Fertiliser'!A1", "Fertiliser")</f>
        <v>Fertiliser</v>
      </c>
      <c r="D17" s="267" t="s">
        <v>1074</v>
      </c>
      <c r="E17" s="34"/>
      <c r="F17" s="34"/>
      <c r="G17" s="262"/>
      <c r="H17" s="262" t="s">
        <v>1075</v>
      </c>
      <c r="I17" s="262"/>
      <c r="J17" s="262"/>
    </row>
    <row r="18" spans="1:17" ht="20.100000000000001" customHeight="1" x14ac:dyDescent="0.25">
      <c r="A18" s="5" t="str">
        <f>HYPERLINK("#'Input - Fuel'!A1", "Fuel")</f>
        <v>Fuel</v>
      </c>
      <c r="D18" s="210" t="s">
        <v>1076</v>
      </c>
      <c r="E18" s="210" t="s">
        <v>1077</v>
      </c>
      <c r="F18" s="210" t="s">
        <v>583</v>
      </c>
      <c r="G18" s="210" t="s">
        <v>1078</v>
      </c>
      <c r="H18" s="210" t="s">
        <v>561</v>
      </c>
      <c r="I18" s="210" t="s">
        <v>1079</v>
      </c>
      <c r="J18" s="210" t="s">
        <v>1080</v>
      </c>
      <c r="K18" s="210" t="s">
        <v>563</v>
      </c>
      <c r="L18" s="210" t="s">
        <v>1081</v>
      </c>
      <c r="M18" s="210" t="s">
        <v>1082</v>
      </c>
      <c r="N18" s="210" t="s">
        <v>565</v>
      </c>
      <c r="O18" s="210" t="s">
        <v>1083</v>
      </c>
      <c r="P18" s="210" t="s">
        <v>1084</v>
      </c>
      <c r="Q18" s="210" t="s">
        <v>567</v>
      </c>
    </row>
    <row r="19" spans="1:17" ht="20.100000000000001" customHeight="1" x14ac:dyDescent="0.25">
      <c r="A19" s="5" t="str">
        <f>HYPERLINK("#'Input - Electricity'!A1", "Electricity")</f>
        <v>Electricity</v>
      </c>
      <c r="D19" s="36"/>
      <c r="E19" s="273">
        <v>1200</v>
      </c>
      <c r="F19" s="23" t="s">
        <v>1085</v>
      </c>
      <c r="G19" s="23" t="s">
        <v>519</v>
      </c>
      <c r="H19" s="211">
        <v>0.35</v>
      </c>
      <c r="I19" s="23" t="s">
        <v>1086</v>
      </c>
      <c r="J19" s="23" t="s">
        <v>519</v>
      </c>
      <c r="K19" s="211">
        <v>0.22</v>
      </c>
      <c r="L19" s="23" t="s">
        <v>1087</v>
      </c>
      <c r="M19" s="23" t="s">
        <v>1088</v>
      </c>
      <c r="N19" s="211">
        <v>0.12</v>
      </c>
      <c r="O19" s="23" t="s">
        <v>1089</v>
      </c>
      <c r="P19" s="23" t="s">
        <v>518</v>
      </c>
      <c r="Q19" s="211">
        <v>0.05</v>
      </c>
    </row>
    <row r="20" spans="1:17" ht="20.100000000000001" customHeight="1" x14ac:dyDescent="0.25">
      <c r="A20" s="5" t="str">
        <f>HYPERLINK("#'Input - Common farm inputs'!A1", "Common farm inputs")</f>
        <v>Common farm inputs</v>
      </c>
      <c r="D20" s="36"/>
      <c r="E20" s="273">
        <v>3456</v>
      </c>
      <c r="F20" s="23" t="s">
        <v>1090</v>
      </c>
      <c r="G20" s="23" t="s">
        <v>522</v>
      </c>
      <c r="H20" s="211">
        <v>0.2</v>
      </c>
      <c r="I20" s="23" t="s">
        <v>1090</v>
      </c>
      <c r="J20" s="23" t="s">
        <v>516</v>
      </c>
      <c r="K20" s="211">
        <v>0.2</v>
      </c>
      <c r="L20" s="23"/>
      <c r="M20" s="23"/>
      <c r="N20" s="211"/>
      <c r="O20" s="23"/>
      <c r="P20" s="23"/>
      <c r="Q20" s="211"/>
    </row>
    <row r="21" spans="1:17" ht="20.100000000000001" customHeight="1" x14ac:dyDescent="0.25">
      <c r="A21" s="5" t="str">
        <f>HYPERLINK("#'Input - Crop pasture farm input'!A1", "Crop pasture farm input")</f>
        <v>Crop pasture farm input</v>
      </c>
      <c r="D21" s="36" t="s">
        <v>1091</v>
      </c>
      <c r="E21" s="273">
        <v>300</v>
      </c>
      <c r="F21" s="23" t="s">
        <v>1092</v>
      </c>
      <c r="G21" s="23" t="s">
        <v>521</v>
      </c>
      <c r="H21" s="211">
        <v>0.8</v>
      </c>
      <c r="I21" s="23" t="s">
        <v>1093</v>
      </c>
      <c r="J21" s="23" t="s">
        <v>1094</v>
      </c>
      <c r="K21" s="211">
        <v>0.2</v>
      </c>
      <c r="L21" s="23"/>
      <c r="M21" s="23"/>
      <c r="N21" s="211"/>
      <c r="O21" s="23"/>
      <c r="P21" s="23"/>
      <c r="Q21" s="211"/>
    </row>
    <row r="22" spans="1:17" ht="20.100000000000001" customHeight="1" x14ac:dyDescent="0.25">
      <c r="A22" s="98" t="str">
        <f>HYPERLINK("#'Input - Livestock farm Inputs'!A1", "Livestock farm Inputs")</f>
        <v>Livestock farm Inputs</v>
      </c>
      <c r="D22" s="36"/>
      <c r="E22" s="273">
        <v>500</v>
      </c>
      <c r="F22" s="23" t="s">
        <v>1095</v>
      </c>
      <c r="G22" s="23" t="s">
        <v>521</v>
      </c>
      <c r="H22" s="211">
        <v>1</v>
      </c>
      <c r="I22" s="23"/>
      <c r="J22" s="23"/>
      <c r="K22" s="211"/>
      <c r="L22" s="23"/>
      <c r="M22" s="23"/>
      <c r="N22" s="211"/>
      <c r="O22" s="23"/>
      <c r="P22" s="23"/>
      <c r="Q22" s="211"/>
    </row>
    <row r="23" spans="1:17" ht="20.100000000000001" customHeight="1" x14ac:dyDescent="0.25">
      <c r="A23" s="5" t="str">
        <f>HYPERLINK("#'Input - Freight'!A1", "Freight")</f>
        <v>Freight</v>
      </c>
      <c r="D23" s="36"/>
      <c r="E23" s="273"/>
      <c r="F23" s="23"/>
      <c r="G23" s="23"/>
      <c r="H23" s="211"/>
      <c r="I23" s="23"/>
      <c r="J23" s="23"/>
      <c r="K23" s="211"/>
      <c r="L23" s="23"/>
      <c r="M23" s="23"/>
      <c r="N23" s="211"/>
      <c r="O23" s="23"/>
      <c r="P23" s="23"/>
      <c r="Q23" s="211"/>
    </row>
    <row r="24" spans="1:17" ht="20.100000000000001" customHeight="1" x14ac:dyDescent="0.25">
      <c r="A24" s="5" t="str">
        <f>HYPERLINK("#'Input - Manure sent off-site'!A1", "Manure sent off-site")</f>
        <v>Manure sent off-site</v>
      </c>
      <c r="D24" s="36"/>
      <c r="E24" s="273"/>
      <c r="F24" s="23"/>
      <c r="G24" s="23"/>
      <c r="H24" s="211"/>
      <c r="I24" s="23"/>
      <c r="J24" s="23"/>
      <c r="K24" s="211"/>
      <c r="L24" s="23"/>
      <c r="M24" s="23"/>
      <c r="N24" s="211"/>
      <c r="O24" s="23"/>
      <c r="P24" s="23"/>
      <c r="Q24" s="211"/>
    </row>
    <row r="25" spans="1:17" ht="20.100000000000001" customHeight="1" x14ac:dyDescent="0.25">
      <c r="A25" s="5" t="str">
        <f>HYPERLINK("#'Input - Solid waste'!A1", "Solid waste")</f>
        <v>Solid waste</v>
      </c>
      <c r="D25" s="36"/>
      <c r="E25" s="273"/>
      <c r="F25" s="23"/>
      <c r="G25" s="23"/>
      <c r="H25" s="211"/>
      <c r="I25" s="23"/>
      <c r="J25" s="23"/>
      <c r="K25" s="211"/>
      <c r="L25" s="23"/>
      <c r="M25" s="23"/>
      <c r="N25" s="211"/>
      <c r="O25" s="23"/>
      <c r="P25" s="23"/>
      <c r="Q25" s="211"/>
    </row>
    <row r="26" spans="1:17" ht="20.100000000000001" customHeight="1" x14ac:dyDescent="0.25">
      <c r="A26" s="5" t="str">
        <f>HYPERLINK("#'Input - Data quality'!A1", "Data quality")</f>
        <v>Data quality</v>
      </c>
      <c r="D26" s="36"/>
      <c r="E26" s="273"/>
      <c r="F26" s="23"/>
      <c r="G26" s="23"/>
      <c r="H26" s="211"/>
      <c r="I26" s="23"/>
      <c r="J26" s="23"/>
      <c r="K26" s="211"/>
      <c r="L26" s="23"/>
      <c r="M26" s="23"/>
      <c r="N26" s="211"/>
      <c r="O26" s="23"/>
      <c r="P26" s="23"/>
      <c r="Q26" s="211"/>
    </row>
    <row r="27" spans="1:17" ht="20.100000000000001" customHeight="1" x14ac:dyDescent="0.25">
      <c r="A27"/>
      <c r="D27" s="36"/>
      <c r="E27" s="273"/>
      <c r="F27" s="23"/>
      <c r="G27" s="23"/>
      <c r="H27" s="211"/>
      <c r="I27" s="23"/>
      <c r="J27" s="23"/>
      <c r="K27" s="211"/>
      <c r="L27" s="23"/>
      <c r="M27" s="23"/>
      <c r="N27" s="211"/>
      <c r="O27" s="23"/>
      <c r="P27" s="23"/>
      <c r="Q27" s="211"/>
    </row>
    <row r="28" spans="1:17" ht="20.100000000000001" customHeight="1" x14ac:dyDescent="0.25">
      <c r="A28"/>
      <c r="D28" s="36"/>
      <c r="E28" s="273"/>
      <c r="F28" s="23"/>
      <c r="G28" s="23"/>
      <c r="H28" s="211"/>
      <c r="I28" s="23"/>
      <c r="J28" s="23"/>
      <c r="K28" s="211"/>
      <c r="L28" s="23"/>
      <c r="M28" s="23"/>
      <c r="N28" s="211"/>
      <c r="O28" s="23"/>
      <c r="P28" s="23"/>
      <c r="Q28" s="211"/>
    </row>
    <row r="29" spans="1:17" ht="20.100000000000001" customHeight="1" x14ac:dyDescent="0.25">
      <c r="A29" s="6" t="s">
        <v>2</v>
      </c>
    </row>
    <row r="30" spans="1:17" ht="20.100000000000001" customHeight="1" x14ac:dyDescent="0.25">
      <c r="A30" s="5" t="str">
        <f>HYPERLINK("#'5.1.1.1-2 Inorganic fert N2O'!A1", "5.1.1.1-2 Inorganic fert N2O")</f>
        <v>5.1.1.1-2 Inorganic fert N2O</v>
      </c>
    </row>
    <row r="31" spans="1:17" ht="20.100000000000001" customHeight="1" x14ac:dyDescent="0.25">
      <c r="A31" s="5" t="str">
        <f>HYPERLINK("#'5.1.1.3-4 Inorganic fert CO2'!A1", "5.1.1.3-4 Inorganic fert CO2")</f>
        <v>5.1.1.3-4 Inorganic fert CO2</v>
      </c>
      <c r="D31" s="267" t="s">
        <v>1096</v>
      </c>
    </row>
    <row r="32" spans="1:17" ht="20.100000000000001" customHeight="1" x14ac:dyDescent="0.25">
      <c r="A32" s="5" t="str">
        <f>HYPERLINK("#'5.2.1.1-2 Organic Fert N2O'!A1", "5.2.1.1-2 Organic fert N2O")</f>
        <v>5.2.1.1-2 Organic fert N2O</v>
      </c>
      <c r="D32" s="94" t="s">
        <v>1019</v>
      </c>
      <c r="E32" s="94" t="s">
        <v>1020</v>
      </c>
      <c r="F32" s="94" t="s">
        <v>1097</v>
      </c>
    </row>
    <row r="33" spans="1:6" ht="20.100000000000001" customHeight="1" x14ac:dyDescent="0.25">
      <c r="A33" s="5" t="str">
        <f>HYPERLINK("#'5.3.1.1-2 Lime CO2'!A1", "5.3.1.1-2 Lime CO2")</f>
        <v>5.3.1.1-2 Lime CO2</v>
      </c>
      <c r="D33" s="43" t="s">
        <v>1098</v>
      </c>
      <c r="E33" s="158" t="s">
        <v>1099</v>
      </c>
      <c r="F33" s="85">
        <v>100</v>
      </c>
    </row>
    <row r="34" spans="1:6" ht="20.100000000000001" customHeight="1" x14ac:dyDescent="0.25">
      <c r="A34" s="5" t="str">
        <f>HYPERLINK("#'5.4.1.1-4 Atmos deposition'!A1", "5.4.1.1-4 Atmos. deposition")</f>
        <v>5.4.1.1-4 Atmos. deposition</v>
      </c>
      <c r="D34" s="43" t="s">
        <v>1100</v>
      </c>
      <c r="E34" s="274" t="s">
        <v>1101</v>
      </c>
      <c r="F34" s="264">
        <v>100</v>
      </c>
    </row>
    <row r="35" spans="1:6" ht="20.100000000000001" customHeight="1" x14ac:dyDescent="0.25">
      <c r="A35" s="5" t="str">
        <f>HYPERLINK("#'5.5.1.1-2 Leaching and runoff'!A1", "5.5.1.1-2 Leaching &amp; runoff")</f>
        <v>5.5.1.1-2 Leaching &amp; runoff</v>
      </c>
      <c r="D35" s="43" t="s">
        <v>1102</v>
      </c>
      <c r="E35" s="274" t="s">
        <v>1103</v>
      </c>
      <c r="F35" s="264">
        <v>100</v>
      </c>
    </row>
    <row r="36" spans="1:6" ht="20.100000000000001" customHeight="1" x14ac:dyDescent="0.25">
      <c r="A36" s="5" t="str">
        <f>HYPERLINK("#'6.2.1.1-2 Pasture residue N2O'!A1", "6.2.1.1-2 Pasture residue N2O")</f>
        <v>6.2.1.1-2 Pasture residue N2O</v>
      </c>
      <c r="D36" s="43" t="s">
        <v>1104</v>
      </c>
      <c r="E36" s="274" t="s">
        <v>1105</v>
      </c>
      <c r="F36" s="264">
        <v>100</v>
      </c>
    </row>
    <row r="37" spans="1:6" ht="20.100000000000001" customHeight="1" x14ac:dyDescent="0.25">
      <c r="A37" s="5" t="str">
        <f>HYPERLINK("#'6.3.1.1-2 Leach runoff pasture'!A1", "6.3.1.1-2 Leach &amp; runoff (pasture)")</f>
        <v>6.3.1.1-2 Leach &amp; runoff (pasture)</v>
      </c>
      <c r="D37" s="43" t="s">
        <v>1098</v>
      </c>
      <c r="E37" s="274" t="s">
        <v>1099</v>
      </c>
      <c r="F37" s="264">
        <v>100</v>
      </c>
    </row>
    <row r="38" spans="1:6" ht="20.100000000000001" customHeight="1" x14ac:dyDescent="0.25">
      <c r="A38" s="5" t="str">
        <f>HYPERLINK("#'8.1.1.1-2 Transport fuel'!A1", "8.1.1.1-2 Transport fuel")</f>
        <v>8.1.1.1-2 Transport fuel</v>
      </c>
      <c r="D38" s="43" t="s">
        <v>1100</v>
      </c>
      <c r="E38" s="274" t="s">
        <v>1101</v>
      </c>
      <c r="F38" s="264">
        <v>100</v>
      </c>
    </row>
    <row r="39" spans="1:6" ht="20.100000000000001" customHeight="1" x14ac:dyDescent="0.25">
      <c r="A39" s="5" t="str">
        <f>HYPERLINK("#'8.2.1.1-2 Stationary fuel'!A1", "8.2.1.1-2 Stationary fuel")</f>
        <v>8.2.1.1-2 Stationary fuel</v>
      </c>
      <c r="D39" s="43"/>
      <c r="E39" s="158"/>
      <c r="F39" s="85"/>
    </row>
    <row r="40" spans="1:6" ht="20.100000000000001" customHeight="1" x14ac:dyDescent="0.25">
      <c r="A40" s="5" t="str">
        <f>HYPERLINK("#'14.1.1-2 Purchased electricity'!A1", "14.1.1-2 Purchased electricity")</f>
        <v>14.1.1-2 Purchased electricity</v>
      </c>
      <c r="D40" s="43"/>
      <c r="E40" s="158"/>
      <c r="F40" s="85"/>
    </row>
    <row r="41" spans="1:6" ht="20.100000000000001" customHeight="1" x14ac:dyDescent="0.25">
      <c r="A41" s="5" t="str">
        <f>HYPERLINK("#'15 Scope 3'!A1", "15 Scope 3")</f>
        <v>15 Scope 3</v>
      </c>
      <c r="D41" s="43"/>
      <c r="E41" s="158"/>
      <c r="F41" s="85"/>
    </row>
    <row r="42" spans="1:6" ht="20.100000000000001" customHeight="1" x14ac:dyDescent="0.25">
      <c r="A42" s="5" t="str">
        <f>HYPERLINK("#'Calcs - Manure sent off-site'!A1", "Calcs - Manure sent off-site")</f>
        <v>Calcs - Manure sent off-site</v>
      </c>
      <c r="D42" s="43"/>
      <c r="E42" s="158"/>
      <c r="F42" s="85"/>
    </row>
    <row r="43" spans="1:6" ht="20.100000000000001" customHeight="1" x14ac:dyDescent="0.25">
      <c r="A43" s="5" t="str">
        <f>HYPERLINK("#'4.3.1.1-2 Methane'!A1", "4.3.1.1-2 Methane")</f>
        <v>4.3.1.1-2 Methane</v>
      </c>
    </row>
    <row r="44" spans="1:6" ht="20.100000000000001" customHeight="1" x14ac:dyDescent="0.25">
      <c r="A44" s="5" t="str">
        <f>HYPERLINK("#'4.3.1.3-4 Direct N20'!A1", "4.3.1.3-4 Direct N20")</f>
        <v>4.3.1.3-4 Direct N20</v>
      </c>
    </row>
    <row r="45" spans="1:6" ht="20.100000000000001" customHeight="1" x14ac:dyDescent="0.25">
      <c r="A45" s="5" t="str">
        <f>HYPERLINK("#'4.3.1.5 Atmos deposition'!A1", "4.3.1.5 Atmos deposition")</f>
        <v>4.3.1.5 Atmos deposition</v>
      </c>
    </row>
    <row r="46" spans="1:6" ht="20.100000000000001" customHeight="1" x14ac:dyDescent="0.25">
      <c r="A46" s="5" t="str">
        <f>HYPERLINK("#'4.3.1.6-7 Leaching and runoff'!A1", "4.3.1.6-7 Leaching and runoff")</f>
        <v>4.3.1.6-7 Leaching and runoff</v>
      </c>
      <c r="D46" s="2" t="s">
        <v>1106</v>
      </c>
      <c r="E46" s="262"/>
      <c r="F46" s="262"/>
    </row>
    <row r="47" spans="1:6" ht="20.100000000000001" customHeight="1" x14ac:dyDescent="0.25">
      <c r="A47" s="5" t="str">
        <f>HYPERLINK("#'4.3.1.8 Manure applied to soils'!A1", "4.3.1.8 Manure applied to soils")</f>
        <v>4.3.1.8 Manure applied to soils</v>
      </c>
      <c r="D47" s="1" t="str">
        <f>'Constants - Scope 3'!E202</f>
        <v>Animal ear tags (large)</v>
      </c>
      <c r="E47" s="85">
        <v>100</v>
      </c>
      <c r="F47" s="26" t="s">
        <v>1107</v>
      </c>
    </row>
    <row r="48" spans="1:6" ht="20.100000000000001" customHeight="1" x14ac:dyDescent="0.25">
      <c r="A48" s="5" t="str">
        <f>HYPERLINK("#'4.3.1.9 Soil direct N2O'!A1", "4.3.1.9 Soil direct N2O")</f>
        <v>4.3.1.9 Soil direct N2O</v>
      </c>
      <c r="D48" s="1" t="str">
        <f>'Constants - Scope 3'!E203</f>
        <v>Animal ear tags (small)</v>
      </c>
      <c r="E48" s="85">
        <v>200</v>
      </c>
      <c r="F48" s="26" t="s">
        <v>1107</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c r="A53"/>
    </row>
    <row r="54" spans="1:1" ht="20.100000000000001" customHeight="1" x14ac:dyDescent="0.25">
      <c r="A54"/>
    </row>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1BD09944-F966-4C3A-8295-2BADC875360A}">
      <formula1>INDIRECT("Table_SourceData_Scope3_ChemicalsPharmacy[Product]")</formula1>
    </dataValidation>
    <dataValidation type="list" allowBlank="1" showInputMessage="1" showErrorMessage="1" sqref="M19:M28 P19:P28 J19:J28 G19:G28" xr:uid="{0472810D-024A-4CE1-8E59-46B90BA7092E}">
      <formula1>INDIRECT("Table_ProductRegions_" &amp; SUBSTITUTE(SUBSTITUTE(SUBSTITUTE(SUBSTITUTE(F19, " ", ""), ",", ""), "(", ""), ")", "") &amp; "[Region]")</formula1>
    </dataValidation>
    <dataValidation type="list" allowBlank="1" showInputMessage="1" showErrorMessage="1" sqref="F19:F28 I19:I28 L19:L28 O19:O28" xr:uid="{1258645B-AFED-4CE3-9EBE-02E326B4B358}">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9E7F7-36A9-4FB5-97B6-C6B36E37CC99}">
  <sheetPr>
    <tabColor theme="5" tint="-0.249977111117893"/>
  </sheetPr>
  <dimension ref="A1:J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4" width="46.5703125" style="1" customWidth="1"/>
    <col min="5" max="9" width="35" style="1" customWidth="1"/>
    <col min="10" max="10" width="5.28515625" style="1" customWidth="1"/>
    <col min="11" max="16384" width="9.140625" style="261"/>
  </cols>
  <sheetData>
    <row r="1" spans="1:10" s="16" customFormat="1" ht="30" customHeight="1" x14ac:dyDescent="0.35">
      <c r="C1" s="16" t="s">
        <v>1108</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1109</v>
      </c>
    </row>
    <row r="7" spans="1:10" ht="20.100000000000001" customHeight="1" x14ac:dyDescent="0.25">
      <c r="A7"/>
    </row>
    <row r="8" spans="1:10" ht="20.100000000000001" customHeight="1" x14ac:dyDescent="0.25">
      <c r="A8" s="7" t="s">
        <v>0</v>
      </c>
      <c r="D8" s="29" t="s">
        <v>1110</v>
      </c>
      <c r="E8" s="29" t="s">
        <v>1111</v>
      </c>
      <c r="F8" s="29" t="s">
        <v>1112</v>
      </c>
      <c r="G8" s="29" t="s">
        <v>1113</v>
      </c>
      <c r="H8" s="29" t="s">
        <v>1114</v>
      </c>
    </row>
    <row r="9" spans="1:10" ht="20.100000000000001" customHeight="1" x14ac:dyDescent="0.25">
      <c r="A9" s="5" t="str">
        <f>HYPERLINK("#'Input - Enterprise'!A1", "Enterprise")</f>
        <v>Enterprise</v>
      </c>
      <c r="D9" s="29" t="s">
        <v>1115</v>
      </c>
      <c r="E9" s="23" t="s">
        <v>1116</v>
      </c>
      <c r="F9" s="29">
        <v>986</v>
      </c>
      <c r="G9" s="29">
        <v>10</v>
      </c>
      <c r="H9" s="29">
        <v>52</v>
      </c>
    </row>
    <row r="10" spans="1:10" ht="20.100000000000001" customHeight="1" x14ac:dyDescent="0.25">
      <c r="A10" s="5" t="str">
        <f>HYPERLINK("#'Input - Site'!A1", "Site")</f>
        <v>Site</v>
      </c>
      <c r="D10" s="29" t="s">
        <v>1117</v>
      </c>
      <c r="E10" s="23" t="s">
        <v>1118</v>
      </c>
      <c r="F10" s="29">
        <v>65</v>
      </c>
      <c r="G10" s="29">
        <v>10</v>
      </c>
      <c r="H10" s="29">
        <v>6</v>
      </c>
    </row>
    <row r="11" spans="1:10" ht="20.100000000000001" customHeight="1" x14ac:dyDescent="0.25">
      <c r="A11" s="5" t="str">
        <f>HYPERLINK("#'Input - Dairy'!A1", "Dairy")</f>
        <v>Dairy</v>
      </c>
      <c r="D11" s="29"/>
      <c r="E11" s="23"/>
      <c r="F11" s="29"/>
      <c r="G11" s="29"/>
      <c r="H11" s="29"/>
    </row>
    <row r="12" spans="1:10" ht="20.100000000000001" customHeight="1" x14ac:dyDescent="0.25">
      <c r="A12" s="5" t="str">
        <f>HYPERLINK("#'Input - Dairy (Enteric)'!A1", "Dairy (Enteric)")</f>
        <v>Dairy (Enteric)</v>
      </c>
      <c r="D12" s="29"/>
      <c r="E12" s="23"/>
      <c r="F12" s="29"/>
      <c r="G12" s="29"/>
      <c r="H12" s="29"/>
    </row>
    <row r="13" spans="1:10" ht="20.100000000000001" customHeight="1" x14ac:dyDescent="0.25">
      <c r="A13" s="5" t="str">
        <f>HYPERLINK("#'Input - Livestock sales'!A1", "Livestock sales")</f>
        <v>Livestock sales</v>
      </c>
      <c r="D13" s="29"/>
      <c r="E13" s="23"/>
      <c r="F13" s="29"/>
      <c r="G13" s="29"/>
      <c r="H13" s="29"/>
    </row>
    <row r="14" spans="1:10" ht="20.100000000000001" customHeight="1" x14ac:dyDescent="0.25">
      <c r="A14" s="5" t="str">
        <f>HYPERLINK("#'Input - Dairy cattle purchases'!A1", "Dairy cattle purchases")</f>
        <v>Dairy cattle purchases</v>
      </c>
      <c r="D14" s="29"/>
      <c r="E14" s="23"/>
      <c r="F14" s="29"/>
      <c r="G14" s="29"/>
      <c r="H14" s="29"/>
    </row>
    <row r="15" spans="1:10" ht="20.100000000000001" customHeight="1" x14ac:dyDescent="0.25">
      <c r="A15" s="5" t="str">
        <f>HYPERLINK("#'Input - Pasture'!A1", "Pasture")</f>
        <v>Pasture</v>
      </c>
      <c r="D15" s="29"/>
      <c r="E15" s="23"/>
      <c r="F15" s="29"/>
      <c r="G15" s="29"/>
      <c r="H15" s="29"/>
    </row>
    <row r="16" spans="1:10" ht="20.100000000000001" customHeight="1" x14ac:dyDescent="0.25">
      <c r="A16" s="5" t="str">
        <f>HYPERLINK("#'Input - Fert Prod System'!A1", "Fert Prod System")</f>
        <v>Fert Prod System</v>
      </c>
      <c r="D16" s="29"/>
      <c r="E16" s="23"/>
      <c r="F16" s="29"/>
      <c r="G16" s="29"/>
      <c r="H16" s="29"/>
    </row>
    <row r="17" spans="1:8" ht="20.100000000000001" customHeight="1" x14ac:dyDescent="0.25">
      <c r="A17" s="5" t="str">
        <f>HYPERLINK("#'Input - Fertiliser'!A1", "Fertiliser")</f>
        <v>Fertiliser</v>
      </c>
      <c r="D17" s="29"/>
      <c r="E17" s="23"/>
      <c r="F17" s="29"/>
      <c r="G17" s="29"/>
      <c r="H17" s="29"/>
    </row>
    <row r="18" spans="1:8" ht="20.100000000000001" customHeight="1" x14ac:dyDescent="0.25">
      <c r="A18" s="5" t="str">
        <f>HYPERLINK("#'Input - Fuel'!A1", "Fuel")</f>
        <v>Fuel</v>
      </c>
      <c r="D18" s="29"/>
      <c r="E18" s="23"/>
      <c r="F18" s="29"/>
      <c r="G18" s="29"/>
      <c r="H18" s="29"/>
    </row>
    <row r="19" spans="1:8" ht="20.100000000000001" customHeight="1" x14ac:dyDescent="0.25">
      <c r="A19" s="5" t="str">
        <f>HYPERLINK("#'Input - Electricity'!A1", "Electricity")</f>
        <v>Electricity</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c r="D22" s="2" t="s">
        <v>1119</v>
      </c>
    </row>
    <row r="23" spans="1:8" ht="20.100000000000001" customHeight="1" x14ac:dyDescent="0.25">
      <c r="A23" s="98" t="str">
        <f>HYPERLINK("#'Input - Freight'!A1", "Freight")</f>
        <v>Freight</v>
      </c>
    </row>
    <row r="24" spans="1:8" ht="20.100000000000001" customHeight="1" x14ac:dyDescent="0.25">
      <c r="A24" s="5" t="str">
        <f>HYPERLINK("#'Input - Manure sent off-site'!A1", "Manure sent off-site")</f>
        <v>Manure sent off-site</v>
      </c>
      <c r="D24" s="29" t="s">
        <v>1110</v>
      </c>
      <c r="E24" s="29" t="s">
        <v>1111</v>
      </c>
      <c r="F24" s="29" t="s">
        <v>1112</v>
      </c>
      <c r="G24" s="29" t="s">
        <v>1113</v>
      </c>
      <c r="H24" s="29" t="s">
        <v>1114</v>
      </c>
    </row>
    <row r="25" spans="1:8" ht="20.100000000000001" customHeight="1" x14ac:dyDescent="0.25">
      <c r="A25" s="5" t="str">
        <f>HYPERLINK("#'Input - Solid waste'!A1", "Solid waste")</f>
        <v>Solid waste</v>
      </c>
      <c r="D25" s="29" t="s">
        <v>1120</v>
      </c>
      <c r="E25" s="23" t="s">
        <v>1116</v>
      </c>
      <c r="F25" s="29">
        <v>65</v>
      </c>
      <c r="G25" s="29">
        <v>20</v>
      </c>
      <c r="H25" s="29">
        <v>52</v>
      </c>
    </row>
    <row r="26" spans="1:8" ht="20.100000000000001" customHeight="1" x14ac:dyDescent="0.25">
      <c r="A26" s="5" t="str">
        <f>HYPERLINK("#'Input - Data quality'!A1", "Data quality")</f>
        <v>Data quality</v>
      </c>
      <c r="D26" s="29"/>
      <c r="E26" s="23"/>
      <c r="F26" s="29"/>
      <c r="G26" s="29"/>
      <c r="H26" s="29"/>
    </row>
    <row r="27" spans="1:8" ht="20.100000000000001" customHeight="1" x14ac:dyDescent="0.25">
      <c r="A27"/>
      <c r="D27" s="29"/>
      <c r="E27" s="23"/>
      <c r="F27" s="29"/>
      <c r="G27" s="29"/>
      <c r="H27" s="29"/>
    </row>
    <row r="28" spans="1:8" ht="20.100000000000001" customHeight="1" x14ac:dyDescent="0.25">
      <c r="A28"/>
      <c r="D28" s="29"/>
      <c r="E28" s="23"/>
      <c r="F28" s="29"/>
      <c r="G28" s="29"/>
      <c r="H28" s="29"/>
    </row>
    <row r="29" spans="1:8" ht="20.100000000000001" customHeight="1" x14ac:dyDescent="0.25">
      <c r="A29" s="6" t="s">
        <v>2</v>
      </c>
      <c r="D29" s="29"/>
      <c r="E29" s="23"/>
      <c r="F29" s="29"/>
      <c r="G29" s="29"/>
      <c r="H29" s="29"/>
    </row>
    <row r="30" spans="1:8" ht="20.100000000000001" customHeight="1" x14ac:dyDescent="0.25">
      <c r="A30" s="5" t="str">
        <f>HYPERLINK("#'5.1.1.1-2 Inorganic fert N2O'!A1", "5.1.1.1-2 Inorganic fert N2O")</f>
        <v>5.1.1.1-2 Inorganic fert N2O</v>
      </c>
      <c r="D30" s="29"/>
      <c r="E30" s="23"/>
      <c r="F30" s="29"/>
      <c r="G30" s="29"/>
      <c r="H30" s="29"/>
    </row>
    <row r="31" spans="1:8" ht="20.100000000000001" customHeight="1" x14ac:dyDescent="0.25">
      <c r="A31" s="5" t="str">
        <f>HYPERLINK("#'5.1.1.3-4 Inorganic fert CO2'!A1", "5.1.1.3-4 Inorganic fert CO2")</f>
        <v>5.1.1.3-4 Inorganic fert CO2</v>
      </c>
      <c r="D31" s="29"/>
      <c r="E31" s="23"/>
      <c r="F31" s="29"/>
      <c r="G31" s="29"/>
      <c r="H31" s="29"/>
    </row>
    <row r="32" spans="1:8" ht="20.100000000000001" customHeight="1" x14ac:dyDescent="0.25">
      <c r="A32" s="5" t="str">
        <f>HYPERLINK("#'5.2.1.1-2 Organic Fert N2O'!A1", "5.2.1.1-2 Organic fert N2O")</f>
        <v>5.2.1.1-2 Organic fert N2O</v>
      </c>
      <c r="D32" s="29"/>
      <c r="E32" s="23"/>
      <c r="F32" s="29"/>
      <c r="G32" s="29"/>
      <c r="H32" s="29"/>
    </row>
    <row r="33" spans="1:8" ht="20.100000000000001" customHeight="1" x14ac:dyDescent="0.25">
      <c r="A33" s="5" t="str">
        <f>HYPERLINK("#'5.3.1.1-2 Lime CO2'!A1", "5.3.1.1-2 Lime CO2")</f>
        <v>5.3.1.1-2 Lime CO2</v>
      </c>
      <c r="D33" s="29"/>
      <c r="E33" s="23"/>
      <c r="F33" s="29"/>
      <c r="G33" s="29"/>
      <c r="H33" s="29"/>
    </row>
    <row r="34" spans="1:8" ht="20.100000000000001" customHeight="1" x14ac:dyDescent="0.25">
      <c r="A34" s="5" t="str">
        <f>HYPERLINK("#'5.4.1.1-4 Atmos deposition'!A1", "5.4.1.1-4 Atmos. deposition")</f>
        <v>5.4.1.1-4 Atmos. deposition</v>
      </c>
      <c r="D34" s="29"/>
      <c r="E34" s="23"/>
      <c r="F34" s="29"/>
      <c r="G34" s="29"/>
      <c r="H34" s="29"/>
    </row>
    <row r="35" spans="1:8" ht="20.100000000000001" customHeight="1" x14ac:dyDescent="0.25">
      <c r="A35" s="5" t="str">
        <f>HYPERLINK("#'5.5.1.1-2 Leaching and runoff'!A1", "5.5.1.1-2 Leaching &amp; runoff")</f>
        <v>5.5.1.1-2 Leaching &amp; runoff</v>
      </c>
    </row>
    <row r="36" spans="1:8" ht="20.100000000000001" customHeight="1" x14ac:dyDescent="0.25">
      <c r="A36" s="5" t="str">
        <f>HYPERLINK("#'6.2.1.1-2 Pasture residue N2O'!A1", "6.2.1.1-2 Pasture residue N2O")</f>
        <v>6.2.1.1-2 Pasture residue N2O</v>
      </c>
    </row>
    <row r="37" spans="1:8" ht="20.100000000000001" customHeight="1" x14ac:dyDescent="0.25">
      <c r="A37" s="5" t="str">
        <f>HYPERLINK("#'6.3.1.1-2 Leach runoff pasture'!A1", "6.3.1.1-2 Leach &amp; runoff (pasture)")</f>
        <v>6.3.1.1-2 Leach &amp; runoff (pasture)</v>
      </c>
    </row>
    <row r="38" spans="1:8" ht="20.100000000000001" customHeight="1" x14ac:dyDescent="0.25">
      <c r="A38" s="5" t="str">
        <f>HYPERLINK("#'8.1.1.1-2 Transport fuel'!A1", "8.1.1.1-2 Transport fuel")</f>
        <v>8.1.1.1-2 Transport fuel</v>
      </c>
    </row>
    <row r="39" spans="1:8" ht="20.100000000000001" customHeight="1" x14ac:dyDescent="0.25">
      <c r="A39" s="5" t="str">
        <f>HYPERLINK("#'8.2.1.1-2 Stationary fuel'!A1", "8.2.1.1-2 Stationary fuel")</f>
        <v>8.2.1.1-2 Stationary fuel</v>
      </c>
    </row>
    <row r="40" spans="1:8" ht="20.100000000000001" customHeight="1" x14ac:dyDescent="0.25">
      <c r="A40" s="5" t="str">
        <f>HYPERLINK("#'14.1.1-2 Purchased electricity'!A1", "14.1.1-2 Purchased electricity")</f>
        <v>14.1.1-2 Purchased electricity</v>
      </c>
    </row>
    <row r="41" spans="1:8" ht="20.100000000000001" customHeight="1" x14ac:dyDescent="0.25">
      <c r="A41" s="5" t="str">
        <f>HYPERLINK("#'15 Scope 3'!A1", "15 Scope 3")</f>
        <v>15 Scope 3</v>
      </c>
    </row>
    <row r="42" spans="1:8" ht="20.100000000000001" customHeight="1" x14ac:dyDescent="0.25">
      <c r="A42" s="5" t="str">
        <f>HYPERLINK("#'Calcs - Manure sent off-site'!A1", "Calcs - Manure sent off-site")</f>
        <v>Calcs - Manure sent off-site</v>
      </c>
    </row>
    <row r="43" spans="1:8" ht="20.100000000000001" customHeight="1" x14ac:dyDescent="0.25">
      <c r="A43" s="5" t="str">
        <f>HYPERLINK("#'4.3.1.1-2 Methane'!A1", "4.3.1.1-2 Methane")</f>
        <v>4.3.1.1-2 Methane</v>
      </c>
    </row>
    <row r="44" spans="1:8" ht="20.100000000000001" customHeight="1" x14ac:dyDescent="0.25">
      <c r="A44" s="5" t="str">
        <f>HYPERLINK("#'4.3.1.3-4 Direct N20'!A1", "4.3.1.3-4 Direct N20")</f>
        <v>4.3.1.3-4 Direct N20</v>
      </c>
    </row>
    <row r="45" spans="1:8" ht="20.100000000000001" customHeight="1" x14ac:dyDescent="0.25">
      <c r="A45" s="5" t="str">
        <f>HYPERLINK("#'4.3.1.5 Atmos deposition'!A1", "4.3.1.5 Atmos deposition")</f>
        <v>4.3.1.5 Atmos deposition</v>
      </c>
    </row>
    <row r="46" spans="1:8" ht="20.100000000000001" customHeight="1" x14ac:dyDescent="0.25">
      <c r="A46" s="5" t="str">
        <f>HYPERLINK("#'4.3.1.6-7 Leaching and runoff'!A1", "4.3.1.6-7 Leaching and runoff")</f>
        <v>4.3.1.6-7 Leaching and runoff</v>
      </c>
    </row>
    <row r="47" spans="1:8" ht="20.100000000000001" customHeight="1" x14ac:dyDescent="0.25">
      <c r="A47" s="5" t="str">
        <f>HYPERLINK("#'4.3.1.8 Manure applied to soils'!A1", "4.3.1.8 Manure applied to soils")</f>
        <v>4.3.1.8 Manure applied to soils</v>
      </c>
    </row>
    <row r="48" spans="1:8"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00A1B7D9-DDA6-41AB-99DC-519C268BAA33}">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215FE-0216-4F8B-81D7-8830A72B34A1}">
  <sheetPr>
    <tabColor theme="5" tint="-0.249977111117893"/>
  </sheetPr>
  <dimension ref="A1:K160"/>
  <sheetViews>
    <sheetView showGridLines="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0" width="35" style="1" customWidth="1"/>
    <col min="11" max="11" width="5.28515625" style="1" customWidth="1"/>
    <col min="12" max="16384" width="9.140625" style="261"/>
  </cols>
  <sheetData>
    <row r="1" spans="1:11" ht="25.5" x14ac:dyDescent="0.35">
      <c r="A1" s="16" t="e" vm="1">
        <v>#VALUE!</v>
      </c>
      <c r="C1" s="16" t="s">
        <v>1121</v>
      </c>
      <c r="D1" s="16"/>
      <c r="E1" s="16"/>
      <c r="F1" s="16"/>
      <c r="G1" s="16"/>
      <c r="H1" s="16"/>
      <c r="I1" s="16"/>
      <c r="J1" s="16"/>
      <c r="K1" s="16"/>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ht="23.25" x14ac:dyDescent="0.25">
      <c r="A5" s="5" t="str">
        <f>HYPERLINK("#'Results'!A1", "Results")</f>
        <v>Results</v>
      </c>
      <c r="D5" s="2" t="s">
        <v>1122</v>
      </c>
    </row>
    <row r="6" spans="1:11" x14ac:dyDescent="0.25">
      <c r="A6"/>
    </row>
    <row r="7" spans="1:11" x14ac:dyDescent="0.25">
      <c r="A7"/>
      <c r="D7" s="1" t="s">
        <v>1123</v>
      </c>
    </row>
    <row r="8" spans="1:11" ht="18.75" x14ac:dyDescent="0.25">
      <c r="A8" s="7" t="s">
        <v>0</v>
      </c>
      <c r="D8" s="1" t="s">
        <v>1124</v>
      </c>
    </row>
    <row r="9" spans="1:11" x14ac:dyDescent="0.25">
      <c r="A9" s="5" t="str">
        <f>HYPERLINK("#'Input - Enterprise'!A1", "Enterprise")</f>
        <v>Enterprise</v>
      </c>
    </row>
    <row r="10" spans="1:11" x14ac:dyDescent="0.25">
      <c r="A10" s="5" t="str">
        <f>HYPERLINK("#'Input - Site'!A1", "Site")</f>
        <v>Site</v>
      </c>
      <c r="D10" s="1" t="s">
        <v>1125</v>
      </c>
      <c r="F10" s="85">
        <v>1000</v>
      </c>
      <c r="G10" s="26" t="s">
        <v>1126</v>
      </c>
    </row>
    <row r="11" spans="1:11" x14ac:dyDescent="0.25">
      <c r="A11" s="5" t="str">
        <f>HYPERLINK("#'Input - Dairy'!A1", "Dairy")</f>
        <v>Dairy</v>
      </c>
      <c r="D11" s="1" t="s">
        <v>1127</v>
      </c>
      <c r="F11" s="85">
        <v>2000</v>
      </c>
      <c r="G11" s="26" t="s">
        <v>1126</v>
      </c>
    </row>
    <row r="12" spans="1:11" x14ac:dyDescent="0.25">
      <c r="A12" s="5" t="str">
        <f>HYPERLINK("#'Input - Dairy (Enteric)'!A1", "Dairy (Enteric)")</f>
        <v>Dairy (Enteric)</v>
      </c>
    </row>
    <row r="13" spans="1:11" x14ac:dyDescent="0.25">
      <c r="A13" s="5" t="str">
        <f>HYPERLINK("#'Input - Livestock sales'!A1", "Livestock sales")</f>
        <v>Livestock sales</v>
      </c>
      <c r="D13" s="1" t="s">
        <v>1128</v>
      </c>
      <c r="F13" s="23" t="s">
        <v>710</v>
      </c>
      <c r="G13" s="26" t="s">
        <v>101</v>
      </c>
    </row>
    <row r="14" spans="1:11" x14ac:dyDescent="0.25">
      <c r="A14" s="5" t="str">
        <f>HYPERLINK("#'Input - Dairy cattle purchases'!A1", "Dairy cattle purchases")</f>
        <v>Dairy cattle purchases</v>
      </c>
      <c r="D14" s="1" t="s">
        <v>1129</v>
      </c>
      <c r="F14" s="23" t="s">
        <v>260</v>
      </c>
      <c r="G14" s="26" t="s">
        <v>101</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98"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3" spans="1:1" x14ac:dyDescent="0.25">
      <c r="A53"/>
    </row>
    <row r="54" spans="1:1" x14ac:dyDescent="0.25">
      <c r="A54"/>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BC5B5178-29C5-4095-8A41-EF73AC18E160}">
      <formula1>INDIRECT("Table_SourceData_Fertiliser_IrrigationMethods[Irrigation method]")</formula1>
    </dataValidation>
    <dataValidation type="list" allowBlank="1" showInputMessage="1" showErrorMessage="1" sqref="F13" xr:uid="{21510D7D-3045-46D0-BEBC-E21F90BB085A}">
      <formula1>INDIRECT("Table_SourceData_Fertiliser_CropProdSystems[Production system]")</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021D5-D4D3-4B5C-8C85-80C4993136DA}">
  <dimension ref="A1:X342"/>
  <sheetViews>
    <sheetView showGridLines="0" topLeftCell="F8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0" customFormat="1" ht="30" customHeight="1" x14ac:dyDescent="0.35">
      <c r="A1" s="16" t="e" vm="1">
        <v>#VALUE!</v>
      </c>
      <c r="C1" s="30" t="s">
        <v>615</v>
      </c>
      <c r="K1"/>
    </row>
    <row r="2" spans="1:24" s="3" customFormat="1" ht="20.100000000000001" customHeight="1" x14ac:dyDescent="0.25">
      <c r="A2"/>
      <c r="K2"/>
    </row>
    <row r="3" spans="1:24" ht="20.100000000000001" customHeight="1" x14ac:dyDescent="0.25">
      <c r="A3" s="5" t="str">
        <f>HYPERLINK("#'Home'!A1", "Home")</f>
        <v>Home</v>
      </c>
      <c r="C3" s="32"/>
      <c r="D3" s="32" t="s">
        <v>136</v>
      </c>
      <c r="E3" s="32"/>
      <c r="F3" s="32"/>
      <c r="G3" s="32"/>
      <c r="H3" s="32"/>
      <c r="I3" s="32"/>
      <c r="J3" s="32"/>
      <c r="L3" s="32"/>
      <c r="M3" s="32" t="s">
        <v>137</v>
      </c>
      <c r="N3" s="32"/>
      <c r="O3" s="32"/>
      <c r="P3" s="32"/>
      <c r="Q3" s="32"/>
      <c r="R3" s="32"/>
      <c r="S3" s="32"/>
      <c r="T3" s="32"/>
      <c r="U3" s="32"/>
      <c r="V3" s="32"/>
      <c r="W3" s="32"/>
      <c r="X3" s="32"/>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8" t="s">
        <v>262</v>
      </c>
      <c r="E7" s="118"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7" t="s">
        <v>263</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7" t="s">
        <v>263</v>
      </c>
      <c r="E10" s="1" t="str" cm="1">
        <f t="array" ref="E10">Fertiliser_Equations_InorganicN2O.VEERG_5_1_1_1__2_MassOfNitrogenInInorganicFertiliser_Variable()</f>
        <v>MN_jf</v>
      </c>
      <c r="M10" s="87" t="s">
        <v>122</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7" t="s">
        <v>122</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2" t="str" cm="1">
        <f t="array" ref="M12:N13">_xlfn.CHOOSECOLS(Fertiliser_Equations_InorganicN2O.VEERG_5_1_1_2__1_EmissionFactorIrrigatedMaize_Arguments(), 1, 2)</f>
        <v>N_fjIrrigatedMaize</v>
      </c>
      <c r="N12" s="138" t="str">
        <v>application rate of inorganic fertiliser type f in the irrigated maize crop</v>
      </c>
      <c r="O12" s="146"/>
      <c r="P12" s="132" t="str" cm="1">
        <f t="array" ref="P12:Q13">_xlfn.CHOOSECOLS(Fertiliser_Equations_InorganicN2O.VEERG_5_1_1_2__1_EmissionFactorIrrigatedMaize_Arguments(), 3,4)</f>
        <v>kg N/ha</v>
      </c>
      <c r="Q12" s="121" t="str">
        <v>Input</v>
      </c>
      <c r="R12" s="186" t="str" cm="1">
        <f t="array" aca="1" ref="R12" ca="1">HYPERLINK(Common_InputFunctions.Utility_SourceHyperlink($M$41), $M$41)</f>
        <v>M2_Table_FertApplications</v>
      </c>
      <c r="S12" s="187"/>
    </row>
    <row r="13" spans="1:24" ht="20.100000000000001" customHeight="1" x14ac:dyDescent="0.25">
      <c r="A13" s="5" t="str">
        <f>HYPERLINK("#'Input - Livestock sales'!A1", "Livestock sales")</f>
        <v>Livestock sales</v>
      </c>
      <c r="D13" s="132" t="str" cm="1">
        <f t="array" ref="D13:E14">_xlfn.CHOOSECOLS(Fertiliser_Equations_InorganicN2O.VEERG_5_1_1_1__2_MassOfNitrogenInInorganicFertiliser_Arguments(), 1,2)</f>
        <v>TM_jf</v>
      </c>
      <c r="E13" s="132" t="str">
        <v>total mass of inorganic fertiliser type f applied to production system j</v>
      </c>
      <c r="F13" s="132"/>
      <c r="G13" s="132" t="str" cm="1">
        <f t="array" ref="G13:H14">_xlfn.CHOOSECOLS(Fertiliser_Equations_InorganicN2O.VEERG_5_1_1_1__2_MassOfNitrogenInInorganicFertiliser_Arguments(), 3,4)</f>
        <v>kg</v>
      </c>
      <c r="H13" s="121" t="str">
        <v>Input</v>
      </c>
      <c r="I13" s="127" t="str" cm="1">
        <f t="array" aca="1" ref="I13" ca="1">HYPERLINK(Common_InputFunctions.Utility_SourceHyperlink($D$16), $D$16)</f>
        <v>Table_MN_j_f</v>
      </c>
      <c r="M13" s="132" t="str">
        <v>f</v>
      </c>
      <c r="N13" s="138" t="str">
        <v>Inorganic fertiliser type</v>
      </c>
      <c r="O13" s="146"/>
      <c r="P13" s="132" t="str">
        <v/>
      </c>
      <c r="Q13" s="128" t="str">
        <v>Constant</v>
      </c>
      <c r="R13" s="138" t="s">
        <v>616</v>
      </c>
      <c r="S13" s="187"/>
    </row>
    <row r="14" spans="1:24" ht="20.100000000000001" customHeight="1" x14ac:dyDescent="0.25">
      <c r="A14" s="5" t="str">
        <f>HYPERLINK("#'Input - Dairy cattle purchases'!A1", "Dairy cattle purchases")</f>
        <v>Dairy cattle purchases</v>
      </c>
      <c r="D14" s="132" t="str">
        <v>FN_inorganicf</v>
      </c>
      <c r="E14" s="138" t="str">
        <v xml:space="preserve">fraction of nitrogen in inorganic fertiliser type f </v>
      </c>
      <c r="F14" s="143"/>
      <c r="G14" s="132" t="str">
        <v>kg N/kg</v>
      </c>
      <c r="H14" s="128" t="str">
        <v>Constant</v>
      </c>
      <c r="I14" s="127"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2" t="s">
        <v>617</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3" t="s">
        <v>618</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4" t="s">
        <v>619</v>
      </c>
      <c r="E18" s="94" t="s">
        <v>620</v>
      </c>
      <c r="F18" s="124" t="s">
        <v>621</v>
      </c>
      <c r="G18" s="124" t="s">
        <v>622</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7" t="s">
        <v>263</v>
      </c>
      <c r="N20" s="1" t="str" cm="1">
        <f t="array" ref="N20">Fertiliser_Equations_InorganicN2O.VEERG_5_1_1_2__2_EmissionFactorNonIrrigatedGrainsHighRainfall_Variable()</f>
        <v>EF_fjNonIrrigatedGrainsN2O</v>
      </c>
    </row>
    <row r="21" spans="1:19"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7" t="s">
        <v>122</v>
      </c>
      <c r="N21" s="15" t="str" cm="1">
        <f t="array" ref="N21">Fertiliser_Equations_InorganicN2O.VEERG_5_1_1_2__2_EmissionFactorNonIrrigatedGrainsHighRainfall_Unit()</f>
        <v>kg N2O-N/kg N applied</v>
      </c>
    </row>
    <row r="22" spans="1:19"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2" t="str" cm="1">
        <f t="array" ref="M23:N24">_xlfn.CHOOSECOLS(Fertiliser_Equations_InorganicN2O.VEERG_5_1_1_2__2_EmissionFactorNonIrrigatedGrainsHighRainfall_Arguments(), 1, 2)</f>
        <v>N_fjNonIrrigatedGrains</v>
      </c>
      <c r="N23" s="138" t="str">
        <v>application rate of inorganic fertiliser type f in the grains crop</v>
      </c>
      <c r="O23" s="146"/>
      <c r="P23" s="132" t="str" cm="1">
        <f t="array" ref="P23:Q24">_xlfn.CHOOSECOLS(Fertiliser_Equations_InorganicN2O.VEERG_5_1_1_2__2_EmissionFactorNonIrrigatedGrainsHighRainfall_Arguments(), 3,4)</f>
        <v>kg N/ha</v>
      </c>
      <c r="Q23" s="121" t="str">
        <v>Input</v>
      </c>
      <c r="R23" s="186" t="str" cm="1">
        <f t="array" aca="1" ref="R23" ca="1">HYPERLINK(Common_InputFunctions.Utility_SourceHyperlink($M$41), $M$41)</f>
        <v>M2_Table_FertApplications</v>
      </c>
      <c r="S23" s="143"/>
    </row>
    <row r="24" spans="1:19"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32" t="str">
        <v>f</v>
      </c>
      <c r="N24" s="138" t="str">
        <v>Inorganic fertiliser type</v>
      </c>
      <c r="O24" s="146"/>
      <c r="P24" s="132" t="str">
        <v/>
      </c>
      <c r="Q24" s="128" t="str">
        <v>Constant</v>
      </c>
      <c r="R24" s="138" t="s">
        <v>616</v>
      </c>
      <c r="S24" s="143"/>
    </row>
    <row r="25" spans="1:19"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119" t="str">
        <f>HYPERLINK("#'5.1.1.1-2 Inorganic fert N2O'!A1", "5.1.1.1-2 Inorganic fert N2O")</f>
        <v>5.1.1.1-2 Inorganic fert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HYPERLINK("#'5.1.1.3-4 Inorganic fert CO2'!A1", "5.1.1.3-4 Inorganic fert CO2")</f>
        <v>5.1.1.3-4 Inorganic fert CO2</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HYPERLINK("#'5.2.1.1-2 Organic Fert N2O'!A1", "5.2.1.1-2 Organic fert N2O")</f>
        <v>5.2.1.1-2 Organic fert N2O</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7" t="s">
        <v>263</v>
      </c>
      <c r="N32" s="1" t="str" cm="1">
        <f t="array" ref="N32">Fertiliser_Equations_InorganicN2O.VEERG_5_1_1_2__3_EmissionFactorCotton_Variable()</f>
        <v>EF_fjCottonN2O</v>
      </c>
    </row>
    <row r="33" spans="1:23" ht="20.100000000000001" customHeight="1" x14ac:dyDescent="0.25">
      <c r="A33" s="5" t="str">
        <f>HYPERLINK("#'5.3.1.1-2 Lime CO2'!A1", "5.3.1.1-2 Lime CO2")</f>
        <v>5.3.1.1-2 Lime CO2</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7" t="s">
        <v>122</v>
      </c>
      <c r="N33" s="15" t="str" cm="1">
        <f t="array" ref="N33">Fertiliser_Equations_InorganicN2O.VEERG_5_1_1_2__3_EmissionFactorCotton_Unit()</f>
        <v>kg N2O-N/kg N applied</v>
      </c>
    </row>
    <row r="34" spans="1:23" ht="20.100000000000001" customHeight="1" x14ac:dyDescent="0.25">
      <c r="A34" s="5" t="str">
        <f>HYPERLINK("#'5.4.1.1-4 Atmos deposition'!A1", "5.4.1.1-4 Atmos. deposition")</f>
        <v>5.4.1.1-4 Atmos. deposition</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HYPERLINK("#'5.5.1.1-2 Leaching and runoff'!A1", "5.5.1.1-2 Leaching &amp; runoff")</f>
        <v>5.5.1.1-2 Leaching &amp; runoff</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32" t="str" cm="1">
        <f t="array" ref="M35:N36">_xlfn.CHOOSECOLS(Fertiliser_Equations_InorganicN2O.VEERG_5_1_1_2__3_EmissionFactorCotton_Arguments(), 1, 2)</f>
        <v>N_fjCotton</v>
      </c>
      <c r="N35" s="138" t="str">
        <v>application rate of inorganic fertiliser type f in the cotton crop</v>
      </c>
      <c r="O35" s="146"/>
      <c r="P35" s="138" t="str" cm="1">
        <f t="array" ref="P35:Q36">_xlfn.CHOOSECOLS(Fertiliser_Equations_InorganicN2O.VEERG_5_1_1_2__3_EmissionFactorCotton_Arguments(), 3,4)</f>
        <v>kg N/ha</v>
      </c>
      <c r="Q35" s="121" t="str">
        <v>Input</v>
      </c>
      <c r="R35" s="186" t="str" cm="1">
        <f t="array" aca="1" ref="R35" ca="1">HYPERLINK(Common_InputFunctions.Utility_SourceHyperlink($M$41), $M$41)</f>
        <v>M2_Table_FertApplications</v>
      </c>
      <c r="S35" s="143"/>
    </row>
    <row r="36" spans="1:23" ht="20.100000000000001" customHeight="1" x14ac:dyDescent="0.25">
      <c r="A36" s="5" t="str">
        <f>HYPERLINK("#'6.2.1.1-2 Pasture residue N2O'!A1", "6.2.1.1-2 Pasture residue N2O")</f>
        <v>6.2.1.1-2 Pasture residue N2O</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32" t="str">
        <v>f</v>
      </c>
      <c r="N36" s="138" t="str">
        <v>Inorganic fertiliser type</v>
      </c>
      <c r="O36" s="146"/>
      <c r="P36" s="138" t="str">
        <v/>
      </c>
      <c r="Q36" s="128" t="str">
        <v>Constant</v>
      </c>
      <c r="R36" s="138" t="s">
        <v>616</v>
      </c>
      <c r="S36" s="143"/>
    </row>
    <row r="37" spans="1:23" ht="20.100000000000001" customHeight="1" x14ac:dyDescent="0.25">
      <c r="A37" s="5" t="str">
        <f>HYPERLINK("#'6.3.1.1-2 Leach runoff pasture'!A1", "6.3.1.1-2 Leach &amp; runoff (pasture)")</f>
        <v>6.3.1.1-2 Leach &amp; runoff (pasture)</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HYPERLINK("#'8.1.1.1-2 Transport fuel'!A1", "8.1.1.1-2 Transport fuel")</f>
        <v>8.1.1.1-2 Transport fuel</v>
      </c>
      <c r="N38" s="91"/>
      <c r="O38" s="91"/>
      <c r="P38" s="91"/>
    </row>
    <row r="39" spans="1:23" ht="20.100000000000001" customHeight="1" x14ac:dyDescent="0.25">
      <c r="A39" s="5" t="str">
        <f>HYPERLINK("#'8.2.1.1-2 Stationary fuel'!A1", "8.2.1.1-2 Stationary fuel")</f>
        <v>8.2.1.1-2 Stationary fuel</v>
      </c>
      <c r="C39" s="101"/>
      <c r="D39" s="101"/>
      <c r="E39" s="101"/>
      <c r="F39" s="101"/>
      <c r="G39" s="101"/>
      <c r="H39" s="101"/>
      <c r="I39" s="101"/>
      <c r="J39" s="101"/>
      <c r="M39" s="91" t="s">
        <v>623</v>
      </c>
    </row>
    <row r="40" spans="1:23" ht="20.100000000000001" customHeight="1" x14ac:dyDescent="0.25">
      <c r="A40" s="5" t="str">
        <f>HYPERLINK("#'14.1.1-2 Purchased electricity'!A1", "14.1.1-2 Purchased electricity")</f>
        <v>14.1.1-2 Purchased electricity</v>
      </c>
      <c r="D40" s="2" t="str" cm="1">
        <f t="array" ref="D40">Fertiliser_Equations_InorganicN2O.VEERG_5_1_1_1__1_InorganicFertiliserApplicationN2OEmissions_Title()</f>
        <v>Nitrous oxide emissions from the application of all inorganic fertiliser types f to all production systems j</v>
      </c>
      <c r="M40" s="79" t="s">
        <v>624</v>
      </c>
      <c r="N40" s="79"/>
      <c r="O40" s="79"/>
      <c r="P40" s="79"/>
      <c r="Q40" s="79"/>
      <c r="R40" s="79"/>
      <c r="S40" s="79"/>
    </row>
    <row r="41" spans="1:23" ht="20.100000000000001" customHeight="1" x14ac:dyDescent="0.25">
      <c r="A41" s="5" t="str">
        <f>HYPERLINK("#'15 Scope 3'!A1", "15 Scope 3")</f>
        <v>15 Scope 3</v>
      </c>
      <c r="D41" s="27" t="str" cm="1">
        <f t="array" ref="D41">Fertiliser_Equations_InorganicN2O.VEERG_5_1_1_1__1_InorganicFertiliserApplicationN2OEmissions_Source()</f>
        <v>VEERG 2026: 5.1.1.1, Equation (1)</v>
      </c>
      <c r="M41" s="122" t="s">
        <v>625</v>
      </c>
      <c r="T41" s="150" t="s">
        <v>626</v>
      </c>
    </row>
    <row r="42" spans="1:23" ht="20.100000000000001" customHeight="1" x14ac:dyDescent="0.25">
      <c r="A42" s="5" t="str">
        <f>HYPERLINK("#'Calcs - Manure sent off-site'!A1", "Calcs - Manure sent off-site")</f>
        <v>Calcs - Manure sent off-site</v>
      </c>
      <c r="D42" s="118" t="s">
        <v>262</v>
      </c>
      <c r="E42" s="118" t="str" cm="1">
        <f t="array" aca="1" ref="E42" ca="1">Common_InputFunctions.Utility_DisplayFunctionName($E$60)</f>
        <v>=Fertiliser_Equations_InorganicN2O.VEERG_5_1_1_1__1_InorganicFertiliserApplicationN2OEmissions</v>
      </c>
      <c r="F42" s="26"/>
      <c r="M42" s="123" t="s">
        <v>627</v>
      </c>
    </row>
    <row r="43" spans="1:23" ht="20.100000000000001" customHeight="1" x14ac:dyDescent="0.25">
      <c r="A43" s="5" t="str">
        <f>HYPERLINK("#'4.3.1.1-2 Methane'!A1", "4.3.1.1-2 Methane")</f>
        <v>4.3.1.1-2 Methane</v>
      </c>
      <c r="F43" s="26"/>
      <c r="O43" s="188" t="s">
        <v>628</v>
      </c>
      <c r="P43" s="188" t="s">
        <v>629</v>
      </c>
      <c r="Q43" s="188" t="s">
        <v>630</v>
      </c>
      <c r="R43" s="188" t="str">
        <f>$N$10</f>
        <v>kg N2O-N/kg N applied</v>
      </c>
      <c r="S43" s="188" t="str">
        <f>$N$21</f>
        <v>kg N2O-N/kg N applied</v>
      </c>
      <c r="T43" s="188" t="s">
        <v>628</v>
      </c>
      <c r="U43" s="188" t="s">
        <v>630</v>
      </c>
      <c r="V43" s="188" t="str">
        <f>$N$33</f>
        <v>kg N2O-N/kg N applied</v>
      </c>
      <c r="W43" s="188" t="s">
        <v>631</v>
      </c>
    </row>
    <row r="44" spans="1:23" ht="20.100000000000001" customHeight="1" x14ac:dyDescent="0.25">
      <c r="A44" s="5" t="str">
        <f>HYPERLINK("#'4.3.1.3-4 Direct N20'!A1", "4.3.1.3-4 Direct N20")</f>
        <v>4.3.1.3-4 Direct N20</v>
      </c>
      <c r="F44" s="26"/>
      <c r="M44" s="124" t="s">
        <v>632</v>
      </c>
      <c r="N44" s="94" t="s">
        <v>632</v>
      </c>
      <c r="O44" s="94" t="s">
        <v>633</v>
      </c>
      <c r="P44" s="94" t="s">
        <v>634</v>
      </c>
      <c r="Q44" s="124" t="s">
        <v>635</v>
      </c>
      <c r="R44" s="124" t="str">
        <f>N9</f>
        <v>EF_fjIrrigatedMaizeN2O</v>
      </c>
      <c r="S44" s="124" t="str">
        <f>N20</f>
        <v>EF_fjNonIrrigatedGrainsN2O</v>
      </c>
      <c r="T44" s="124" t="s">
        <v>636</v>
      </c>
      <c r="U44" s="124" t="s">
        <v>637</v>
      </c>
      <c r="V44" s="124" t="str">
        <f>N32</f>
        <v>EF_fjCottonN2O</v>
      </c>
      <c r="W44" s="124" t="s">
        <v>638</v>
      </c>
    </row>
    <row r="45" spans="1:23" ht="20.100000000000001" customHeight="1" x14ac:dyDescent="0.25">
      <c r="A45" s="5" t="str">
        <f>HYPERLINK("#'4.3.1.5 Atmos deposition'!A1", "4.3.1.5 Atmos deposition")</f>
        <v>4.3.1.5 Atmos deposition</v>
      </c>
      <c r="F45" s="26"/>
      <c r="M45" s="25" t="s">
        <v>639</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HYPERLINK("#'4.3.1.6-7 Leaching and runoff'!A1", "4.3.1.6-7 Leaching and runoff")</f>
        <v>4.3.1.6-7 Leaching and runoff</v>
      </c>
      <c r="D46" s="87" t="s">
        <v>263</v>
      </c>
      <c r="E46" s="1" t="str" cm="1">
        <f t="array" ref="E46">Fertiliser_Equations_InorganicN2O.VEERG_5_1_1_1__1_InorganicFertiliserApplicationN2OEmissions_Variable()</f>
        <v>E_N2O</v>
      </c>
      <c r="F46" s="26"/>
      <c r="M46" s="25" t="s">
        <v>639</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7" spans="1:23" ht="20.100000000000001" customHeight="1" x14ac:dyDescent="0.25">
      <c r="A47" s="5" t="str">
        <f>HYPERLINK("#'4.3.1.8 Manure applied to soils'!A1", "4.3.1.8 Manure applied to soils")</f>
        <v>4.3.1.8 Manure applied to soils</v>
      </c>
      <c r="D47" s="87" t="s">
        <v>122</v>
      </c>
      <c r="E47" s="15" t="str" cm="1">
        <f t="array" ref="E47">Fertiliser_Equations_InorganicN2O.VEERG_5_1_1_1__1_InorganicFertiliserApplicationN2OEmissions_Unit()</f>
        <v>t N2O</v>
      </c>
      <c r="F47" s="26"/>
      <c r="M47" s="25" t="s">
        <v>639</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8" spans="1:23" ht="20.100000000000001" customHeight="1" x14ac:dyDescent="0.25">
      <c r="A48" s="5" t="str">
        <f>HYPERLINK("#'4.3.1.9 Soil direct N2O'!A1", "4.3.1.9 Soil direct N2O")</f>
        <v>4.3.1.9 Soil direct N2O</v>
      </c>
      <c r="F48" s="26"/>
      <c r="M48" s="25" t="s">
        <v>639</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A49" s="5" t="str">
        <f>HYPERLINK("#'4.3.1.10-11 Soil Atmos Dep'!A1", "4.3.1.10-11 Soil Atmos Dep")</f>
        <v>4.3.1.10-11 Soil Atmos Dep</v>
      </c>
      <c r="D49" s="132" t="str" cm="1">
        <f t="array" ref="D49:E55">_xlfn.CHOOSECOLS(Fertiliser_Equations_InorganicN2O.VEERG_5_1_1_1__1_InorganicFertiliserApplicationN2OEmissions_Arguments(), 1, 2)</f>
        <v>MN_jf</v>
      </c>
      <c r="E49" s="138" t="str">
        <v>mass of nitrogen in inorganic fertiliser type f applied to production system j</v>
      </c>
      <c r="F49" s="146"/>
      <c r="G49" s="132" t="str" cm="1">
        <f t="array" ref="G49:H55">_xlfn.CHOOSECOLS(Fertiliser_Equations_InorganicN2O.VEERG_5_1_1_1__1_InorganicFertiliserApplicationN2OEmissions_Arguments(), 3,4)</f>
        <v>kg N</v>
      </c>
      <c r="H49" s="128" t="str">
        <v>Calculated from 5.1.1.1 (2)</v>
      </c>
      <c r="I49" s="127" t="str" cm="1">
        <f t="array" aca="1" ref="I49" ca="1">HYPERLINK(Common_InputFunctions.Utility_SourceHyperlink(D16), D16)</f>
        <v>Table_MN_j_f</v>
      </c>
      <c r="M49" s="25" t="s">
        <v>639</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A50" s="5" t="str">
        <f>HYPERLINK("#'4.3.1.12-13 Soil leach runoff'!A1", "4.3.1.12-13 Soil leach runoff")</f>
        <v>4.3.1.12-13 Soil leach runoff</v>
      </c>
      <c r="D50" s="132" t="str">
        <v>EF_jN2O</v>
      </c>
      <c r="E50" s="138" t="str">
        <v>emission factor for nitrous oxide for inorganic fertilisers</v>
      </c>
      <c r="F50" s="146"/>
      <c r="G50" s="132" t="str">
        <v>kg N2O-N/kg N applied</v>
      </c>
      <c r="H50" s="128" t="str">
        <v>Constant</v>
      </c>
      <c r="I50" s="132">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639</v>
      </c>
      <c r="N50" s="25">
        <v>0</v>
      </c>
      <c r="O50" s="25">
        <v>0</v>
      </c>
      <c r="P50" s="25">
        <v>1000</v>
      </c>
      <c r="Q50" s="25"/>
      <c r="R50" s="25"/>
      <c r="S50" s="25"/>
      <c r="T50" s="25"/>
      <c r="U50" s="25"/>
      <c r="V50" s="25"/>
      <c r="W50" s="25"/>
    </row>
    <row r="51" spans="1:23" ht="20.100000000000001" customHeight="1" x14ac:dyDescent="0.25">
      <c r="A51" s="5" t="str">
        <f>HYPERLINK("#'3.3.1.1-2 Enteric Methane'!A1", "3.3.1.1-2 Enteric Methane")</f>
        <v>3.3.1.1-2 Enteric Methane</v>
      </c>
      <c r="D51" s="132" t="str">
        <v>C_N2O</v>
      </c>
      <c r="E51" s="138" t="str">
        <v>factor to convert elemental mass of nitrous oxide to molecular mass</v>
      </c>
      <c r="F51" s="146"/>
      <c r="G51" s="132" t="str">
        <v/>
      </c>
      <c r="H51" s="128" t="str">
        <v>Constant</v>
      </c>
      <c r="I51" s="132">
        <f>Common_InputFunctions.Utility_LookupValueInTableNumber("N2O",Table_GasToMolecularConversionFactor[Gas],Table_GasToMolecularConversionFactor[Conversion factor combined])</f>
        <v>1.5714285714285714</v>
      </c>
      <c r="M51" s="25" t="s">
        <v>639</v>
      </c>
      <c r="N51" s="25">
        <v>0</v>
      </c>
      <c r="O51" s="25">
        <v>0</v>
      </c>
      <c r="P51" s="25">
        <v>1000</v>
      </c>
      <c r="Q51" s="25"/>
      <c r="R51" s="25"/>
      <c r="S51" s="25"/>
      <c r="T51" s="25"/>
      <c r="U51" s="25"/>
      <c r="V51" s="25"/>
      <c r="W51" s="25"/>
    </row>
    <row r="52" spans="1:23" ht="20.100000000000001" customHeight="1" x14ac:dyDescent="0.25">
      <c r="A52" s="5" t="str">
        <f>HYPERLINK("#'10.1.1-2 Solid waste treatment'!A1", "10.1.1-2 Solid waste treatment")</f>
        <v>10.1.1-2 Solid waste treatment</v>
      </c>
      <c r="D52" s="132" t="str">
        <v>j</v>
      </c>
      <c r="E52" s="138" t="str">
        <v>Production system</v>
      </c>
      <c r="F52" s="146"/>
      <c r="G52" s="132" t="str">
        <v/>
      </c>
      <c r="H52" s="121" t="str">
        <v>Input</v>
      </c>
      <c r="I52" s="132" t="str">
        <f>X_Cell_Fertiliser_ProductionSystem</f>
        <v>Pasture</v>
      </c>
      <c r="M52" s="25" t="s">
        <v>639</v>
      </c>
      <c r="N52" s="25">
        <v>0</v>
      </c>
      <c r="O52" s="25">
        <v>0</v>
      </c>
      <c r="P52" s="25">
        <v>1000</v>
      </c>
      <c r="Q52" s="25"/>
      <c r="R52" s="25"/>
      <c r="S52" s="25"/>
      <c r="T52" s="25"/>
      <c r="U52" s="25"/>
      <c r="V52" s="25"/>
      <c r="W52" s="25"/>
    </row>
    <row r="53" spans="1:23" ht="20.100000000000001" customHeight="1" x14ac:dyDescent="0.25">
      <c r="D53" s="132" t="str">
        <v>f</v>
      </c>
      <c r="E53" s="138" t="str">
        <v>Inorganic fertiliser type</v>
      </c>
      <c r="F53" s="146"/>
      <c r="G53" s="132" t="str">
        <v/>
      </c>
      <c r="H53" s="128" t="str">
        <v>Constant</v>
      </c>
      <c r="I53" s="132" t="str">
        <f>"See " &amp; D57</f>
        <v>See M1_Table_E_N2O</v>
      </c>
      <c r="M53" s="25" t="s">
        <v>639</v>
      </c>
      <c r="N53" s="25">
        <v>0</v>
      </c>
      <c r="O53" s="25">
        <v>0</v>
      </c>
      <c r="P53" s="25">
        <v>1000</v>
      </c>
      <c r="Q53" s="25"/>
      <c r="R53" s="25"/>
      <c r="S53" s="25"/>
      <c r="T53" s="25"/>
      <c r="U53" s="25"/>
      <c r="V53" s="25"/>
      <c r="W53" s="25"/>
    </row>
    <row r="54" spans="1:23" ht="20.100000000000001" customHeight="1" x14ac:dyDescent="0.25">
      <c r="D54" s="132" t="str">
        <v>ir</v>
      </c>
      <c r="E54" s="138" t="str">
        <v>irrigation method</v>
      </c>
      <c r="F54" s="146"/>
      <c r="G54" s="132" t="str">
        <v/>
      </c>
      <c r="H54" s="121" t="str">
        <v>Input</v>
      </c>
      <c r="I54" s="132" t="str">
        <f>X_Cell_Fertiliser_IrrigationMethod</f>
        <v>Surface irrigation</v>
      </c>
      <c r="M54" s="25" t="s">
        <v>639</v>
      </c>
      <c r="N54" s="25">
        <v>0</v>
      </c>
      <c r="O54" s="25">
        <v>0</v>
      </c>
      <c r="P54" s="25">
        <v>1000</v>
      </c>
      <c r="Q54" s="25"/>
      <c r="R54" s="25"/>
      <c r="S54" s="25"/>
      <c r="T54" s="25"/>
      <c r="U54" s="25"/>
      <c r="V54" s="25"/>
      <c r="W54" s="25"/>
    </row>
    <row r="55" spans="1:23" ht="20.100000000000001" customHeight="1" x14ac:dyDescent="0.25">
      <c r="A55" s="100" t="s">
        <v>1</v>
      </c>
      <c r="D55" s="132" t="str">
        <v>z</v>
      </c>
      <c r="E55" s="138" t="str">
        <v>rainfall zone</v>
      </c>
      <c r="F55" s="146"/>
      <c r="G55" s="132" t="str">
        <v/>
      </c>
      <c r="H55" s="121" t="str">
        <v>Input</v>
      </c>
      <c r="I55" s="132" t="str">
        <f>X_Cell_Site_RainfallZone</f>
        <v>High rainfall</v>
      </c>
      <c r="M55" s="25" t="s">
        <v>640</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6" spans="1:23" ht="20.100000000000001" customHeight="1" x14ac:dyDescent="0.25">
      <c r="A56" s="5" t="str">
        <f>HYPERLINK("#'Constants - Dairy'!A1", "Constants - Dairy")</f>
        <v>Constants - Dairy</v>
      </c>
      <c r="F56" s="26"/>
      <c r="M56" s="25" t="s">
        <v>640</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7" spans="1:23" ht="20.100000000000001" customHeight="1" x14ac:dyDescent="0.25">
      <c r="A57" s="5" t="str">
        <f>HYPERLINK("#'Constants - Ag Residue'!A1", "Constants - Ag residue")</f>
        <v>Constants - Ag residue</v>
      </c>
      <c r="D57" s="122" t="s">
        <v>641</v>
      </c>
      <c r="F57" s="26"/>
      <c r="M57" s="25" t="s">
        <v>640</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8" spans="1:23" ht="20.100000000000001" customHeight="1" x14ac:dyDescent="0.25">
      <c r="A58" s="5" t="str">
        <f>HYPERLINK("#'Constants - Common Livestock'!A1", "Constants - Common Livestock")</f>
        <v>Constants - Common Livestock</v>
      </c>
      <c r="D58" s="123" t="s">
        <v>642</v>
      </c>
      <c r="F58" s="26"/>
      <c r="M58" s="25" t="s">
        <v>640</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s="5" t="str">
        <f>HYPERLINK("#'Constants - Electricity'!A1", "Constants - Electricity")</f>
        <v>Constants - Electricity</v>
      </c>
      <c r="D59" s="124" t="s">
        <v>619</v>
      </c>
      <c r="E59" s="124" t="s">
        <v>643</v>
      </c>
      <c r="M59" s="25" t="s">
        <v>640</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s="5" t="str">
        <f>HYPERLINK("#'Constants - Fertiliser'!A1", "Constants - Fertiliser")</f>
        <v>Constants - Fertiliser</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640</v>
      </c>
      <c r="N60" s="25">
        <v>0</v>
      </c>
      <c r="O60" s="25">
        <v>0</v>
      </c>
      <c r="P60" s="25">
        <v>1000</v>
      </c>
      <c r="Q60" s="25"/>
      <c r="R60" s="25"/>
      <c r="S60" s="25"/>
      <c r="T60" s="25"/>
      <c r="U60" s="25"/>
      <c r="V60" s="25"/>
      <c r="W60" s="25"/>
    </row>
    <row r="61" spans="1:23" ht="20.100000000000001" customHeight="1" x14ac:dyDescent="0.25">
      <c r="A61" s="5" t="str">
        <f>HYPERLINK("#'Constants - Fuel'!A1", "Constants - Fuel")</f>
        <v>Constants - Fuel</v>
      </c>
      <c r="D61" s="25" t="str">
        <v>Diammonium phosphate (DAP)</v>
      </c>
      <c r="E61" s="25" cm="1">
        <f t="array" ref="E61">Fertiliser_Equations_InorganicN2O.VEERG_5_1_1_1__1_InorganicFertiliserApplicationN2OEmissions(G20,$I$50,$I$51)</f>
        <v>0</v>
      </c>
      <c r="M61" s="25" t="s">
        <v>640</v>
      </c>
      <c r="N61" s="25">
        <v>0</v>
      </c>
      <c r="O61" s="25">
        <v>0</v>
      </c>
      <c r="P61" s="25">
        <v>1000</v>
      </c>
      <c r="Q61" s="25"/>
      <c r="R61" s="25"/>
      <c r="S61" s="25"/>
      <c r="T61" s="25"/>
      <c r="U61" s="25"/>
      <c r="V61" s="25"/>
      <c r="W61" s="25"/>
    </row>
    <row r="62" spans="1:23" ht="20.100000000000001" customHeight="1" x14ac:dyDescent="0.25">
      <c r="A62" s="5" t="str">
        <f>HYPERLINK("#'Constants - Scope 3'!A1", "Constants - Scope 3")</f>
        <v>Constants - Scope 3</v>
      </c>
      <c r="D62" s="25" t="str">
        <v>Urea</v>
      </c>
      <c r="E62" s="25" cm="1">
        <f t="array" ref="E62">Fertiliser_Equations_InorganicN2O.VEERG_5_1_1_1__1_InorganicFertiliserApplicationN2OEmissions(G21,$I$50,$I$51)</f>
        <v>1.0754856586571429</v>
      </c>
      <c r="M62" s="25" t="s">
        <v>640</v>
      </c>
      <c r="N62" s="25">
        <v>0</v>
      </c>
      <c r="O62" s="25">
        <v>0</v>
      </c>
      <c r="P62" s="25">
        <v>1000</v>
      </c>
      <c r="Q62" s="25"/>
      <c r="R62" s="25"/>
      <c r="S62" s="25"/>
      <c r="T62" s="25"/>
      <c r="U62" s="25"/>
      <c r="V62" s="25"/>
      <c r="W62" s="25"/>
    </row>
    <row r="63" spans="1:23" ht="20.100000000000001" customHeight="1" x14ac:dyDescent="0.25">
      <c r="A63" s="5" t="str">
        <f>HYPERLINK("#'Constants - Common'!A1", "Constants - Common")</f>
        <v>Constants - Common</v>
      </c>
      <c r="D63" s="25" t="str">
        <v>Sulphate of ammonia (SOA)</v>
      </c>
      <c r="E63" s="25" cm="1">
        <f t="array" ref="E63">Fertiliser_Equations_InorganicN2O.VEERG_5_1_1_1__1_InorganicFertiliserApplicationN2OEmissions(G22,$I$50,$I$51)</f>
        <v>0</v>
      </c>
      <c r="M63" s="25" t="s">
        <v>640</v>
      </c>
      <c r="N63" s="25">
        <v>0</v>
      </c>
      <c r="O63" s="25">
        <v>0</v>
      </c>
      <c r="P63" s="25">
        <v>1000</v>
      </c>
      <c r="Q63" s="25"/>
      <c r="R63" s="25"/>
      <c r="S63" s="25"/>
      <c r="T63" s="25"/>
      <c r="U63" s="25"/>
      <c r="V63" s="25"/>
      <c r="W63" s="25"/>
    </row>
    <row r="64" spans="1:23" ht="20.100000000000001" customHeight="1" x14ac:dyDescent="0.25">
      <c r="A64" s="5" t="str">
        <f>HYPERLINK("#'Acknowledgements'!A1", "Acknowledgements")</f>
        <v>Acknowledgements</v>
      </c>
      <c r="D64" s="25" t="str">
        <v>Urea-ammonium nitrate (UAN)</v>
      </c>
      <c r="E64" s="25" cm="1">
        <f t="array" ref="E64">Fertiliser_Equations_InorganicN2O.VEERG_5_1_1_1__1_InorganicFertiliserApplicationN2OEmissions(G23,$I$50,$I$51)</f>
        <v>0</v>
      </c>
      <c r="M64" s="25" t="s">
        <v>640</v>
      </c>
      <c r="N64" s="25">
        <v>0</v>
      </c>
      <c r="O64" s="25">
        <v>0</v>
      </c>
      <c r="P64" s="25">
        <v>1000</v>
      </c>
      <c r="Q64" s="25"/>
      <c r="R64" s="25"/>
      <c r="S64" s="25"/>
      <c r="T64" s="25"/>
      <c r="U64" s="25"/>
      <c r="V64" s="25"/>
      <c r="W64" s="25"/>
    </row>
    <row r="65" spans="1:24" ht="20.100000000000001" customHeight="1" x14ac:dyDescent="0.25">
      <c r="A65" s="5" t="str">
        <f>HYPERLINK("#'Constants - Solid Waste'!A1", "Constants - Solid Waste")</f>
        <v>Constants - Solid Waste</v>
      </c>
      <c r="D65" s="25" t="str">
        <v>Ammonium nitrate (AN)</v>
      </c>
      <c r="E65" s="25" cm="1">
        <f t="array" ref="E65">Fertiliser_Equations_InorganicN2O.VEERG_5_1_1_1__1_InorganicFertiliserApplicationN2OEmissions(G24,$I$50,$I$51)</f>
        <v>0</v>
      </c>
    </row>
    <row r="66" spans="1:24" ht="20.100000000000001" customHeight="1" x14ac:dyDescent="0.25">
      <c r="D66" s="25" t="str">
        <v>Calcium ammonium nitrate (CAN)</v>
      </c>
      <c r="E66" s="25" cm="1">
        <f t="array" ref="E66">Fertiliser_Equations_InorganicN2O.VEERG_5_1_1_1__1_InorganicFertiliserApplicationN2OEmissions(G25,$I$50,$I$51)</f>
        <v>0</v>
      </c>
    </row>
    <row r="67" spans="1:24" ht="20.100000000000001" customHeight="1" x14ac:dyDescent="0.25">
      <c r="D67" s="25" t="str">
        <v>Nitrogen - Ammoniacal</v>
      </c>
      <c r="E67" s="25" cm="1">
        <f t="array" ref="E67">Fertiliser_Equations_InorganicN2O.VEERG_5_1_1_1__1_InorganicFertiliserApplicationN2OEmissions(G26,$I$50,$I$51)</f>
        <v>0.11496571428571428</v>
      </c>
      <c r="L67" s="101"/>
      <c r="M67" s="101"/>
      <c r="N67" s="101"/>
      <c r="O67" s="101"/>
      <c r="P67" s="101"/>
      <c r="Q67" s="101"/>
      <c r="R67" s="101"/>
      <c r="S67" s="101"/>
      <c r="T67" s="101"/>
      <c r="U67" s="101"/>
      <c r="V67" s="101"/>
      <c r="W67" s="101"/>
      <c r="X67" s="101"/>
    </row>
    <row r="68" spans="1:24" ht="20.100000000000001" customHeight="1" x14ac:dyDescent="0.25">
      <c r="D68" s="25" t="str">
        <v>Nitrogen - Nitrate</v>
      </c>
      <c r="E68" s="25" cm="1">
        <f t="array" ref="E68">Fertiliser_Equations_InorganicN2O.VEERG_5_1_1_1__1_InorganicFertiliserApplicationN2OEmissions(G27,$I$50,$I$51)</f>
        <v>5.0992857142857131E-2</v>
      </c>
      <c r="M68" s="2" t="str" cm="1">
        <f t="array" ref="M68">Fertiliser_Equations_InorganicN2O.VEERG_5_1_1_1__1_InorganicFertiliserApplicationN2OEmissions_Title()</f>
        <v>Nitrous oxide emissions from the application of all inorganic fertiliser types f to all production systems j</v>
      </c>
    </row>
    <row r="69" spans="1: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1:24" ht="20.100000000000001" customHeight="1" x14ac:dyDescent="0.25">
      <c r="D70" s="25" t="str">
        <v>Phosphorus - Generic</v>
      </c>
      <c r="E70" s="25" cm="1">
        <f t="array" ref="E70">Fertiliser_Equations_InorganicN2O.VEERG_5_1_1_1__1_InorganicFertiliserApplicationN2OEmissions(G29,$I$50,$I$51)</f>
        <v>0</v>
      </c>
      <c r="M70" s="118" t="s">
        <v>262</v>
      </c>
      <c r="N70" s="118" t="str" cm="1">
        <f t="array" aca="1" ref="N70" ca="1">Common_InputFunctions.Utility_DisplayFunctionName($E$60)</f>
        <v>=Fertiliser_Equations_InorganicN2O.VEERG_5_1_1_1__1_InorganicFertiliserApplicationN2OEmissions</v>
      </c>
    </row>
    <row r="71" spans="1:24" ht="20.100000000000001" customHeight="1" x14ac:dyDescent="0.25">
      <c r="D71" s="25" t="str">
        <v>Potassium - Generic</v>
      </c>
      <c r="E71" s="25" cm="1">
        <f t="array" ref="E71">Fertiliser_Equations_InorganicN2O.VEERG_5_1_1_1__1_InorganicFertiliserApplicationN2OEmissions(G30,$I$50,$I$51)</f>
        <v>0</v>
      </c>
    </row>
    <row r="72" spans="1:24" ht="20.100000000000001" customHeight="1" x14ac:dyDescent="0.25">
      <c r="D72" s="25" t="str">
        <v>Sulfur - Generic</v>
      </c>
      <c r="E72" s="25" cm="1">
        <f t="array" ref="E72">Fertiliser_Equations_InorganicN2O.VEERG_5_1_1_1__1_InorganicFertiliserApplicationN2OEmissions(G31,$I$50,$I$51)</f>
        <v>0</v>
      </c>
    </row>
    <row r="73" spans="1:24" ht="20.100000000000001" customHeight="1" x14ac:dyDescent="0.25">
      <c r="D73" s="25" t="str">
        <v>Zinc - Generic</v>
      </c>
      <c r="E73" s="25" cm="1">
        <f t="array" ref="E73">Fertiliser_Equations_InorganicN2O.VEERG_5_1_1_1__1_InorganicFertiliserApplicationN2OEmissions(G32,$I$50,$I$51)</f>
        <v>0</v>
      </c>
    </row>
    <row r="74" spans="1:24" ht="20.100000000000001" customHeight="1" x14ac:dyDescent="0.25">
      <c r="D74" s="25" t="str">
        <v>Muriate of potash (MOP)</v>
      </c>
      <c r="E74" s="25" cm="1">
        <f t="array" ref="E74">Fertiliser_Equations_InorganicN2O.VEERG_5_1_1_1__1_InorganicFertiliserApplicationN2OEmissions(G33,$I$50,$I$51)</f>
        <v>0</v>
      </c>
      <c r="M74" s="87" t="s">
        <v>263</v>
      </c>
      <c r="N74" s="1" t="str" cm="1">
        <f t="array" ref="N74">Fertiliser_Equations_InorganicN2O.VEERG_5_1_1_1__1_InorganicFertiliserApplicationN2OEmissions_Variable()</f>
        <v>E_N2O</v>
      </c>
    </row>
    <row r="75" spans="1:24" ht="20.100000000000001" customHeight="1" x14ac:dyDescent="0.25">
      <c r="D75" s="25" t="str">
        <v>Double superphosphate</v>
      </c>
      <c r="E75" s="25" cm="1">
        <f t="array" ref="E75">Fertiliser_Equations_InorganicN2O.VEERG_5_1_1_1__1_InorganicFertiliserApplicationN2OEmissions(G34,$I$50,$I$51)</f>
        <v>0</v>
      </c>
      <c r="M75" s="87" t="s">
        <v>122</v>
      </c>
      <c r="N75" s="15" t="str" cm="1">
        <f t="array" ref="N75">Fertiliser_Equations_InorganicN2O.VEERG_5_1_1_1__1_InorganicFertiliserApplicationN2OEmissions_Unit()</f>
        <v>t N2O</v>
      </c>
    </row>
    <row r="76" spans="1:24" ht="20.100000000000001" customHeight="1" x14ac:dyDescent="0.25">
      <c r="D76" s="25" t="str">
        <v>Single superphosphate (SSP)</v>
      </c>
      <c r="E76" s="25" cm="1">
        <f t="array" ref="E76">Fertiliser_Equations_InorganicN2O.VEERG_5_1_1_1__1_InorganicFertiliserApplicationN2OEmissions(G35,$I$50,$I$51)</f>
        <v>0</v>
      </c>
    </row>
    <row r="77" spans="1:24" ht="20.100000000000001" customHeight="1" x14ac:dyDescent="0.25">
      <c r="D77" s="25" t="str">
        <v>Ammonia</v>
      </c>
      <c r="E77" s="25" cm="1">
        <f t="array" ref="E77">Fertiliser_Equations_InorganicN2O.VEERG_5_1_1_1__1_InorganicFertiliserApplicationN2OEmissions(G36,$I$50,$I$51)</f>
        <v>0.38175107142857145</v>
      </c>
      <c r="M77" s="132" t="str" cm="1">
        <f t="array" ref="M77:N84">_xlfn.CHOOSECOLS(Fertiliser_Equations_InorganicN2O.VEERG_5_1_1_1__1_InorganicFertiliserApplicationN2OEmissions_Arguments_Method2(), 1, 2)</f>
        <v>MN_jf</v>
      </c>
      <c r="N77" s="138" t="str">
        <v>mass of nitrogen in inorganic fertiliser type f applied to production system j</v>
      </c>
      <c r="O77" s="146"/>
      <c r="P77" s="143"/>
      <c r="Q77" s="132" t="str" cm="1">
        <f t="array" ref="Q77:R84">_xlfn.CHOOSECOLS(Fertiliser_Equations_InorganicN2O.VEERG_5_1_1_1__1_InorganicFertiliserApplicationN2OEmissions_Arguments_Method2(), 3,4)</f>
        <v>kg N</v>
      </c>
      <c r="R77" s="128" t="str">
        <v>Calculated from 5.1.1.1 (2)</v>
      </c>
      <c r="S77" s="127" t="str" cm="1">
        <f t="array" aca="1" ref="S77" ca="1">HYPERLINK(Common_InputFunctions.Utility_SourceHyperlink(M41), M41)</f>
        <v>M2_Table_FertApplications</v>
      </c>
    </row>
    <row r="78" spans="1:24" ht="20.100000000000001" customHeight="1" x14ac:dyDescent="0.25">
      <c r="D78" s="25" t="str">
        <v>Calcium nitrate</v>
      </c>
      <c r="E78" s="25" cm="1">
        <f t="array" ref="E78">Fertiliser_Equations_InorganicN2O.VEERG_5_1_1_1__1_InorganicFertiliserApplicationN2OEmissions(G37,$I$50,$I$51)</f>
        <v>7.1853571428571433E-2</v>
      </c>
      <c r="M78" s="132" t="str">
        <v>EF_jN2O</v>
      </c>
      <c r="N78" s="138" t="str">
        <v>emission factor for nitrous oxide for inorganic fertilisers</v>
      </c>
      <c r="O78" s="146"/>
      <c r="P78" s="143"/>
      <c r="Q78" s="132" t="str">
        <v>kg N2O-N/kg N applied</v>
      </c>
      <c r="R78" s="128" t="str">
        <v>Calculated from 5.1.1.2 (1)(2)(3)</v>
      </c>
      <c r="S78" s="132" t="str" cm="1">
        <f t="array" ref="S78">_xlfn.IFS(
  AND(S80="crop", S81="grains", S83="not irrigated", S84="high rainfall"), $S$44,
  AND(S80="Crop", S81="maize", S83&lt;&gt;"not irrigated"), $R$44,
  AND(S80="Crop", S81="cotton"), $V$44,
  TRUE, $W$44
)</f>
        <v>EF_jN2O</v>
      </c>
    </row>
    <row r="79" spans="1:24" ht="20.100000000000001" customHeight="1" x14ac:dyDescent="0.25">
      <c r="M79" s="132" t="str">
        <v>C_N2O</v>
      </c>
      <c r="N79" s="138" t="str">
        <v>factor to convert elemental mass of nitrous oxide to molecular mass</v>
      </c>
      <c r="O79" s="146"/>
      <c r="P79" s="143"/>
      <c r="Q79" s="132" t="str">
        <v/>
      </c>
      <c r="R79" s="128" t="str">
        <v>Constant</v>
      </c>
      <c r="S79" s="132">
        <f>Common_InputFunctions.Utility_LookupValueInTableNumber("N2O",Table_GasToMolecularConversionFactor[Gas],Table_GasToMolecularConversionFactor[Conversion factor combined])</f>
        <v>1.5714285714285714</v>
      </c>
    </row>
    <row r="80" spans="1:24" ht="20.100000000000001" customHeight="1" x14ac:dyDescent="0.25">
      <c r="D80" s="135" t="s">
        <v>644</v>
      </c>
      <c r="E80" s="136">
        <f>SUM(E60:E78)</f>
        <v>1.6950488729428572</v>
      </c>
      <c r="F80" s="137" t="str">
        <f>$E$47</f>
        <v>t N2O</v>
      </c>
      <c r="M80" s="132" t="str">
        <v>j</v>
      </c>
      <c r="N80" s="138" t="str">
        <v>Production system</v>
      </c>
      <c r="O80" s="146"/>
      <c r="P80" s="143"/>
      <c r="Q80" s="132" t="str">
        <v/>
      </c>
      <c r="R80" s="121" t="str">
        <v>Input</v>
      </c>
      <c r="S80" s="132" t="str">
        <f>X_Cell_Fertiliser_ProductionSystem</f>
        <v>Pasture</v>
      </c>
    </row>
    <row r="81" spans="4:19" ht="20.100000000000001" customHeight="1" x14ac:dyDescent="0.25">
      <c r="M81" s="132" t="str">
        <v>c</v>
      </c>
      <c r="N81" s="138" t="str">
        <v>Crop type</v>
      </c>
      <c r="O81" s="146"/>
      <c r="P81" s="143"/>
      <c r="Q81" s="132" t="str">
        <v/>
      </c>
      <c r="R81" s="121" t="str">
        <v>Input</v>
      </c>
      <c r="S81" s="132" t="str">
        <f>X_Cell_Fertiliser_CropType</f>
        <v>Pasture</v>
      </c>
    </row>
    <row r="82" spans="4:19" ht="20.100000000000001" customHeight="1" x14ac:dyDescent="0.25">
      <c r="D82" s="132" t="str" cm="1">
        <f t="array" ref="D82:E83">Common_Equations.Common_ConvertN2OToCO2e_Arguments()</f>
        <v>EN2O</v>
      </c>
      <c r="E82" s="138" t="str">
        <v>Nitrous oxide emissions (t N2O)</v>
      </c>
      <c r="F82" s="139"/>
      <c r="G82" s="25">
        <f>VEERG_5_1_1_1__1_InorganicFertiliserApplicationN2OEmissions_Result_Method1</f>
        <v>1.6950488729428572</v>
      </c>
      <c r="M82" s="132" t="str">
        <v>f</v>
      </c>
      <c r="N82" s="138" t="str">
        <v>Inorganic fertiliser type</v>
      </c>
      <c r="O82" s="146"/>
      <c r="P82" s="143"/>
      <c r="Q82" s="132" t="str">
        <v/>
      </c>
      <c r="R82" s="128" t="str">
        <v>Constant</v>
      </c>
      <c r="S82" s="132" t="s">
        <v>645</v>
      </c>
    </row>
    <row r="83" spans="4:19" ht="20.100000000000001" customHeight="1" x14ac:dyDescent="0.25">
      <c r="D83" s="132" t="str">
        <v>GWPN2O</v>
      </c>
      <c r="E83" s="138" t="str">
        <v>Global warming potential for nitrous oxide (t CO2-e / t N2O)</v>
      </c>
      <c r="F83" s="139"/>
      <c r="G83" s="25">
        <f>Common_InputFunctions.Utility_LookupValueInTableNumber("N2O",Table_GWPData[Gas],Table_GWPData[CO2-e factor])</f>
        <v>265</v>
      </c>
      <c r="M83" s="132" t="str">
        <v>ir</v>
      </c>
      <c r="N83" s="138" t="str">
        <v>irrigation method</v>
      </c>
      <c r="O83" s="146"/>
      <c r="P83" s="143"/>
      <c r="Q83" s="132" t="str">
        <v/>
      </c>
      <c r="R83" s="121" t="str">
        <v>Input</v>
      </c>
      <c r="S83" s="132" t="str">
        <f>X_Cell_Fertiliser_IrrigationMethod</f>
        <v>Surface irrigation</v>
      </c>
    </row>
    <row r="84" spans="4:19" ht="20.100000000000001" customHeight="1" x14ac:dyDescent="0.25">
      <c r="M84" s="138" t="str">
        <v>z</v>
      </c>
      <c r="N84" s="138" t="str">
        <v>rainfall zone</v>
      </c>
      <c r="O84" s="146"/>
      <c r="P84" s="146"/>
      <c r="Q84" s="132" t="str">
        <v/>
      </c>
      <c r="R84" s="121" t="str">
        <v>Input</v>
      </c>
      <c r="S84" s="132" t="str">
        <f>X_Cell_Site_RainfallZone</f>
        <v>High rainfall</v>
      </c>
    </row>
    <row r="85" spans="4:19" ht="20.100000000000001" customHeight="1" x14ac:dyDescent="0.25">
      <c r="D85" s="101" t="s">
        <v>412</v>
      </c>
      <c r="E85" s="101" cm="1">
        <f t="array" ref="E85">Common_Equations.Common_ConvertN2OToCO2e(G82,G83)</f>
        <v>449.18795132985719</v>
      </c>
      <c r="F85" s="140" t="str" cm="1">
        <f t="array" ref="F85">Common_Equations.Common_ConvertN2OToCO2e_Unit()</f>
        <v>t CO2e</v>
      </c>
    </row>
    <row r="86" spans="4:19" ht="20.100000000000001" customHeight="1" x14ac:dyDescent="0.25">
      <c r="M86" s="124" t="s">
        <v>632</v>
      </c>
      <c r="N86" s="124" t="s">
        <v>632</v>
      </c>
      <c r="O86" s="124" t="s">
        <v>646</v>
      </c>
      <c r="P86" s="124" t="s">
        <v>643</v>
      </c>
    </row>
    <row r="87" spans="4:19" ht="20.100000000000001" customHeight="1" x14ac:dyDescent="0.25">
      <c r="M87" s="25" t="s">
        <v>639</v>
      </c>
      <c r="N87" s="25" t="str" cm="1">
        <f t="array" ref="N87:N96">Table_Input_InorganicFertiliser_Brands[Product (select)]</f>
        <v>Urea</v>
      </c>
      <c r="O87" s="25" cm="1">
        <f t="array" ref="O87">_xlfn.XLOOKUP(N87,$N$45:$N$64,_xlfn.XLOOKUP($S$78,$R$44:$W$44,$R$45:$W$64), "")</f>
        <v>5.8999999999999999E-3</v>
      </c>
      <c r="P87" s="25" cm="1">
        <f t="array" ref="P87">Fertiliser_Equations_InorganicN2O.VEERG_5_1_1_1__1_InorganicFertiliserApplicationN2OEmissions(Q45,O87,$S$79)</f>
        <v>0.4264857142857143</v>
      </c>
    </row>
    <row r="88" spans="4:19" ht="20.100000000000001" customHeight="1" x14ac:dyDescent="0.25">
      <c r="M88" s="25" t="s">
        <v>639</v>
      </c>
      <c r="N88" s="25" t="str">
        <v>Boost-It</v>
      </c>
      <c r="O88" s="25" cm="1">
        <f t="array" ref="O88">_xlfn.XLOOKUP(N88,$N$45:$N$64,_xlfn.XLOOKUP($S$78,$R$44:$W$44,$R$45:$W$64), "")</f>
        <v>5.8999999999999999E-3</v>
      </c>
      <c r="P88" s="25" cm="1">
        <f t="array" ref="P88">Fertiliser_Equations_InorganicN2O.VEERG_5_1_1_1__1_InorganicFertiliserApplicationN2OEmissions(Q46,O88,$S$79)</f>
        <v>0.22251428571428572</v>
      </c>
    </row>
    <row r="89" spans="4:19" ht="20.100000000000001" customHeight="1" x14ac:dyDescent="0.25">
      <c r="M89" s="25" t="s">
        <v>639</v>
      </c>
      <c r="N89" s="25" t="str">
        <v>Cal-Gran 50/50</v>
      </c>
      <c r="O89" s="25" cm="1">
        <f t="array" ref="O89">_xlfn.XLOOKUP(N89,$N$45:$N$64,_xlfn.XLOOKUP($S$78,$R$44:$W$44,$R$45:$W$64), "")</f>
        <v>5.8999999999999999E-3</v>
      </c>
      <c r="P89" s="25" cm="1">
        <f t="array" ref="P89">Fertiliser_Equations_InorganicN2O.VEERG_5_1_1_1__1_InorganicFertiliserApplicationN2OEmissions(Q47,O89,$S$79)</f>
        <v>0.16595857142857143</v>
      </c>
    </row>
    <row r="90" spans="4:19" ht="20.100000000000001" customHeight="1" x14ac:dyDescent="0.25">
      <c r="M90" s="25" t="s">
        <v>639</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639</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639</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639</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639</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639</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639</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640</v>
      </c>
      <c r="N97" s="25" t="str" cm="1">
        <f t="array" ref="N97:N106">Table_Input_InorganicFertiliser_Custom[Custom blend name]</f>
        <v>My first custom blend</v>
      </c>
      <c r="O97" s="25" cm="1">
        <f t="array" ref="O97">_xlfn.XLOOKUP(N97,$N$45:$N$64,_xlfn.XLOOKUP($S$78,$R$44:$W$44,$R$45:$W$64), "")</f>
        <v>5.8999999999999999E-3</v>
      </c>
      <c r="P97" s="25" cm="1">
        <f t="array" ref="P97">Fertiliser_Equations_InorganicN2O.VEERG_5_1_1_1__1_InorganicFertiliserApplicationN2OEmissions(Q55,O97,$S$79)</f>
        <v>7.1853571428571433E-2</v>
      </c>
    </row>
    <row r="98" spans="13:16" ht="20.100000000000001" customHeight="1" x14ac:dyDescent="0.25">
      <c r="M98" s="25" t="s">
        <v>640</v>
      </c>
      <c r="N98" s="25" t="str">
        <v>My second custom blend</v>
      </c>
      <c r="O98" s="25" cm="1">
        <f t="array" ref="O98">_xlfn.XLOOKUP(N98,$N$45:$N$64,_xlfn.XLOOKUP($S$78,$R$44:$W$44,$R$45:$W$64), "")</f>
        <v>5.8999999999999999E-3</v>
      </c>
      <c r="P98" s="25" cm="1">
        <f t="array" ref="P98">Fertiliser_Equations_InorganicN2O.VEERG_5_1_1_1__1_InorganicFertiliserApplicationN2OEmissions(Q56,O98,$S$79)</f>
        <v>0.4264857142857143</v>
      </c>
    </row>
    <row r="99" spans="13:16" ht="20.100000000000001" customHeight="1" x14ac:dyDescent="0.25">
      <c r="M99" s="25" t="s">
        <v>640</v>
      </c>
      <c r="N99" s="25" t="str">
        <v>My third custom blend</v>
      </c>
      <c r="O99" s="25" cm="1">
        <f t="array" ref="O99">_xlfn.XLOOKUP(N99,$N$45:$N$64,_xlfn.XLOOKUP($S$78,$R$44:$W$44,$R$45:$W$64), "")</f>
        <v>5.8999999999999999E-3</v>
      </c>
      <c r="P99" s="25" cm="1">
        <f t="array" ref="P99">Fertiliser_Equations_InorganicN2O.VEERG_5_1_1_1__1_InorganicFertiliserApplicationN2OEmissions(Q57,O99,$S$79)</f>
        <v>0.38175107142857145</v>
      </c>
    </row>
    <row r="100" spans="13:16" ht="20.100000000000001" customHeight="1" x14ac:dyDescent="0.25">
      <c r="M100" s="25" t="s">
        <v>640</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640</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640</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640</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640</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640</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640</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35" t="s">
        <v>644</v>
      </c>
      <c r="N108" s="136">
        <f>SUM(P87:P106)</f>
        <v>1.6950489285714285</v>
      </c>
      <c r="O108" s="137" t="str">
        <f>$E$47</f>
        <v>t N2O</v>
      </c>
    </row>
    <row r="109" spans="13:16" ht="20.100000000000001" customHeight="1" x14ac:dyDescent="0.25"/>
    <row r="110" spans="13:16" ht="20.100000000000001" customHeight="1" x14ac:dyDescent="0.25">
      <c r="M110" s="132" t="str" cm="1">
        <f t="array" ref="M110:N111">Common_Equations.Common_ConvertN2OToCO2e_Arguments()</f>
        <v>EN2O</v>
      </c>
      <c r="N110" s="138" t="str">
        <v>Nitrous oxide emissions (t N2O)</v>
      </c>
      <c r="O110" s="139"/>
      <c r="P110" s="25">
        <f>VEERG_5_1_1_1__1_InorganicFertiliserApplicationN2OEmissions_Result_Method2</f>
        <v>1.6950489285714285</v>
      </c>
    </row>
    <row r="111" spans="13:16" ht="20.100000000000001" customHeight="1" x14ac:dyDescent="0.25">
      <c r="M111" s="132" t="str">
        <v>GWPN2O</v>
      </c>
      <c r="N111" s="138" t="str">
        <v>Global warming potential for nitrous oxide (t CO2-e / t N2O)</v>
      </c>
      <c r="O111" s="139"/>
      <c r="P111" s="25">
        <f>Common_InputFunctions.Utility_LookupValueInTableNumber("N2O",Table_GWPData[Gas],Table_GWPData[CO2-e factor])</f>
        <v>265</v>
      </c>
    </row>
    <row r="112" spans="13:16" ht="20.100000000000001" customHeight="1" x14ac:dyDescent="0.25"/>
    <row r="113" spans="13:15" ht="20.100000000000001" customHeight="1" x14ac:dyDescent="0.25">
      <c r="M113" s="101" t="s">
        <v>412</v>
      </c>
      <c r="N113" s="101" cm="1">
        <f t="array" ref="N113">Common_Equations.Common_ConvertN2OToCO2e(P110,P111)</f>
        <v>449.18796607142855</v>
      </c>
      <c r="O113" s="140"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C8AEAFAD-F41F-4F2F-B7E7-1FD0C0E2A50E}"/>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D35EF-AECF-48AC-B618-5B8E3521C76D}">
  <dimension ref="A1:U165"/>
  <sheetViews>
    <sheetView showGridLines="0" topLeftCell="A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647</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8" t="s">
        <v>262</v>
      </c>
      <c r="E7" s="118"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Fertiliser_Equations_InorganicCO2.VEERG_5_1_1_3__2_MassOfUreaInInorganicFertiliser_Variable()</f>
        <v>MU_jf</v>
      </c>
    </row>
    <row r="11" spans="1:21" ht="20.100000000000001" customHeight="1" x14ac:dyDescent="0.25">
      <c r="A11" s="5" t="str">
        <f>HYPERLINK("#'Input - Dairy'!A1", "Dairy")</f>
        <v>Dairy</v>
      </c>
      <c r="D11" s="87" t="s">
        <v>122</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2" t="str" cm="1">
        <f t="array" ref="D13:E14">_xlfn.CHOOSECOLS(Fertiliser_Equations_InorganicCO2.VEERG_5_1_1_3__2_MassOfUreaInInorganicFertiliser_Arguments(), 1, 2)</f>
        <v>TM_jf</v>
      </c>
      <c r="E13" s="138" t="str">
        <v>total mass of inorganic fertiliser type f applied to production system j</v>
      </c>
      <c r="F13" s="143"/>
      <c r="G13" s="132" t="str" cm="1">
        <f t="array" ref="G13:H14">_xlfn.CHOOSECOLS(Fertiliser_Equations_InorganicCO2.VEERG_5_1_1_3__2_MassOfUreaInInorganicFertiliser_Arguments(), 3, 4)</f>
        <v>kg</v>
      </c>
      <c r="H13" s="121" t="str">
        <v>Input</v>
      </c>
      <c r="I13" s="127"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2" t="str">
        <v>FU_f</v>
      </c>
      <c r="E14" s="138" t="str">
        <v>fraction of urea in fertiliser type f</v>
      </c>
      <c r="F14" s="143"/>
      <c r="G14" s="132" t="str">
        <v>kg urea/kg</v>
      </c>
      <c r="H14" s="128" t="str">
        <v>Lookup</v>
      </c>
      <c r="I14" s="127"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648</v>
      </c>
    </row>
    <row r="17" spans="1:7" ht="20.100000000000001" customHeight="1" x14ac:dyDescent="0.25">
      <c r="A17" s="5" t="str">
        <f>HYPERLINK("#'Input - Fertiliser'!A1", "Fertiliser")</f>
        <v>Fertiliser</v>
      </c>
      <c r="D17" s="123" t="s">
        <v>649</v>
      </c>
    </row>
    <row r="18" spans="1:7" ht="20.100000000000001" customHeight="1" x14ac:dyDescent="0.25">
      <c r="A18" s="5" t="str">
        <f>HYPERLINK("#'Input - Fuel'!A1", "Fuel")</f>
        <v>Fuel</v>
      </c>
      <c r="D18" s="124" t="s">
        <v>619</v>
      </c>
      <c r="E18" s="94" t="s">
        <v>620</v>
      </c>
      <c r="F18" s="124" t="s">
        <v>650</v>
      </c>
      <c r="G18" s="124" t="s">
        <v>651</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HYPERLINK("#'5.1.1.1-2 Inorganic fert N2O'!A1", "5.1.1.1-2 Inorganic fert N2O")</f>
        <v>5.1.1.1-2 Inorganic fert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119" t="str">
        <f>HYPERLINK("#'5.1.1.3-4 Inorganic fert CO2'!A1", "5.1.1.3-4 Inorganic fert CO2")</f>
        <v>5.1.1.3-4 Inorganic fert CO2</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HYPERLINK("#'5.2.1.1-2 Organic Fert N2O'!A1", "5.2.1.1-2 Organic fert N2O")</f>
        <v>5.2.1.1-2 Organic fert N2O</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HYPERLINK("#'5.3.1.1-2 Lime CO2'!A1", "5.3.1.1-2 Lime CO2")</f>
        <v>5.3.1.1-2 Lime CO2</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HYPERLINK("#'5.4.1.1-4 Atmos deposition'!A1", "5.4.1.1-4 Atmos. deposition")</f>
        <v>5.4.1.1-4 Atmos. deposition</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HYPERLINK("#'5.5.1.1-2 Leaching and runoff'!A1", "5.5.1.1-2 Leaching &amp; runoff")</f>
        <v>5.5.1.1-2 Leaching &amp; runoff</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HYPERLINK("#'6.2.1.1-2 Pasture residue N2O'!A1", "6.2.1.1-2 Pasture residue N2O")</f>
        <v>6.2.1.1-2 Pasture residue N2O</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HYPERLINK("#'6.3.1.1-2 Leach runoff pasture'!A1", "6.3.1.1-2 Leach &amp; runoff (pasture)")</f>
        <v>6.3.1.1-2 Leach &amp; runoff (pasture)</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HYPERLINK("#'8.1.1.1-2 Transport fuel'!A1", "8.1.1.1-2 Transport fuel")</f>
        <v>8.1.1.1-2 Transport fuel</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c r="C40" s="101"/>
      <c r="D40" s="101"/>
      <c r="E40" s="101"/>
      <c r="F40" s="101"/>
      <c r="G40" s="101"/>
      <c r="H40" s="101"/>
      <c r="I40" s="101"/>
      <c r="J40" s="101"/>
      <c r="K40" s="101"/>
      <c r="L40" s="101"/>
    </row>
    <row r="41" spans="1:12" ht="20.100000000000001" customHeight="1" x14ac:dyDescent="0.25">
      <c r="A41" s="5" t="str">
        <f>HYPERLINK("#'15 Scope 3'!A1", "15 Scope 3")</f>
        <v>15 Scope 3</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HYPERLINK("#'Calcs - Manure sent off-site'!A1", "Calcs - Manure sent off-site")</f>
        <v>Calcs - Manure sent off-site</v>
      </c>
      <c r="D42" s="27" t="str" cm="1">
        <f t="array" ref="D42">Fertiliser_Equations_InorganicCO2.VEERG_5_1_1_3__1_InorganicFertiliserApplicationCO2Emissions_Source()</f>
        <v>VEERG 2026: 5.1.1.3, Equation (1)</v>
      </c>
    </row>
    <row r="43" spans="1:12" ht="20.100000000000001" customHeight="1" x14ac:dyDescent="0.25">
      <c r="A43" s="5" t="str">
        <f>HYPERLINK("#'4.3.1.1-2 Methane'!A1", "4.3.1.1-2 Methane")</f>
        <v>4.3.1.1-2 Methane</v>
      </c>
      <c r="D43" s="118" t="s">
        <v>262</v>
      </c>
      <c r="E43" s="118"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c r="D46" s="87" t="s">
        <v>263</v>
      </c>
      <c r="E46" s="1" t="str" cm="1">
        <f t="array" ref="E46">Fertiliser_Equations_InorganicCO2.VEERG_5_1_1_3__1_InorganicFertiliserApplicationCO2Emissions_Variable()</f>
        <v>E_CO2</v>
      </c>
    </row>
    <row r="47" spans="1:12" ht="20.100000000000001" customHeight="1" x14ac:dyDescent="0.25">
      <c r="A47" s="5" t="str">
        <f>HYPERLINK("#'4.3.1.8 Manure applied to soils'!A1", "4.3.1.8 Manure applied to soils")</f>
        <v>4.3.1.8 Manure applied to soils</v>
      </c>
      <c r="D47" s="87" t="s">
        <v>122</v>
      </c>
      <c r="E47" s="15" t="str" cm="1">
        <f t="array" ref="E47">Fertiliser_Equations_InorganicCO2.VEERG_5_1_1_3__1_InorganicFertiliserApplicationCO2Emissions_Unit()</f>
        <v>t CO2</v>
      </c>
    </row>
    <row r="48" spans="1:12" ht="20.100000000000001" customHeight="1" x14ac:dyDescent="0.25">
      <c r="A48" s="5" t="str">
        <f>HYPERLINK("#'4.3.1.9 Soil direct N2O'!A1", "4.3.1.9 Soil direct N2O")</f>
        <v>4.3.1.9 Soil direct N2O</v>
      </c>
    </row>
    <row r="49" spans="1:9" ht="20.100000000000001" customHeight="1" x14ac:dyDescent="0.25">
      <c r="A49" s="5" t="str">
        <f>HYPERLINK("#'4.3.1.10-11 Soil Atmos Dep'!A1", "4.3.1.10-11 Soil Atmos Dep")</f>
        <v>4.3.1.10-11 Soil Atmos Dep</v>
      </c>
      <c r="D49" s="132" t="str" cm="1">
        <f t="array" ref="D49:E53">_xlfn.CHOOSECOLS(Fertiliser_Equations_InorganicCO2.VEERG_5_1_1_3__1_InorganicFertiliserApplicationCO2Emissions_Arguments(), 1, 2)</f>
        <v>MU_jf</v>
      </c>
      <c r="E49" s="138" t="str">
        <v>mass of urea of inorganic fertiliser type f applied to production system j</v>
      </c>
      <c r="F49" s="143"/>
      <c r="G49" s="132" t="str" cm="1">
        <f t="array" ref="G49:H53">_xlfn.CHOOSECOLS(Fertiliser_Equations_InorganicCO2.VEERG_5_1_1_3__1_InorganicFertiliserApplicationCO2Emissions_Arguments(), 3,4)</f>
        <v>kg urea</v>
      </c>
      <c r="H49" s="128" t="str">
        <v>Calculated</v>
      </c>
      <c r="I49" s="127" t="str" cm="1">
        <f t="array" aca="1" ref="I49" ca="1">HYPERLINK(Common_InputFunctions.Utility_SourceHyperlink($D$16), $D$16)</f>
        <v>Table_MU_j_f</v>
      </c>
    </row>
    <row r="50" spans="1:9" ht="20.100000000000001" customHeight="1" x14ac:dyDescent="0.25">
      <c r="A50" s="5" t="str">
        <f>HYPERLINK("#'4.3.1.12-13 Soil leach runoff'!A1", "4.3.1.12-13 Soil leach runoff")</f>
        <v>4.3.1.12-13 Soil leach runoff</v>
      </c>
      <c r="D50" s="132" t="str">
        <v>EF_ureaCO2</v>
      </c>
      <c r="E50" s="138" t="str">
        <v>emission factor for carbon emissions from urea-based fertilisers</v>
      </c>
      <c r="F50" s="143"/>
      <c r="G50" s="132" t="str">
        <v>kg C/kg urea</v>
      </c>
      <c r="H50" s="128" t="str">
        <v>Constant</v>
      </c>
      <c r="I50" s="132">
        <f>Fertiliser_EFUreaCO2_Data</f>
        <v>0.2</v>
      </c>
    </row>
    <row r="51" spans="1:9" ht="20.100000000000001" customHeight="1" x14ac:dyDescent="0.25">
      <c r="A51" s="5" t="str">
        <f>HYPERLINK("#'3.3.1.1-2 Enteric Methane'!A1", "3.3.1.1-2 Enteric Methane")</f>
        <v>3.3.1.1-2 Enteric Methane</v>
      </c>
      <c r="D51" s="132" t="str">
        <v>C_CO2</v>
      </c>
      <c r="E51" s="138" t="str">
        <v>factor to convert elemental mass of carbon to molecular mass of carbon dioxide</v>
      </c>
      <c r="F51" s="143"/>
      <c r="G51" s="132" t="str">
        <v/>
      </c>
      <c r="H51" s="128" t="str">
        <v>Constant</v>
      </c>
      <c r="I51" s="132">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HYPERLINK("#'10.1.1-2 Solid waste treatment'!A1", "10.1.1-2 Solid waste treatment")</f>
        <v>10.1.1-2 Solid waste treatment</v>
      </c>
      <c r="D52" s="132" t="str">
        <v>j</v>
      </c>
      <c r="E52" s="138" t="str">
        <v>Production system</v>
      </c>
      <c r="F52" s="143"/>
      <c r="G52" s="132" t="str">
        <v/>
      </c>
      <c r="H52" s="121" t="str">
        <v>Input</v>
      </c>
      <c r="I52" s="132" t="str">
        <f>X_Cell_Fertiliser_ProductionSystem</f>
        <v>Pasture</v>
      </c>
    </row>
    <row r="53" spans="1:9" ht="20.100000000000001" customHeight="1" x14ac:dyDescent="0.25">
      <c r="D53" s="132" t="str">
        <v>f</v>
      </c>
      <c r="E53" s="138" t="str">
        <v>Inorganic fertiliser type</v>
      </c>
      <c r="F53" s="143"/>
      <c r="G53" s="132" t="str">
        <v/>
      </c>
      <c r="H53" s="128" t="str">
        <v>Lookup</v>
      </c>
      <c r="I53" s="127" t="str" cm="1">
        <f t="array" aca="1" ref="I53" ca="1">HYPERLINK(Common_InputFunctions.Utility_SourceHyperlink($D$16), $D$16)</f>
        <v>Table_MU_j_f</v>
      </c>
    </row>
    <row r="54" spans="1:9" ht="20.100000000000001" customHeight="1" x14ac:dyDescent="0.25"/>
    <row r="55" spans="1:9" ht="20.100000000000001" customHeight="1" x14ac:dyDescent="0.25">
      <c r="A55" s="100" t="s">
        <v>1</v>
      </c>
      <c r="D55" s="122" t="s">
        <v>652</v>
      </c>
    </row>
    <row r="56" spans="1:9" ht="20.100000000000001" customHeight="1" x14ac:dyDescent="0.25">
      <c r="A56" s="5" t="str">
        <f>HYPERLINK("#'Constants - Dairy'!A1", "Constants - Dairy")</f>
        <v>Constants - Dairy</v>
      </c>
      <c r="D56" s="123" t="s">
        <v>653</v>
      </c>
    </row>
    <row r="57" spans="1:9" ht="20.100000000000001" customHeight="1" x14ac:dyDescent="0.25">
      <c r="A57" s="5" t="str">
        <f>HYPERLINK("#'Constants - Ag Residue'!A1", "Constants - Ag residue")</f>
        <v>Constants - Ag residue</v>
      </c>
      <c r="D57" s="124" t="s">
        <v>619</v>
      </c>
      <c r="E57" s="124" t="s">
        <v>643</v>
      </c>
    </row>
    <row r="58" spans="1:9" ht="20.100000000000001" customHeight="1" x14ac:dyDescent="0.25">
      <c r="A58" s="5" t="str">
        <f>HYPERLINK("#'Constants - Common Livestock'!A1", "Constants - Common Livestock")</f>
        <v>Constants - Common Livestock</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Electricity'!A1", "Constants - Electricity")</f>
        <v>Constants - Electricity</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Fertiliser'!A1", "Constants - Fertiliser")</f>
        <v>Constants - Fertiliser</v>
      </c>
      <c r="D60" s="25" t="str">
        <v>Urea</v>
      </c>
      <c r="E60" s="25" cm="1">
        <f t="array" ref="E60">Fertiliser_Equations_InorganicCO2.VEERG_5_1_1_3__1_InorganicFertiliserApplicationCO2Emissions(G21,$I$50,$I$51)</f>
        <v>184.92752666666664</v>
      </c>
    </row>
    <row r="61" spans="1:9" ht="20.100000000000001" customHeight="1" x14ac:dyDescent="0.25">
      <c r="A61" s="5" t="str">
        <f>HYPERLINK("#'Constants - Fuel'!A1", "Constants - Fuel")</f>
        <v>Constants - Fuel</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Scope 3'!A1", "Constants - Scope 3")</f>
        <v>Constants - Scope 3</v>
      </c>
      <c r="D62" s="25" t="str">
        <v>Urea-ammonium nitrate (UAN)</v>
      </c>
      <c r="E62" s="25" cm="1">
        <f t="array" ref="E62">Fertiliser_Equations_InorganicCO2.VEERG_5_1_1_3__1_InorganicFertiliserApplicationCO2Emissions(G23,$I$50,$I$51)</f>
        <v>0</v>
      </c>
    </row>
    <row r="63" spans="1:9" ht="20.100000000000001" customHeight="1" x14ac:dyDescent="0.25">
      <c r="A63" s="5" t="str">
        <f>HYPERLINK("#'Constants - Common'!A1", "Constants - Common")</f>
        <v>Constants - Common</v>
      </c>
      <c r="D63" s="25" t="str">
        <v>Ammonium nitrate (AN)</v>
      </c>
      <c r="E63" s="25" cm="1">
        <f t="array" ref="E63">Fertiliser_Equations_InorganicCO2.VEERG_5_1_1_3__1_InorganicFertiliserApplicationCO2Emissions(G24,$I$50,$I$51)</f>
        <v>0</v>
      </c>
    </row>
    <row r="64" spans="1:9" ht="20.100000000000001" customHeight="1" x14ac:dyDescent="0.25">
      <c r="A64" s="5" t="str">
        <f>HYPERLINK("#'Acknowledgements'!A1", "Acknowledgements")</f>
        <v>Acknowledgements</v>
      </c>
      <c r="D64" s="25" t="str">
        <v>Calcium ammonium nitrate (CAN)</v>
      </c>
      <c r="E64" s="25" cm="1">
        <f t="array" ref="E64">Fertiliser_Equations_InorganicCO2.VEERG_5_1_1_3__1_InorganicFertiliserApplicationCO2Emissions(G25,$I$50,$I$51)</f>
        <v>0</v>
      </c>
    </row>
    <row r="65" spans="1:6" ht="20.100000000000001" customHeight="1" x14ac:dyDescent="0.25">
      <c r="A65" s="5" t="str">
        <f>HYPERLINK("#'Constants - Solid Waste'!A1", "Constants - Solid Waste")</f>
        <v>Constants - Solid Waste</v>
      </c>
      <c r="D65" s="25" t="str">
        <v>Nitrogen - Ammoniacal</v>
      </c>
      <c r="E65" s="25" cm="1">
        <f t="array" ref="E65">Fertiliser_Equations_InorganicCO2.VEERG_5_1_1_3__1_InorganicFertiliserApplicationCO2Emissions(G26,$I$50,$I$51)</f>
        <v>0</v>
      </c>
    </row>
    <row r="66" spans="1:6" ht="20.100000000000001" customHeight="1" x14ac:dyDescent="0.25">
      <c r="D66" s="25" t="str">
        <v>Nitrogen - Nitrate</v>
      </c>
      <c r="E66" s="25" cm="1">
        <f t="array" ref="E66">Fertiliser_Equations_InorganicCO2.VEERG_5_1_1_3__1_InorganicFertiliserApplicationCO2Emissions(G27,$I$50,$I$51)</f>
        <v>0</v>
      </c>
    </row>
    <row r="67" spans="1:6" ht="20.100000000000001" customHeight="1" x14ac:dyDescent="0.25">
      <c r="D67" s="25" t="str">
        <v>Nitrogen - Generic</v>
      </c>
      <c r="E67" s="25" cm="1">
        <f t="array" ref="E67">Fertiliser_Equations_InorganicCO2.VEERG_5_1_1_3__1_InorganicFertiliserApplicationCO2Emissions(G28,$I$50,$I$51)</f>
        <v>0</v>
      </c>
    </row>
    <row r="68" spans="1:6" ht="20.100000000000001" customHeight="1" x14ac:dyDescent="0.25">
      <c r="D68" s="25" t="str">
        <v>Phosphorus - Generic</v>
      </c>
      <c r="E68" s="25" cm="1">
        <f t="array" ref="E68">Fertiliser_Equations_InorganicCO2.VEERG_5_1_1_3__1_InorganicFertiliserApplicationCO2Emissions(G29,$I$50,$I$51)</f>
        <v>0</v>
      </c>
    </row>
    <row r="69" spans="1:6" ht="20.100000000000001" customHeight="1" x14ac:dyDescent="0.25">
      <c r="D69" s="25" t="str">
        <v>Potassium - Generic</v>
      </c>
      <c r="E69" s="25" cm="1">
        <f t="array" ref="E69">Fertiliser_Equations_InorganicCO2.VEERG_5_1_1_3__1_InorganicFertiliserApplicationCO2Emissions(G30,$I$50,$I$51)</f>
        <v>0</v>
      </c>
    </row>
    <row r="70" spans="1:6" ht="20.100000000000001" customHeight="1" x14ac:dyDescent="0.25">
      <c r="D70" s="25" t="str">
        <v>Sulfur - Generic</v>
      </c>
      <c r="E70" s="25" cm="1">
        <f t="array" ref="E70">Fertiliser_Equations_InorganicCO2.VEERG_5_1_1_3__1_InorganicFertiliserApplicationCO2Emissions(G31,$I$50,$I$51)</f>
        <v>0</v>
      </c>
    </row>
    <row r="71" spans="1:6" ht="20.100000000000001" customHeight="1" x14ac:dyDescent="0.25">
      <c r="D71" s="25" t="str">
        <v>Zinc - Generic</v>
      </c>
      <c r="E71" s="25" cm="1">
        <f t="array" ref="E71">Fertiliser_Equations_InorganicCO2.VEERG_5_1_1_3__1_InorganicFertiliserApplicationCO2Emissions(G32,$I$50,$I$51)</f>
        <v>0</v>
      </c>
    </row>
    <row r="72" spans="1:6" ht="20.100000000000001" customHeight="1" x14ac:dyDescent="0.25">
      <c r="D72" s="25" t="str">
        <v>Muriate of potash (MOP)</v>
      </c>
      <c r="E72" s="25" cm="1">
        <f t="array" ref="E72">Fertiliser_Equations_InorganicCO2.VEERG_5_1_1_3__1_InorganicFertiliserApplicationCO2Emissions(G33,$I$50,$I$51)</f>
        <v>0</v>
      </c>
    </row>
    <row r="73" spans="1:6" ht="20.100000000000001" customHeight="1" x14ac:dyDescent="0.25">
      <c r="D73" s="25" t="str">
        <v>Double superphosphate</v>
      </c>
      <c r="E73" s="25" cm="1">
        <f t="array" ref="E73">Fertiliser_Equations_InorganicCO2.VEERG_5_1_1_3__1_InorganicFertiliserApplicationCO2Emissions(G34,$I$50,$I$51)</f>
        <v>0</v>
      </c>
    </row>
    <row r="74" spans="1:6" ht="20.100000000000001" customHeight="1" x14ac:dyDescent="0.25">
      <c r="D74" s="25" t="str">
        <v>Single superphosphate (SSP)</v>
      </c>
      <c r="E74" s="25" cm="1">
        <f t="array" ref="E74">Fertiliser_Equations_InorganicCO2.VEERG_5_1_1_3__1_InorganicFertiliserApplicationCO2Emissions(G35,$I$50,$I$51)</f>
        <v>0</v>
      </c>
    </row>
    <row r="75" spans="1:6" ht="20.100000000000001" customHeight="1" x14ac:dyDescent="0.25">
      <c r="D75" s="25" t="str">
        <v>Ammonia</v>
      </c>
      <c r="E75" s="25" cm="1">
        <f t="array" ref="E75">Fertiliser_Equations_InorganicCO2.VEERG_5_1_1_3__1_InorganicFertiliserApplicationCO2Emissions(G36,$I$50,$I$51)</f>
        <v>0</v>
      </c>
    </row>
    <row r="76" spans="1:6" ht="20.100000000000001" customHeight="1" x14ac:dyDescent="0.25">
      <c r="D76" s="25" t="str">
        <v>Calcium nitrate</v>
      </c>
      <c r="E76" s="25" cm="1">
        <f t="array" ref="E76">Fertiliser_Equations_InorganicCO2.VEERG_5_1_1_3__1_InorganicFertiliserApplicationCO2Emissions(G37,$I$50,$I$51)</f>
        <v>0</v>
      </c>
    </row>
    <row r="77" spans="1:6" ht="20.100000000000001" customHeight="1" x14ac:dyDescent="0.25"/>
    <row r="78" spans="1:6" ht="20.100000000000001" customHeight="1" x14ac:dyDescent="0.25">
      <c r="D78" s="135" t="s">
        <v>654</v>
      </c>
      <c r="E78" s="136">
        <f>SUM(E58:E76)</f>
        <v>184.92752666666664</v>
      </c>
      <c r="F78" s="137"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5424-8D9A-40A2-8CA4-B6A303BE4D09}">
  <dimension ref="A1:U165"/>
  <sheetViews>
    <sheetView showGridLines="0" topLeftCell="A5"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655</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8" t="s">
        <v>262</v>
      </c>
      <c r="E7" s="118"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7" t="s">
        <v>122</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2" t="str" cm="1">
        <f t="array" ref="D13:E15">_xlfn.CHOOSECOLS(Fertiliser_Equations_OrganicN2O.VEERG_5_2_1_1__2_MassOfNitrogenInOrganicFertiliser_Arguments(), 1, 2)</f>
        <v>M_organicjf</v>
      </c>
      <c r="E13" s="138" t="str">
        <v>mass of organic fertiliser type f applied to production system j</v>
      </c>
      <c r="F13" s="143"/>
      <c r="G13" s="120" t="str" cm="1">
        <f t="array" ref="G13:H15">_xlfn.CHOOSECOLS(Fertiliser_Equations_OrganicN2O.VEERG_5_2_1_1__2_MassOfNitrogenInOrganicFertiliser_Arguments(), 3,4)</f>
        <v>kg</v>
      </c>
      <c r="H13" s="121" t="str">
        <v>Input</v>
      </c>
      <c r="I13" s="127"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2" t="str">
        <v>FN_organicf</v>
      </c>
      <c r="E14" s="138" t="str">
        <v>nitrogen fraction of organic fertiliser type f</v>
      </c>
      <c r="F14" s="143"/>
      <c r="G14" s="120" t="str">
        <v>kg N/kg</v>
      </c>
      <c r="H14" s="121" t="str">
        <v>Input</v>
      </c>
      <c r="I14" s="127" t="str" cm="1">
        <f t="array" aca="1" ref="I14" ca="1">HYPERLINK(Common_InputFunctions.Utility_SourceHyperlink($D$17), $D$17)</f>
        <v>Table_MNSoil_j_f</v>
      </c>
    </row>
    <row r="15" spans="1:21" ht="20.100000000000001" customHeight="1" x14ac:dyDescent="0.25">
      <c r="A15" s="5" t="str">
        <f>HYPERLINK("#'Input - Pasture'!A1", "Pasture")</f>
        <v>Pasture</v>
      </c>
      <c r="D15" s="132" t="str">
        <v>f</v>
      </c>
      <c r="E15" s="138" t="str">
        <v>Organic fertiliser type</v>
      </c>
      <c r="F15" s="143"/>
      <c r="G15" s="120" t="str">
        <v/>
      </c>
      <c r="H15" s="121" t="str">
        <v>Input</v>
      </c>
      <c r="I15" s="127"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2" t="s">
        <v>656</v>
      </c>
    </row>
    <row r="18" spans="1:10" ht="20.100000000000001" customHeight="1" x14ac:dyDescent="0.25">
      <c r="A18" s="5" t="str">
        <f>HYPERLINK("#'Input - Fuel'!A1", "Fuel")</f>
        <v>Fuel</v>
      </c>
      <c r="D18" s="123" t="s">
        <v>657</v>
      </c>
    </row>
    <row r="19" spans="1:10" ht="20.100000000000001" customHeight="1" x14ac:dyDescent="0.25">
      <c r="A19" s="5" t="str">
        <f>HYPERLINK("#'Input - Electricity'!A1", "Electricity")</f>
        <v>Electricity</v>
      </c>
      <c r="D19" s="94" t="s">
        <v>658</v>
      </c>
      <c r="E19" s="94" t="s">
        <v>659</v>
      </c>
      <c r="F19" s="94" t="s">
        <v>557</v>
      </c>
      <c r="G19" s="189" t="s">
        <v>660</v>
      </c>
      <c r="H19" s="94" t="s">
        <v>661</v>
      </c>
      <c r="I19" s="189" t="s">
        <v>662</v>
      </c>
    </row>
    <row r="20" spans="1:10" ht="20.100000000000001" customHeight="1" x14ac:dyDescent="0.25">
      <c r="A20" s="5" t="str">
        <f>HYPERLINK("#'Input - Common farm inputs'!A1", "Common farm inputs")</f>
        <v>Common farm inputs</v>
      </c>
      <c r="D20" s="25" t="str" cm="1">
        <f t="array" ref="D20:D22">Table_Input_OrganicFertiliser[Organic fertiliser type (select)]</f>
        <v>Manure - Other</v>
      </c>
      <c r="E20" s="190" cm="1">
        <f t="array" ref="E20:E22">Table_Input_OrganicFertiliser[Amount applied (kg/hectare)]</f>
        <v>10</v>
      </c>
      <c r="F20" s="190" cm="1">
        <f t="array" ref="F20:F22">Table_Input_OrganicFertiliser[Application area (ha)]</f>
        <v>1000</v>
      </c>
      <c r="G20" s="25" cm="1">
        <f t="array" ref="G20:G22">Table_Input_OrganicFertiliser[Amount applied (kg/hectare)]*Table_Input_OrganicFertiliser[Application area (ha)]</f>
        <v>10000</v>
      </c>
      <c r="H20" s="191"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Crop pasture farm input'!A1", "Crop pasture farm input")</f>
        <v>Crop pasture farm input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Livestock farm Inputs'!A1", "Livestock farm Inputs")</f>
        <v>Livestock farm Inputs</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Freight'!A1", "Freight")</f>
        <v>Freight</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25"/>
      <c r="E24" s="25"/>
      <c r="F24" s="25"/>
      <c r="G24" s="25"/>
      <c r="H24" s="25"/>
      <c r="I24" s="25" cm="1">
        <f t="array" ref="I24">Fertiliser_Equations_Organic.VEERG_5_2_1_1__2_MassOfNitrogenInOrganicFertiliser(G24,H24)</f>
        <v>0</v>
      </c>
    </row>
    <row r="25" spans="1:10" ht="20.100000000000001" customHeight="1" x14ac:dyDescent="0.25">
      <c r="A25" s="5" t="str">
        <f>HYPERLINK("#'Input - Solid waste'!A1", "Solid waste")</f>
        <v>Solid waste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HYPERLINK("#'Input - Data quality'!A1", "Data quality")</f>
        <v>Data quality</v>
      </c>
      <c r="D26" s="25"/>
      <c r="E26" s="25"/>
      <c r="F26" s="25"/>
      <c r="G26" s="25"/>
      <c r="H26" s="25"/>
      <c r="I26" s="25" cm="1">
        <f t="array" ref="I26">Fertiliser_Equations_Organic.VEERG_5_2_1_1__2_MassOfNitrogenInOrganicFertiliser(G26,H26)</f>
        <v>0</v>
      </c>
    </row>
    <row r="27" spans="1:10" ht="20.100000000000001" customHeight="1" x14ac:dyDescent="0.25">
      <c r="D27" s="25"/>
      <c r="E27" s="25"/>
      <c r="F27" s="25"/>
      <c r="G27" s="25"/>
      <c r="H27" s="25"/>
      <c r="I27" s="25" cm="1">
        <f t="array" ref="I27">Fertiliser_Equations_Organic.VEERG_5_2_1_1__2_MassOfNitrogenInOrganicFertiliser(G27,H27)</f>
        <v>0</v>
      </c>
    </row>
    <row r="28" spans="1:10" ht="20.100000000000001" customHeight="1" x14ac:dyDescent="0.25">
      <c r="D28" s="25"/>
      <c r="E28" s="25"/>
      <c r="F28" s="25"/>
      <c r="G28" s="25"/>
      <c r="H28" s="25"/>
      <c r="I28" s="25" cm="1">
        <f t="array" ref="I28">Fertiliser_Equations_Organic.VEERG_5_2_1_1__2_MassOfNitrogenInOrganicFertiliser(G28,H28)</f>
        <v>0</v>
      </c>
    </row>
    <row r="29" spans="1:10" ht="20.100000000000001" customHeight="1" x14ac:dyDescent="0.25">
      <c r="A29" s="6" t="s">
        <v>2</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HYPERLINK("#'5.1.1.1-2 Inorganic fert N2O'!A1", "5.1.1.1-2 Inorganic fert N2O")</f>
        <v>5.1.1.1-2 Inorganic fert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HYPERLINK("#'5.1.1.3-4 Inorganic fert CO2'!A1", "5.1.1.3-4 Inorganic fert CO2")</f>
        <v>5.1.1.3-4 Inorganic fert CO2</v>
      </c>
      <c r="D31" s="192"/>
      <c r="E31" s="192"/>
      <c r="F31" s="192"/>
      <c r="G31" s="192"/>
      <c r="H31" s="192"/>
      <c r="I31" s="192"/>
      <c r="J31" s="192"/>
    </row>
    <row r="32" spans="1:10" ht="20.100000000000001" customHeight="1" x14ac:dyDescent="0.25">
      <c r="A32" s="119" t="str">
        <f>HYPERLINK("#'5.2.1.1-2 Organic Fert N2O'!A1", "5.2.1.1-2 Organic fert N2O")</f>
        <v>5.2.1.1-2 Organic fert N2O</v>
      </c>
      <c r="D32" s="142" t="s">
        <v>663</v>
      </c>
      <c r="E32" s="142">
        <f>SUM(I20:I30)</f>
        <v>7100</v>
      </c>
      <c r="F32" s="193" t="str">
        <f>$E$11</f>
        <v>kg N</v>
      </c>
      <c r="G32" s="192"/>
      <c r="H32" s="192"/>
      <c r="I32" s="192"/>
      <c r="J32" s="192"/>
    </row>
    <row r="33" spans="1:12" ht="20.100000000000001" customHeight="1" x14ac:dyDescent="0.25">
      <c r="A33" s="5" t="str">
        <f>HYPERLINK("#'5.3.1.1-2 Lime CO2'!A1", "5.3.1.1-2 Lime CO2")</f>
        <v>5.3.1.1-2 Lime CO2</v>
      </c>
    </row>
    <row r="34" spans="1:12" ht="20.100000000000001" customHeight="1" x14ac:dyDescent="0.25">
      <c r="A34" s="5" t="str">
        <f>HYPERLINK("#'5.4.1.1-4 Atmos deposition'!A1", "5.4.1.1-4 Atmos. deposition")</f>
        <v>5.4.1.1-4 Atmos. deposition</v>
      </c>
    </row>
    <row r="35" spans="1:12" ht="20.100000000000001" customHeight="1" x14ac:dyDescent="0.25">
      <c r="A35" s="5" t="str">
        <f>HYPERLINK("#'5.5.1.1-2 Leaching and runoff'!A1", "5.5.1.1-2 Leaching &amp; runoff")</f>
        <v>5.5.1.1-2 Leaching &amp; runoff</v>
      </c>
      <c r="C35" s="194"/>
      <c r="D35" s="194"/>
      <c r="E35" s="194"/>
      <c r="F35" s="194"/>
      <c r="G35" s="194"/>
      <c r="H35" s="194"/>
      <c r="I35" s="194"/>
      <c r="J35" s="194"/>
      <c r="K35" s="194"/>
      <c r="L35" s="194"/>
    </row>
    <row r="36" spans="1:12" ht="20.100000000000001" customHeight="1" x14ac:dyDescent="0.25">
      <c r="A36" s="5" t="str">
        <f>HYPERLINK("#'6.2.1.1-2 Pasture residue N2O'!A1", "6.2.1.1-2 Pasture residue N2O")</f>
        <v>6.2.1.1-2 Pasture residue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HYPERLINK("#'6.3.1.1-2 Leach runoff pasture'!A1", "6.3.1.1-2 Leach &amp; runoff (pasture)")</f>
        <v>6.3.1.1-2 Leach &amp; runoff (pasture)</v>
      </c>
      <c r="D37" s="27" t="str" cm="1">
        <f t="array" ref="D37">Fertiliser_Equations_OrganicN2O.VEERG_5_2_1_1__1_OrganicFertiliserApplicationN2OEmissions_Source()</f>
        <v>VEERG 2026: 5.2.1.1, Equation (1)</v>
      </c>
    </row>
    <row r="38" spans="1:12" ht="20.100000000000001" customHeight="1" x14ac:dyDescent="0.25">
      <c r="A38" s="5" t="str">
        <f>HYPERLINK("#'8.1.1.1-2 Transport fuel'!A1", "8.1.1.1-2 Transport fuel")</f>
        <v>8.1.1.1-2 Transport fuel</v>
      </c>
      <c r="D38" s="118" t="s">
        <v>262</v>
      </c>
      <c r="E38" s="118" t="str" cm="1">
        <f t="array" aca="1" ref="E38" ca="1">Common_InputFunctions.Utility_DisplayFunctionName($I$20)</f>
        <v>=Fertiliser_Equations_OrganicN2O.VEERG_5_2_1_1__2_MassOfNitrogenInOrganicFertiliser</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row>
    <row r="41" spans="1:12" ht="20.100000000000001" customHeight="1" x14ac:dyDescent="0.25">
      <c r="A41" s="5" t="str">
        <f>HYPERLINK("#'15 Scope 3'!A1", "15 Scope 3")</f>
        <v>15 Scope 3</v>
      </c>
      <c r="D41" s="87" t="s">
        <v>263</v>
      </c>
      <c r="E41" s="1" t="str" cm="1">
        <f t="array" ref="E41">Fertiliser_Equations_OrganicN2O.VEERG_5_2_1_1__1_OrganicFertiliserApplicationN2OEmissions_Variable()</f>
        <v>E_N2O</v>
      </c>
    </row>
    <row r="42" spans="1:12" ht="20.100000000000001" customHeight="1" x14ac:dyDescent="0.25">
      <c r="A42" s="5" t="str">
        <f>HYPERLINK("#'Calcs - Manure sent off-site'!A1", "Calcs - Manure sent off-site")</f>
        <v>Calcs - Manure sent off-site</v>
      </c>
      <c r="D42" s="87" t="s">
        <v>122</v>
      </c>
      <c r="E42" s="15" t="str" cm="1">
        <f t="array" ref="E42">Fertiliser_Equations_OrganicN2O.VEERG_5_2_1_1__1_OrganicFertiliserApplicationN2OEmissions_Unit()</f>
        <v>t N2O</v>
      </c>
    </row>
    <row r="43" spans="1:12" ht="20.100000000000001" customHeight="1" x14ac:dyDescent="0.25">
      <c r="A43" s="5" t="str">
        <f>HYPERLINK("#'4.3.1.1-2 Methane'!A1", "4.3.1.1-2 Methane")</f>
        <v>4.3.1.1-2 Methane</v>
      </c>
    </row>
    <row r="44" spans="1:12" ht="20.100000000000001" customHeight="1" x14ac:dyDescent="0.25">
      <c r="A44" s="5" t="str">
        <f>HYPERLINK("#'4.3.1.3-4 Direct N20'!A1", "4.3.1.3-4 Direct N20")</f>
        <v>4.3.1.3-4 Direct N20</v>
      </c>
      <c r="D44" s="120" t="str" cm="1">
        <f t="array" ref="D44:E48">_xlfn.CHOOSECOLS(Fertiliser_Equations_OrganicN2O.VEERG_5_2_1_1__1_OrganicFertiliserApplicationN2OEmissions_Arguments(), 1, 2)</f>
        <v>MNSoil_jf</v>
      </c>
      <c r="E44" s="125" t="str">
        <v>mass of nitrogen in organic fertiliser type f applied to production system j</v>
      </c>
      <c r="F44" s="133"/>
      <c r="G44" s="133"/>
      <c r="H44" s="126"/>
      <c r="I44" s="120" t="str" cm="1">
        <f t="array" ref="I44:J48">_xlfn.CHOOSECOLS(Fertiliser_Equations_OrganicN2O.VEERG_5_2_1_1__1_OrganicFertiliserApplicationN2OEmissions_Arguments(), 3,4)</f>
        <v>kg N</v>
      </c>
      <c r="J44" s="128" t="str">
        <v>Calculated from 5.2.1.1 (2)</v>
      </c>
      <c r="K44" s="120">
        <f>$E$32</f>
        <v>7100</v>
      </c>
    </row>
    <row r="45" spans="1:12" ht="20.100000000000001" customHeight="1" x14ac:dyDescent="0.25">
      <c r="A45" s="5" t="str">
        <f>HYPERLINK("#'4.3.1.5 Atmos deposition'!A1", "4.3.1.5 Atmos deposition")</f>
        <v>4.3.1.5 Atmos deposition</v>
      </c>
      <c r="D45" s="120" t="str">
        <v>EF_N2Oi</v>
      </c>
      <c r="E45" s="125" t="str">
        <v>emission factor for direct nitrous oxide emissions from organic fertiliser applied to soils and aquatic systems in climate zone i</v>
      </c>
      <c r="F45" s="133"/>
      <c r="G45" s="133"/>
      <c r="H45" s="126"/>
      <c r="I45" s="120" t="str">
        <v>kg N2O-N/kg N</v>
      </c>
      <c r="J45" s="128" t="str">
        <v>Lookup</v>
      </c>
      <c r="K45" s="120">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HYPERLINK("#'4.3.1.6-7 Leaching and runoff'!A1", "4.3.1.6-7 Leaching and runoff")</f>
        <v>4.3.1.6-7 Leaching and runoff</v>
      </c>
      <c r="D46" s="120" t="str">
        <v>C_N2O</v>
      </c>
      <c r="E46" s="125" t="str">
        <v>factor to convert elemental mass of nitrous oxide to molecular mass</v>
      </c>
      <c r="F46" s="133"/>
      <c r="G46" s="133"/>
      <c r="H46" s="126"/>
      <c r="I46" s="120" t="str">
        <v/>
      </c>
      <c r="J46" s="128" t="str">
        <v>Constant</v>
      </c>
      <c r="K46" s="132">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HYPERLINK("#'4.3.1.8 Manure applied to soils'!A1", "4.3.1.8 Manure applied to soils")</f>
        <v>4.3.1.8 Manure applied to soils</v>
      </c>
      <c r="D47" s="120" t="str">
        <v>j</v>
      </c>
      <c r="E47" s="125" t="str">
        <v>Production system</v>
      </c>
      <c r="F47" s="133"/>
      <c r="G47" s="133"/>
      <c r="H47" s="126"/>
      <c r="I47" s="120" t="str">
        <v/>
      </c>
      <c r="J47" s="121" t="str">
        <v>Input</v>
      </c>
      <c r="K47" s="120" t="str">
        <f>X_Cell_Fertiliser_ProductionSystem</f>
        <v>Pasture</v>
      </c>
    </row>
    <row r="48" spans="1:12" ht="20.100000000000001" customHeight="1" x14ac:dyDescent="0.25">
      <c r="A48" s="5" t="str">
        <f>HYPERLINK("#'4.3.1.9 Soil direct N2O'!A1", "4.3.1.9 Soil direct N2O")</f>
        <v>4.3.1.9 Soil direct N2O</v>
      </c>
      <c r="D48" s="120" t="str">
        <v>i</v>
      </c>
      <c r="E48" s="125" t="str">
        <v>Wet or dry climate zone</v>
      </c>
      <c r="F48" s="133"/>
      <c r="G48" s="133"/>
      <c r="H48" s="126"/>
      <c r="I48" s="120" t="str">
        <v/>
      </c>
      <c r="J48" s="121" t="str">
        <v>Input</v>
      </c>
      <c r="K48" s="120" t="str">
        <f>X_Cell_Site_WetOrDryClimateZone</f>
        <v>Dry climate zone</v>
      </c>
    </row>
    <row r="49" spans="1:7" ht="20.100000000000001" customHeight="1" x14ac:dyDescent="0.25">
      <c r="A49" s="5" t="str">
        <f>HYPERLINK("#'4.3.1.10-11 Soil Atmos Dep'!A1", "4.3.1.10-11 Soil Atmos Dep")</f>
        <v>4.3.1.10-11 Soil Atmos Dep</v>
      </c>
    </row>
    <row r="50" spans="1:7" ht="20.100000000000001" customHeight="1" x14ac:dyDescent="0.25">
      <c r="A50" s="5" t="str">
        <f>HYPERLINK("#'4.3.1.12-13 Soil leach runoff'!A1", "4.3.1.12-13 Soil leach runoff")</f>
        <v>4.3.1.12-13 Soil leach runoff</v>
      </c>
      <c r="D50" s="135" t="s">
        <v>644</v>
      </c>
      <c r="E50" s="136" cm="1">
        <f t="array" ref="E50">Fertiliser_Equations_OrganicN2O.VEERG_5_2_1_1__1_OrganicFertiliserApplicationN2OEmissions(K44,K45,K46)</f>
        <v>5.5785714285714286E-2</v>
      </c>
      <c r="F50" s="137" t="str">
        <f>$E$42</f>
        <v>t N2O</v>
      </c>
    </row>
    <row r="51" spans="1:7" ht="20.100000000000001" customHeight="1" x14ac:dyDescent="0.25">
      <c r="A51" s="5" t="str">
        <f>HYPERLINK("#'3.3.1.1-2 Enteric Methane'!A1", "3.3.1.1-2 Enteric Methane")</f>
        <v>3.3.1.1-2 Enteric Methane</v>
      </c>
    </row>
    <row r="52" spans="1:7" ht="20.100000000000001" customHeight="1" x14ac:dyDescent="0.25">
      <c r="A52" s="5" t="str">
        <f>HYPERLINK("#'10.1.1-2 Solid waste treatment'!A1", "10.1.1-2 Solid waste treatment")</f>
        <v>10.1.1-2 Solid waste treatment</v>
      </c>
      <c r="D52" s="132" t="str" cm="1">
        <f t="array" ref="D52:E53">Common_Equations.Common_ConvertN2OToCO2e_Arguments()</f>
        <v>EN2O</v>
      </c>
      <c r="E52" s="138" t="str">
        <v>Nitrous oxide emissions (t N2O)</v>
      </c>
      <c r="F52" s="139"/>
      <c r="G52" s="25">
        <f>VEERG_5_2_1_1__2_MassOfNitrogenInOrganicFertiliser_Result_Method1</f>
        <v>5.5785714285714286E-2</v>
      </c>
    </row>
    <row r="53" spans="1:7" ht="20.100000000000001" customHeight="1" x14ac:dyDescent="0.25">
      <c r="D53" s="132" t="str">
        <v>GWPN2O</v>
      </c>
      <c r="E53" s="138" t="str">
        <v>Global warming potential for nitrous oxide (t CO2-e / t N2O)</v>
      </c>
      <c r="F53" s="139"/>
      <c r="G53" s="25">
        <f>Common_InputFunctions.Utility_LookupValueInTableNumber("N2O",Table_GWPData[Gas],Table_GWPData[CO2-e factor])</f>
        <v>265</v>
      </c>
    </row>
    <row r="54" spans="1:7" ht="20.100000000000001" customHeight="1" x14ac:dyDescent="0.25"/>
    <row r="55" spans="1:7" ht="20.100000000000001" customHeight="1" x14ac:dyDescent="0.25">
      <c r="A55" s="100" t="s">
        <v>1</v>
      </c>
      <c r="D55" s="101" t="s">
        <v>412</v>
      </c>
      <c r="E55" s="101" cm="1">
        <f t="array" ref="E55">Common_Equations.Common_ConvertN2OToCO2e(G52,G53)</f>
        <v>14.783214285714285</v>
      </c>
      <c r="F55" s="140" t="str" cm="1">
        <f t="array" ref="F55">Common_Equations.Common_ConvertN2OToCO2e_Unit()</f>
        <v>t CO2e</v>
      </c>
    </row>
    <row r="56" spans="1:7" ht="20.100000000000001" customHeight="1" x14ac:dyDescent="0.25">
      <c r="A56" s="5" t="str">
        <f>HYPERLINK("#'Constants - Dairy'!A1", "Constants - Dairy")</f>
        <v>Constants - Dairy</v>
      </c>
    </row>
    <row r="57" spans="1:7" ht="20.100000000000001" customHeight="1" x14ac:dyDescent="0.25">
      <c r="A57" s="5" t="str">
        <f>HYPERLINK("#'Constants - Ag Residue'!A1", "Constants - Ag residue")</f>
        <v>Constants - Ag residue</v>
      </c>
    </row>
    <row r="58" spans="1:7" ht="20.100000000000001" customHeight="1" x14ac:dyDescent="0.25">
      <c r="A58" s="5" t="str">
        <f>HYPERLINK("#'Constants - Common Livestock'!A1", "Constants - Common Livestock")</f>
        <v>Constants - Common Livestock</v>
      </c>
    </row>
    <row r="59" spans="1:7" ht="20.100000000000001" customHeight="1" x14ac:dyDescent="0.25">
      <c r="A59" s="5" t="str">
        <f>HYPERLINK("#'Constants - Electricity'!A1", "Constants - Electricity")</f>
        <v>Constants - Electricity</v>
      </c>
    </row>
    <row r="60" spans="1:7" ht="20.100000000000001" customHeight="1" x14ac:dyDescent="0.25">
      <c r="A60" s="5" t="str">
        <f>HYPERLINK("#'Constants - Fertiliser'!A1", "Constants - Fertiliser")</f>
        <v>Constants - Fertiliser</v>
      </c>
    </row>
    <row r="61" spans="1:7" ht="20.100000000000001" customHeight="1" x14ac:dyDescent="0.25">
      <c r="A61" s="5" t="str">
        <f>HYPERLINK("#'Constants - Fuel'!A1", "Constants - Fuel")</f>
        <v>Constants - Fuel</v>
      </c>
    </row>
    <row r="62" spans="1:7" ht="20.100000000000001" customHeight="1" x14ac:dyDescent="0.25">
      <c r="A62" s="5" t="str">
        <f>HYPERLINK("#'Constants - Scope 3'!A1", "Constants - Scope 3")</f>
        <v>Constants - Scope 3</v>
      </c>
    </row>
    <row r="63" spans="1:7" ht="20.100000000000001" customHeight="1" x14ac:dyDescent="0.25">
      <c r="A63" s="5" t="str">
        <f>HYPERLINK("#'Constants - Common'!A1", "Constants - Common")</f>
        <v>Constants - Common</v>
      </c>
    </row>
    <row r="64" spans="1:7"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44DBD-CF0D-47F8-A00F-B74317CA1918}">
  <dimension ref="A1:U165"/>
  <sheetViews>
    <sheetView showGridLines="0" topLeftCell="A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664</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8" t="s">
        <v>262</v>
      </c>
      <c r="E7" s="118"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Fertiliser_Equations_Lime.VEERG_5_3_1_1__1_LimeApplicationCO2Emissions_Variable()</f>
        <v>E_lime</v>
      </c>
    </row>
    <row r="11" spans="1:21" ht="20.100000000000001" customHeight="1" x14ac:dyDescent="0.25">
      <c r="A11" s="5" t="str">
        <f>HYPERLINK("#'Input - Dairy'!A1", "Dairy")</f>
        <v>Dairy</v>
      </c>
      <c r="D11" s="87" t="s">
        <v>122</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20">_xlfn.CHOOSECOLS(Fertiliser_Equations_Lime.VEERG_5_3_1_1__1_LimeApplicationCO2Emissions_Arguments(), 1, 2)</f>
        <v>M_lime</v>
      </c>
      <c r="E13" s="125" t="str">
        <v>total mass of lime applied to production system</v>
      </c>
      <c r="F13" s="126"/>
      <c r="G13" s="120" t="str" cm="1">
        <f t="array" ref="G13:H20">_xlfn.CHOOSECOLS(Fertiliser_Equations_Lime.VEERG_5_3_1_1__1_LimeApplicationCO2Emissions_Arguments(), 3,4)</f>
        <v>kg</v>
      </c>
      <c r="H13" s="121" t="str">
        <v>Input</v>
      </c>
      <c r="I13" s="127"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20" t="str">
        <v>FracLime</v>
      </c>
      <c r="E14" s="125" t="str">
        <v>fraction of lime as limestone (CaCO3)</v>
      </c>
      <c r="F14" s="126"/>
      <c r="G14" s="120" t="str">
        <v>fraction</v>
      </c>
      <c r="H14" s="121" t="str">
        <v>Input</v>
      </c>
      <c r="I14" s="127" t="str" cm="1">
        <f t="array" aca="1" ref="I14" ca="1">HYPERLINK(Common_InputFunctions.Utility_SourceHyperlink($D$22), $D$22)</f>
        <v>Table_E_lime</v>
      </c>
    </row>
    <row r="15" spans="1:21" ht="20.100000000000001" customHeight="1" x14ac:dyDescent="0.25">
      <c r="A15" s="5" t="str">
        <f>HYPERLINK("#'Input - Pasture'!A1", "Pasture")</f>
        <v>Pasture</v>
      </c>
      <c r="D15" s="120" t="str">
        <v>P_lime</v>
      </c>
      <c r="E15" s="125" t="str">
        <v>fractional purity of limestone</v>
      </c>
      <c r="F15" s="126"/>
      <c r="G15" s="120" t="str">
        <v>fraction</v>
      </c>
      <c r="H15" s="128" t="str">
        <v>Constant</v>
      </c>
      <c r="I15" s="120">
        <f>'Constants - Fertiliser'!$E$66</f>
        <v>0.9</v>
      </c>
    </row>
    <row r="16" spans="1:21" ht="20.100000000000001" customHeight="1" x14ac:dyDescent="0.25">
      <c r="A16" s="5" t="str">
        <f>HYPERLINK("#'Input - Fert Prod System'!A1", "Fert Prod System")</f>
        <v>Fert Prod System</v>
      </c>
      <c r="D16" s="120" t="str">
        <v>EF_lime</v>
      </c>
      <c r="E16" s="125" t="str">
        <v>emission factor for limestone fraction of lime</v>
      </c>
      <c r="F16" s="126"/>
      <c r="G16" s="120" t="str">
        <v>kg C/kg</v>
      </c>
      <c r="H16" s="128" t="str">
        <v>Constant</v>
      </c>
      <c r="I16" s="120">
        <f>'Constants - Fertiliser'!$F$66</f>
        <v>0.12</v>
      </c>
    </row>
    <row r="17" spans="1:9" ht="20.100000000000001" customHeight="1" x14ac:dyDescent="0.25">
      <c r="A17" s="5" t="str">
        <f>HYPERLINK("#'Input - Fertiliser'!A1", "Fertiliser")</f>
        <v>Fertiliser</v>
      </c>
      <c r="D17" s="120" t="str">
        <v>FracDol</v>
      </c>
      <c r="E17" s="125" t="str">
        <v>fraction of lime as dolomite</v>
      </c>
      <c r="F17" s="126"/>
      <c r="G17" s="120" t="str">
        <v>fraction</v>
      </c>
      <c r="H17" s="121" t="str">
        <v>Input</v>
      </c>
      <c r="I17" s="127" t="str" cm="1">
        <f t="array" aca="1" ref="I17" ca="1">HYPERLINK(Common_InputFunctions.Utility_SourceHyperlink($D$22), $D$22)</f>
        <v>Table_E_lime</v>
      </c>
    </row>
    <row r="18" spans="1:9" ht="20.100000000000001" customHeight="1" x14ac:dyDescent="0.25">
      <c r="A18" s="5" t="str">
        <f>HYPERLINK("#'Input - Fuel'!A1", "Fuel")</f>
        <v>Fuel</v>
      </c>
      <c r="D18" s="120" t="str">
        <v>P_dol</v>
      </c>
      <c r="E18" s="125" t="str">
        <v>fractional purity of dolomite</v>
      </c>
      <c r="F18" s="126"/>
      <c r="G18" s="120" t="str">
        <v>fraction</v>
      </c>
      <c r="H18" s="128" t="str">
        <v>Constant</v>
      </c>
      <c r="I18" s="120">
        <f>'Constants - Fertiliser'!$E$67</f>
        <v>0.95</v>
      </c>
    </row>
    <row r="19" spans="1:9" ht="20.100000000000001" customHeight="1" x14ac:dyDescent="0.25">
      <c r="A19" s="5" t="str">
        <f>HYPERLINK("#'Input - Electricity'!A1", "Electricity")</f>
        <v>Electricity</v>
      </c>
      <c r="D19" s="120" t="str">
        <v>EF_dol</v>
      </c>
      <c r="E19" s="125" t="str">
        <v>emission factor for dolomite fraction of lime</v>
      </c>
      <c r="F19" s="126"/>
      <c r="G19" s="120" t="str">
        <v>kg C/kg</v>
      </c>
      <c r="H19" s="128" t="str">
        <v>Constant</v>
      </c>
      <c r="I19" s="120">
        <f>'Constants - Fertiliser'!$F$67</f>
        <v>0.13</v>
      </c>
    </row>
    <row r="20" spans="1:9" ht="20.100000000000001" customHeight="1" x14ac:dyDescent="0.25">
      <c r="A20" s="5" t="str">
        <f>HYPERLINK("#'Input - Common farm inputs'!A1", "Common farm inputs")</f>
        <v>Common farm inputs</v>
      </c>
      <c r="D20" s="120" t="str">
        <v>C_CO2</v>
      </c>
      <c r="E20" s="125" t="str">
        <v>factor to convert elemental mass of carbon dioxide to molecular mass</v>
      </c>
      <c r="F20" s="126"/>
      <c r="G20" s="120" t="str">
        <v/>
      </c>
      <c r="H20" s="128" t="str">
        <v>Constant</v>
      </c>
      <c r="I20" s="13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Crop pasture farm input'!A1", "Crop pasture farm input")</f>
        <v>Crop pasture farm input</v>
      </c>
    </row>
    <row r="22" spans="1:9" ht="20.100000000000001" customHeight="1" x14ac:dyDescent="0.25">
      <c r="A22" s="5" t="str">
        <f>HYPERLINK("#'Input - Livestock farm Inputs'!A1", "Livestock farm Inputs")</f>
        <v>Livestock farm Inputs</v>
      </c>
      <c r="D22" s="122" t="s">
        <v>665</v>
      </c>
    </row>
    <row r="23" spans="1:9" ht="20.100000000000001" customHeight="1" x14ac:dyDescent="0.25">
      <c r="A23" s="5" t="str">
        <f>HYPERLINK("#'Input - Freight'!A1", "Freight")</f>
        <v>Freight</v>
      </c>
      <c r="D23" s="123" t="s">
        <v>594</v>
      </c>
    </row>
    <row r="24" spans="1:9" ht="20.100000000000001" customHeight="1" x14ac:dyDescent="0.25">
      <c r="A24" s="5" t="str">
        <f>HYPERLINK("#'Input - Manure sent off-site'!A1", "Manure sent off-site")</f>
        <v>Manure sent off-site</v>
      </c>
      <c r="D24" s="94" t="s">
        <v>666</v>
      </c>
      <c r="E24" s="94" t="s">
        <v>667</v>
      </c>
      <c r="F24" s="94" t="s">
        <v>668</v>
      </c>
      <c r="G24" s="94" t="s">
        <v>669</v>
      </c>
      <c r="H24" s="124" t="s">
        <v>670</v>
      </c>
    </row>
    <row r="25" spans="1:9" ht="20.100000000000001" customHeight="1" x14ac:dyDescent="0.25">
      <c r="A25" s="5" t="str">
        <f>HYPERLINK("#'Input - Solid waste'!A1", "Solid waste")</f>
        <v>Solid waste</v>
      </c>
      <c r="D25" s="25" t="str" cm="1">
        <f t="array" ref="D25:D27">Table_Input_Lime[Product]</f>
        <v>Lime product 1</v>
      </c>
      <c r="E25" s="134" cm="1">
        <f t="array" ref="E25:E27">Table_Input_Lime[Total amount applied (t)]*10^3</f>
        <v>1000000</v>
      </c>
      <c r="F25" s="195" cm="1">
        <f t="array" ref="F25:F27">Table_Input_Lime[Percent Lime CaCO3]</f>
        <v>0.8</v>
      </c>
      <c r="G25" s="195"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HYPERLINK("#'Input - Data quality'!A1", "Data quality")</f>
        <v>Data quality</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D28" s="25"/>
      <c r="E28" s="25"/>
      <c r="F28" s="25"/>
      <c r="G28" s="25"/>
      <c r="H28" s="25" cm="1">
        <f t="array" ref="H28">Fertiliser_Equations_Lime.VEERG_5_3_1_1__1_LimeApplicationCO2Emissions(E28,F28,$I$15,$I$16,G28,$I$18,$I$19,$I$20)</f>
        <v>0</v>
      </c>
    </row>
    <row r="29" spans="1:9" ht="20.100000000000001" customHeight="1" x14ac:dyDescent="0.25">
      <c r="A29" s="6" t="s">
        <v>2</v>
      </c>
      <c r="D29" s="25"/>
      <c r="E29" s="25"/>
      <c r="F29" s="25"/>
      <c r="G29" s="25"/>
      <c r="H29" s="25" cm="1">
        <f t="array" ref="H29">Fertiliser_Equations_Lime.VEERG_5_3_1_1__1_LimeApplicationCO2Emissions(E29,F29,$I$15,$I$16,G29,$I$18,$I$19,$I$20)</f>
        <v>0</v>
      </c>
    </row>
    <row r="30" spans="1:9" ht="20.100000000000001" customHeight="1" x14ac:dyDescent="0.25">
      <c r="A30" s="5" t="str">
        <f>HYPERLINK("#'5.1.1.1-2 Inorganic fert N2O'!A1", "5.1.1.1-2 Inorganic fert N2O")</f>
        <v>5.1.1.1-2 Inorganic fert N2O</v>
      </c>
    </row>
    <row r="31" spans="1:9" ht="20.100000000000001" customHeight="1" x14ac:dyDescent="0.25">
      <c r="A31" s="5" t="str">
        <f>HYPERLINK("#'5.1.1.3-4 Inorganic fert CO2'!A1", "5.1.1.3-4 Inorganic fert CO2")</f>
        <v>5.1.1.3-4 Inorganic fert CO2</v>
      </c>
      <c r="D31" s="135" t="s">
        <v>671</v>
      </c>
      <c r="E31" s="136">
        <f>SUM(H25:H29)</f>
        <v>758.08333333333326</v>
      </c>
      <c r="F31" s="196" t="s">
        <v>132</v>
      </c>
    </row>
    <row r="32" spans="1:9" ht="20.100000000000001" customHeight="1" x14ac:dyDescent="0.25">
      <c r="A32" s="5" t="str">
        <f>HYPERLINK("#'5.2.1.1-2 Organic Fert N2O'!A1", "5.2.1.1-2 Organic fert N2O")</f>
        <v>5.2.1.1-2 Organic fert N2O</v>
      </c>
    </row>
    <row r="33" spans="1:1" ht="20.100000000000001" customHeight="1" x14ac:dyDescent="0.25">
      <c r="A33" s="119"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HYPERLINK("#'4.3.1.1-2 Methane'!A1", "4.3.1.1-2 Methane")</f>
        <v>4.3.1.1-2 Methane</v>
      </c>
    </row>
    <row r="44" spans="1:1" ht="20.100000000000001" customHeight="1" x14ac:dyDescent="0.25">
      <c r="A44" s="5" t="str">
        <f>HYPERLINK("#'4.3.1.3-4 Direct N20'!A1", "4.3.1.3-4 Direct N20")</f>
        <v>4.3.1.3-4 Direct N20</v>
      </c>
    </row>
    <row r="45" spans="1:1" ht="20.100000000000001" customHeight="1" x14ac:dyDescent="0.25">
      <c r="A45" s="5" t="str">
        <f>HYPERLINK("#'4.3.1.5 Atmos deposition'!A1", "4.3.1.5 Atmos deposition")</f>
        <v>4.3.1.5 Atmos deposition</v>
      </c>
    </row>
    <row r="46" spans="1:1" ht="20.100000000000001" customHeight="1" x14ac:dyDescent="0.25">
      <c r="A46" s="5" t="str">
        <f>HYPERLINK("#'4.3.1.6-7 Leaching and runoff'!A1", "4.3.1.6-7 Leaching and runoff")</f>
        <v>4.3.1.6-7 Leaching and runoff</v>
      </c>
    </row>
    <row r="47" spans="1:1" ht="20.100000000000001" customHeight="1" x14ac:dyDescent="0.25">
      <c r="A47" s="5" t="str">
        <f>HYPERLINK("#'4.3.1.8 Manure applied to soils'!A1", "4.3.1.8 Manure applied to soils")</f>
        <v>4.3.1.8 Manure applied to soils</v>
      </c>
    </row>
    <row r="48" spans="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3FB01-334A-49FE-A45C-FADFAA4178ED}">
  <dimension ref="A1:U165"/>
  <sheetViews>
    <sheetView showGridLines="0" topLeftCell="A107"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672</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8" t="s">
        <v>262</v>
      </c>
      <c r="E7" s="118"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7" t="s">
        <v>122</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4">_xlfn.CHOOSECOLS(Fertiliser_Equations_AtmosphericDeposition.VEERG_5_4_1_1__2_MassOfNitrogenVolatilisedFromInorganicFertiliser_Arguments(), 1, 2)</f>
        <v>MN_jf</v>
      </c>
      <c r="E13" s="125" t="str">
        <v>mass of nitrogen in inorganic fertiliser applied</v>
      </c>
      <c r="F13" s="126"/>
      <c r="G13" s="120" t="str" cm="1">
        <f t="array" ref="G13:H14">_xlfn.CHOOSECOLS(Fertiliser_Equations_AtmosphericDeposition.VEERG_5_4_1_1__2_MassOfNitrogenVolatilisedFromInorganicFertiliser_Arguments(), 3,4)</f>
        <v>kg N</v>
      </c>
      <c r="H13" s="128" t="str">
        <v>Calculated from 5.1.1.1 (2)</v>
      </c>
      <c r="I13" s="127"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20" t="str">
        <v>FracGASF_f</v>
      </c>
      <c r="E14" s="125" t="str">
        <v>fraction of inorganic fertiliser that volatilises</v>
      </c>
      <c r="F14" s="126"/>
      <c r="G14" s="120" t="str">
        <v>(kg NH3-N + NOx-N)/kg N</v>
      </c>
      <c r="H14" s="128" t="str">
        <v>Constant</v>
      </c>
      <c r="I14" s="127"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673</v>
      </c>
    </row>
    <row r="17" spans="1:8" ht="20.100000000000001" customHeight="1" x14ac:dyDescent="0.25">
      <c r="A17" s="5" t="str">
        <f>HYPERLINK("#'Input - Fertiliser'!A1", "Fertiliser")</f>
        <v>Fertiliser</v>
      </c>
      <c r="D17" s="123" t="s">
        <v>674</v>
      </c>
    </row>
    <row r="18" spans="1:8" ht="20.100000000000001" customHeight="1" x14ac:dyDescent="0.25">
      <c r="A18" s="5" t="str">
        <f>HYPERLINK("#'Input - Fuel'!A1", "Fuel")</f>
        <v>Fuel</v>
      </c>
      <c r="D18" s="124" t="s">
        <v>675</v>
      </c>
      <c r="E18" s="124" t="s">
        <v>676</v>
      </c>
      <c r="F18" s="124" t="s">
        <v>677</v>
      </c>
      <c r="G18" s="197" t="s">
        <v>678</v>
      </c>
      <c r="H18" s="197" t="s">
        <v>679</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Common farm inputs'!A1", "Common farm inputs")</f>
        <v>Common 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Crop pasture farm input'!A1", "Crop pasture farm input")</f>
        <v>Crop pasture farm input</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A22" s="5" t="str">
        <f>HYPERLINK("#'Input - Livestock farm Inputs'!A1", "Livestock farm Inputs")</f>
        <v>Livestock farm Inputs</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Freight'!A1", "Freight")</f>
        <v>Freight</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HYPERLINK("#'Input - Solid waste'!A1", "Solid waste")</f>
        <v>Solid waste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HYPERLINK("#'Input - Data quality'!A1", "Data quality")</f>
        <v>Data quality</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6" t="s">
        <v>2</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HYPERLINK("#'5.1.1.1-2 Inorganic fert N2O'!A1", "5.1.1.1-2 Inorganic fert N2O")</f>
        <v>5.1.1.1-2 Inorganic fert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HYPERLINK("#'5.1.1.3-4 Inorganic fert CO2'!A1", "5.1.1.3-4 Inorganic fert CO2")</f>
        <v>5.1.1.3-4 Inorganic fert CO2</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HYPERLINK("#'5.2.1.1-2 Organic Fert N2O'!A1", "5.2.1.1-2 Organic fert N2O")</f>
        <v>5.2.1.1-2 Organic fert N2O</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HYPERLINK("#'5.3.1.1-2 Lime CO2'!A1", "5.3.1.1-2 Lime CO2")</f>
        <v>5.3.1.1-2 Lime CO2</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119" t="str">
        <f>HYPERLINK("#'5.4.1.1-4 Atmos deposition'!A1", "5.4.1.1-4 Atmos. deposition")</f>
        <v>5.4.1.1-4 Atmos. deposition</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HYPERLINK("#'5.5.1.1-2 Leaching and runoff'!A1", "5.5.1.1-2 Leaching &amp; runoff")</f>
        <v>5.5.1.1-2 Leaching &amp; runoff</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HYPERLINK("#'6.2.1.1-2 Pasture residue N2O'!A1", "6.2.1.1-2 Pasture residue N2O")</f>
        <v>6.2.1.1-2 Pasture residue N2O</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HYPERLINK("#'6.3.1.1-2 Leach runoff pasture'!A1", "6.3.1.1-2 Leach &amp; runoff (pasture)")</f>
        <v>6.3.1.1-2 Leach &amp; runoff (pasture)</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HYPERLINK("#'8.1.1.1-2 Transport fuel'!A1", "8.1.1.1-2 Transport fuel")</f>
        <v>8.1.1.1-2 Transport fuel</v>
      </c>
    </row>
    <row r="39" spans="1:12" ht="20.100000000000001" customHeight="1" x14ac:dyDescent="0.25">
      <c r="A39" s="5" t="str">
        <f>HYPERLINK("#'8.2.1.1-2 Stationary fuel'!A1", "8.2.1.1-2 Stationary fuel")</f>
        <v>8.2.1.1-2 Stationary fuel</v>
      </c>
    </row>
    <row r="40" spans="1:12" ht="20.100000000000001" customHeight="1" x14ac:dyDescent="0.25">
      <c r="A40" s="5" t="str">
        <f>HYPERLINK("#'14.1.1-2 Purchased electricity'!A1", "14.1.1-2 Purchased electricity")</f>
        <v>14.1.1-2 Purchased electricity</v>
      </c>
      <c r="C40" s="194"/>
      <c r="D40" s="194"/>
      <c r="E40" s="194"/>
      <c r="F40" s="194"/>
      <c r="G40" s="194"/>
      <c r="H40" s="194"/>
      <c r="I40" s="194"/>
      <c r="J40" s="194"/>
      <c r="K40" s="194"/>
      <c r="L40" s="194"/>
    </row>
    <row r="41" spans="1:12" ht="20.100000000000001" customHeight="1" x14ac:dyDescent="0.25">
      <c r="A41" s="5" t="str">
        <f>HYPERLINK("#'15 Scope 3'!A1", "15 Scope 3")</f>
        <v>15 Scope 3</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HYPERLINK("#'Calcs - Manure sent off-site'!A1", "Calcs - Manure sent off-site")</f>
        <v>Calcs - Manure sent off-site</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HYPERLINK("#'4.3.1.1-2 Methane'!A1", "4.3.1.1-2 Methane")</f>
        <v>4.3.1.1-2 Methane</v>
      </c>
      <c r="D43" s="118" t="s">
        <v>262</v>
      </c>
      <c r="E43" s="118"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c r="D46" s="87" t="s">
        <v>263</v>
      </c>
      <c r="E46" s="1" t="str" cm="1">
        <f t="array" ref="E46">Fertiliser_Equations_AtmosphericDeposition.VEERG_5_4_1_1__1_InorganicFertiliserAtmosphericDepositionN2OEmissions_Variable()</f>
        <v>E_adinorganic</v>
      </c>
    </row>
    <row r="47" spans="1:12" ht="20.100000000000001" customHeight="1" x14ac:dyDescent="0.25">
      <c r="A47" s="5" t="str">
        <f>HYPERLINK("#'4.3.1.8 Manure applied to soils'!A1", "4.3.1.8 Manure applied to soils")</f>
        <v>4.3.1.8 Manure applied to soils</v>
      </c>
      <c r="D47" s="87" t="s">
        <v>122</v>
      </c>
      <c r="E47" s="15" t="str" cm="1">
        <f t="array" ref="E47">Fertiliser_Equations_AtmosphericDeposition.VEERG_5_4_1_1__1_InorganicFertiliserAtmosphericDepositionN2OEmissions_Unit()</f>
        <v>t N2O</v>
      </c>
    </row>
    <row r="48" spans="1:12" ht="20.100000000000001" customHeight="1" x14ac:dyDescent="0.25">
      <c r="A48" s="5" t="str">
        <f>HYPERLINK("#'4.3.1.9 Soil direct N2O'!A1", "4.3.1.9 Soil direct N2O")</f>
        <v>4.3.1.9 Soil direct N2O</v>
      </c>
    </row>
    <row r="49" spans="1:10" ht="20.100000000000001" customHeight="1" x14ac:dyDescent="0.25">
      <c r="A49" s="5" t="str">
        <f>HYPERLINK("#'4.3.1.10-11 Soil Atmos Dep'!A1", "4.3.1.10-11 Soil Atmos Dep")</f>
        <v>4.3.1.10-11 Soil Atmos Dep</v>
      </c>
      <c r="D49" s="120" t="str" cm="1">
        <f t="array" ref="D49:E54">_xlfn.CHOOSECOLS(Fertiliser_Equations_AtmosphericDeposition.VEERG_5_4_1_1__1_InorganicFertiliserAtmosphericDepositionN2OEmissions_Arguments(), 1, 2)</f>
        <v>M_volinorganicjf</v>
      </c>
      <c r="E49" s="125" t="str">
        <v>mass of nitrogen volatilised from inorganic fertiliser applied to production system</v>
      </c>
      <c r="F49" s="133"/>
      <c r="G49" s="126"/>
      <c r="H49" s="120" t="str" cm="1">
        <f t="array" ref="H49:I54">_xlfn.CHOOSECOLS(Fertiliser_Equations_AtmosphericDeposition.VEERG_5_4_1_1__1_InorganicFertiliserAtmosphericDepositionN2OEmissions_Arguments(), 3,4)</f>
        <v>kg N</v>
      </c>
      <c r="I49" s="128" t="str">
        <v>Calculated from 5.4.1.1 (2)</v>
      </c>
      <c r="J49" s="127" t="str" cm="1">
        <f t="array" aca="1" ref="J49" ca="1">HYPERLINK(Common_InputFunctions.Utility_SourceHyperlink($D$16),$D$16)</f>
        <v>Table_M_vol_inorganic_j_f</v>
      </c>
    </row>
    <row r="50" spans="1:10" ht="20.100000000000001" customHeight="1" x14ac:dyDescent="0.25">
      <c r="A50" s="5" t="str">
        <f>HYPERLINK("#'4.3.1.12-13 Soil leach runoff'!A1", "4.3.1.12-13 Soil leach runoff")</f>
        <v>4.3.1.12-13 Soil leach runoff</v>
      </c>
      <c r="D50" s="120" t="str">
        <v>EF_N2Oj</v>
      </c>
      <c r="E50" s="125" t="str">
        <v>emission factor for atmospheric deposition</v>
      </c>
      <c r="F50" s="133"/>
      <c r="G50" s="126"/>
      <c r="H50" s="120" t="str">
        <v>kg N2O-N/kg N</v>
      </c>
      <c r="I50" s="128" t="str">
        <v>Constant</v>
      </c>
      <c r="J50" s="120">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HYPERLINK("#'3.3.1.1-2 Enteric Methane'!A1", "3.3.1.1-2 Enteric Methane")</f>
        <v>3.3.1.1-2 Enteric Methane</v>
      </c>
      <c r="D51" s="120" t="str">
        <v>C_N2O</v>
      </c>
      <c r="E51" s="125" t="str">
        <v>factor to convert elemental mass of nitrous oxide to molecular mass</v>
      </c>
      <c r="F51" s="133"/>
      <c r="G51" s="126"/>
      <c r="H51" s="120" t="str">
        <v/>
      </c>
      <c r="I51" s="128" t="str">
        <v>Constant</v>
      </c>
      <c r="J51" s="132">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HYPERLINK("#'10.1.1-2 Solid waste treatment'!A1", "10.1.1-2 Solid waste treatment")</f>
        <v>10.1.1-2 Solid waste treatment</v>
      </c>
      <c r="D52" s="120" t="str">
        <v>j</v>
      </c>
      <c r="E52" s="125" t="str">
        <v>Production system</v>
      </c>
      <c r="F52" s="133"/>
      <c r="G52" s="126"/>
      <c r="H52" s="120" t="str">
        <v/>
      </c>
      <c r="I52" s="121" t="str">
        <v>Input</v>
      </c>
      <c r="J52" s="120" t="str">
        <f>X_Cell_Fertiliser_ProductionSystem</f>
        <v>Pasture</v>
      </c>
    </row>
    <row r="53" spans="1:10" ht="20.100000000000001" customHeight="1" x14ac:dyDescent="0.25">
      <c r="D53" s="120" t="str">
        <v>ir</v>
      </c>
      <c r="E53" s="125" t="str">
        <v>irrigation method</v>
      </c>
      <c r="F53" s="133"/>
      <c r="G53" s="126"/>
      <c r="H53" s="120" t="str">
        <v/>
      </c>
      <c r="I53" s="121" t="str">
        <v>Input</v>
      </c>
      <c r="J53" s="120" t="str">
        <f>X_Cell_Fertiliser_IrrigationMethod</f>
        <v>Surface irrigation</v>
      </c>
    </row>
    <row r="54" spans="1:10" ht="20.100000000000001" customHeight="1" x14ac:dyDescent="0.25">
      <c r="D54" s="120" t="str">
        <v>r</v>
      </c>
      <c r="E54" s="125" t="str">
        <v>rainfall region</v>
      </c>
      <c r="F54" s="133"/>
      <c r="G54" s="126"/>
      <c r="H54" s="120" t="str">
        <v/>
      </c>
      <c r="I54" s="121" t="str">
        <v>Input</v>
      </c>
      <c r="J54" s="120" t="str">
        <f>X_Cell_Site_RainfallZone</f>
        <v>High rainfall</v>
      </c>
    </row>
    <row r="55" spans="1:10" ht="20.100000000000001" customHeight="1" x14ac:dyDescent="0.25">
      <c r="A55" s="100" t="s">
        <v>1</v>
      </c>
    </row>
    <row r="56" spans="1:10" ht="20.100000000000001" customHeight="1" x14ac:dyDescent="0.25">
      <c r="A56" s="5" t="str">
        <f>HYPERLINK("#'Constants - Dairy'!A1", "Constants - Dairy")</f>
        <v>Constants - Dairy</v>
      </c>
      <c r="D56" s="122" t="s">
        <v>680</v>
      </c>
    </row>
    <row r="57" spans="1:10" ht="20.100000000000001" customHeight="1" x14ac:dyDescent="0.25">
      <c r="A57" s="5" t="str">
        <f>HYPERLINK("#'Constants - Ag Residue'!A1", "Constants - Ag residue")</f>
        <v>Constants - Ag residue</v>
      </c>
      <c r="D57" s="123" t="s">
        <v>681</v>
      </c>
    </row>
    <row r="58" spans="1:10" ht="20.100000000000001" customHeight="1" x14ac:dyDescent="0.25">
      <c r="A58" s="5" t="str">
        <f>HYPERLINK("#'Constants - Common Livestock'!A1", "Constants - Common Livestock")</f>
        <v>Constants - Common Livestock</v>
      </c>
      <c r="D58" s="124" t="s">
        <v>675</v>
      </c>
      <c r="E58" s="197" t="s">
        <v>679</v>
      </c>
      <c r="F58" s="197" t="s">
        <v>682</v>
      </c>
    </row>
    <row r="59" spans="1:10" ht="20.100000000000001" customHeight="1" x14ac:dyDescent="0.25">
      <c r="A59" s="5" t="str">
        <f>HYPERLINK("#'Constants - Electricity'!A1", "Constants - Electricity")</f>
        <v>Constants - Electricity</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Fertiliser'!A1", "Constants - Fertiliser")</f>
        <v>Constants - Fertiliser</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HYPERLINK("#'Constants - Fuel'!A1", "Constants - Fuel")</f>
        <v>Constants - Fuel</v>
      </c>
      <c r="D61" s="25" t="str">
        <v>Urea</v>
      </c>
      <c r="E61" s="25">
        <f t="shared" si="0"/>
        <v>17399.999100000001</v>
      </c>
      <c r="F61" s="25" cm="1">
        <f t="array" ref="F61">Fertiliser_Equations_AtmosphericDeposition.VEERG_5_4_1_1__1_InorganicFertiliserAtmosphericDepositionN2OEmissions(E61,$J$50,$J$51)</f>
        <v>0.16132284879857145</v>
      </c>
    </row>
    <row r="62" spans="1:10" ht="20.100000000000001" customHeight="1" x14ac:dyDescent="0.25">
      <c r="A62" s="5" t="str">
        <f>HYPERLINK("#'Constants - Scope 3'!A1", "Constants - Scope 3")</f>
        <v>Constants - Scope 3</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A63" s="5" t="str">
        <f>HYPERLINK("#'Constants - Common'!A1", "Constants - Common")</f>
        <v>Constants - Common</v>
      </c>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A64" s="5" t="str">
        <f>HYPERLINK("#'Acknowledgements'!A1", "Acknowledgements")</f>
        <v>Acknowledgements</v>
      </c>
      <c r="D64" s="25" t="str">
        <v>Ammonium nitrate (AN)</v>
      </c>
      <c r="E64" s="25">
        <f t="shared" si="0"/>
        <v>0</v>
      </c>
      <c r="F64" s="25" cm="1">
        <f t="array" ref="F64">Fertiliser_Equations_AtmosphericDeposition.VEERG_5_4_1_1__1_InorganicFertiliserAtmosphericDepositionN2OEmissions(E64,$J$50,$J$51)</f>
        <v>0</v>
      </c>
    </row>
    <row r="65" spans="1:6" ht="20.100000000000001" customHeight="1" x14ac:dyDescent="0.25">
      <c r="A65" s="5" t="str">
        <f>HYPERLINK("#'Constants - Solid Waste'!A1", "Constants - Solid Waste")</f>
        <v>Constants - Solid Waste</v>
      </c>
      <c r="D65" s="25" t="str">
        <v>Calcium ammonium nitrate (CAN)</v>
      </c>
      <c r="E65" s="25">
        <f t="shared" si="0"/>
        <v>0</v>
      </c>
      <c r="F65" s="25" cm="1">
        <f t="array" ref="F65">Fertiliser_Equations_AtmosphericDeposition.VEERG_5_4_1_1__1_InorganicFertiliserAtmosphericDepositionN2OEmissions(E65,$J$50,$J$51)</f>
        <v>0</v>
      </c>
    </row>
    <row r="66" spans="1: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9.1972571428571431E-3</v>
      </c>
    </row>
    <row r="67" spans="1:6" ht="20.100000000000001" customHeight="1" x14ac:dyDescent="0.25">
      <c r="D67" s="25" t="str">
        <v>Nitrogen - Nitrate</v>
      </c>
      <c r="E67" s="25">
        <f t="shared" si="0"/>
        <v>55</v>
      </c>
      <c r="F67" s="25" cm="1">
        <f t="array" ref="F67">Fertiliser_Equations_AtmosphericDeposition.VEERG_5_4_1_1__1_InorganicFertiliserAtmosphericDepositionN2OEmissions(E67,$J$50,$J$51)</f>
        <v>5.0992857142857144E-4</v>
      </c>
    </row>
    <row r="68" spans="1: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1: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1: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1: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1: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1: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1: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1: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1: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1: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1:6" ht="20.100000000000001" customHeight="1" x14ac:dyDescent="0.25"/>
    <row r="79" spans="1:6" ht="20.100000000000001" customHeight="1" x14ac:dyDescent="0.25">
      <c r="D79" s="135" t="s">
        <v>683</v>
      </c>
      <c r="E79" s="136">
        <f>SUM(F59:F77)</f>
        <v>0.20228865594142856</v>
      </c>
      <c r="F79" s="137" t="str">
        <f>$E$47</f>
        <v>t N2O</v>
      </c>
    </row>
    <row r="80" spans="1:6" ht="20.100000000000001" customHeight="1" x14ac:dyDescent="0.25"/>
    <row r="81" spans="3:12" ht="20.100000000000001" customHeight="1" x14ac:dyDescent="0.25">
      <c r="D81" s="132" t="str" cm="1">
        <f t="array" ref="D81:E82">Common_Equations.Common_ConvertN2OToCO2e_Arguments()</f>
        <v>EN2O</v>
      </c>
      <c r="E81" s="138" t="str">
        <v>Nitrous oxide emissions (t N2O)</v>
      </c>
      <c r="F81" s="139"/>
      <c r="G81" s="25">
        <f>VEERG_5_4_1_1__1_InorganicFertiliserAtmosphericDepositionN2OEmissions_Result_Method1</f>
        <v>0.20228865594142856</v>
      </c>
    </row>
    <row r="82" spans="3:12" ht="20.100000000000001" customHeight="1" x14ac:dyDescent="0.25">
      <c r="D82" s="132" t="str">
        <v>GWPN2O</v>
      </c>
      <c r="E82" s="138" t="str">
        <v>Global warming potential for nitrous oxide (t CO2-e / t N2O)</v>
      </c>
      <c r="F82" s="139"/>
      <c r="G82" s="25">
        <f>Common_InputFunctions.Utility_LookupValueInTableNumber("N2O",Table_GWPData[Gas],Table_GWPData[CO2-e factor])</f>
        <v>265</v>
      </c>
    </row>
    <row r="83" spans="3:12" ht="20.100000000000001" customHeight="1" x14ac:dyDescent="0.25"/>
    <row r="84" spans="3:12" ht="20.100000000000001" customHeight="1" x14ac:dyDescent="0.25">
      <c r="D84" s="101" t="s">
        <v>412</v>
      </c>
      <c r="E84" s="101" cm="1">
        <f t="array" ref="E84">Common_Equations.Common_ConvertN2OToCO2e(G81,G82)</f>
        <v>53.606493824478569</v>
      </c>
      <c r="F84" s="140"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4"/>
      <c r="D87" s="194"/>
      <c r="E87" s="194"/>
      <c r="F87" s="194"/>
      <c r="G87" s="194"/>
      <c r="H87" s="194"/>
      <c r="I87" s="194"/>
      <c r="J87" s="194"/>
      <c r="K87" s="194"/>
      <c r="L87" s="194"/>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8" t="s">
        <v>262</v>
      </c>
      <c r="E90" s="118"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7" t="s">
        <v>263</v>
      </c>
      <c r="E93" s="1" t="str" cm="1">
        <f t="array" ref="E93">Fertiliser_Equations_AtmosphericDeposition.VEERG_5_4_1_3__2_MassOfNitrogenVolatilisedFromOrganicFertiliser_Variable()</f>
        <v>M_volorganicjf</v>
      </c>
    </row>
    <row r="94" spans="3:12" ht="20.100000000000001" customHeight="1" x14ac:dyDescent="0.25">
      <c r="D94" s="87" t="s">
        <v>122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20" t="str" cm="1">
        <f t="array" ref="D96:E97">_xlfn.CHOOSECOLS(Fertiliser_Equations_AtmosphericDeposition.VEERG_5_4_1_3__2_MassOfNitrogenVolatilisedFromOrganicFertiliser_Arguments(), 1, 2)</f>
        <v>MNSoil_jf</v>
      </c>
      <c r="E96" s="120" t="str">
        <v>mass of nitrogen in organic fertiliser type f applied to production system j</v>
      </c>
      <c r="F96" s="120"/>
      <c r="G96" s="120" t="str" cm="1">
        <f t="array" ref="G96:H97">_xlfn.CHOOSECOLS(Fertiliser_Equations_AtmosphericDeposition.VEERG_5_4_1_3__2_MassOfNitrogenVolatilisedFromOrganicFertiliser_Arguments(), 3,4)</f>
        <v>kg N</v>
      </c>
      <c r="H96" s="128" t="str">
        <v>Calculated from 5.2.1.1 (2)</v>
      </c>
      <c r="I96" s="127" t="str" cm="1">
        <f t="array" aca="1" ref="I96" ca="1">HYPERLINK(Common_InputFunctions.Utility_SourceHyperlink($D$99), $D$99)</f>
        <v>Table_M_vol_organic_j_f</v>
      </c>
    </row>
    <row r="97" spans="4:9" ht="20.100000000000001" customHeight="1" x14ac:dyDescent="0.25">
      <c r="D97" s="120" t="str">
        <v>FracGASM_soil</v>
      </c>
      <c r="E97" s="120" t="str">
        <v>fraction of organic fertiliser N that volatilises</v>
      </c>
      <c r="F97" s="120"/>
      <c r="G97" s="120" t="str">
        <v>(kg NH3-N + NOx-N)/kg N</v>
      </c>
      <c r="H97" s="128" t="str">
        <v>Constant</v>
      </c>
      <c r="I97" s="120">
        <f>Fertiliser_FracGASMSoil_Data</f>
        <v>0.21</v>
      </c>
    </row>
    <row r="98" spans="4:9" ht="20.100000000000001" customHeight="1" x14ac:dyDescent="0.25"/>
    <row r="99" spans="4:9" ht="20.100000000000001" customHeight="1" x14ac:dyDescent="0.25">
      <c r="D99" s="122" t="s">
        <v>684</v>
      </c>
    </row>
    <row r="100" spans="4:9" ht="20.100000000000001" customHeight="1" x14ac:dyDescent="0.25">
      <c r="D100" s="123" t="s">
        <v>685</v>
      </c>
    </row>
    <row r="101" spans="4:9" ht="20.100000000000001" customHeight="1" x14ac:dyDescent="0.25">
      <c r="D101" s="94" t="s">
        <v>658</v>
      </c>
      <c r="E101" s="189" t="s">
        <v>662</v>
      </c>
      <c r="F101" s="189" t="s">
        <v>686</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4"/>
      <c r="D115" s="194"/>
      <c r="E115" s="194"/>
      <c r="F115" s="194"/>
      <c r="G115" s="194"/>
      <c r="H115" s="194"/>
      <c r="I115" s="194"/>
      <c r="J115" s="194"/>
      <c r="K115" s="194"/>
      <c r="L115" s="194"/>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8" t="s">
        <v>262</v>
      </c>
      <c r="E118" s="118"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7" t="s">
        <v>263</v>
      </c>
      <c r="E121" s="1" t="str" cm="1">
        <f t="array" ref="E121">Fertiliser_Equations_AtmosphericDeposition.VEERG_5_4_1_3__1_OrganicFertiliserAtmosphericDepositionN2OEmissions_Variable()</f>
        <v>E_adorganic</v>
      </c>
    </row>
    <row r="122" spans="3:12" ht="20.100000000000001" customHeight="1" x14ac:dyDescent="0.25">
      <c r="D122" s="87" t="s">
        <v>122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20" t="str" cm="1">
        <f t="array" ref="D124:E129">_xlfn.CHOOSECOLS(Fertiliser_Equations_AtmosphericDeposition.VEERG_5_4_1_3__1_OrganicFertiliserAtmosphericDepositionN2OEmissions_Arguments(), 1, 2)</f>
        <v>M_volorganicjf</v>
      </c>
      <c r="E124" s="125" t="str">
        <v>mass of nitrogen volatilised from organic fertiliser applied to production system</v>
      </c>
      <c r="F124" s="126"/>
      <c r="G124" s="120" t="str" cm="1">
        <f t="array" ref="G124:H129">_xlfn.CHOOSECOLS(Fertiliser_Equations_AtmosphericDeposition.VEERG_5_4_1_3__1_OrganicFertiliserAtmosphericDepositionN2OEmissions_Arguments(), 3,4)</f>
        <v>kg N</v>
      </c>
      <c r="H124" s="128" t="str">
        <v>Calculated from 5.4.1.3 (2)</v>
      </c>
      <c r="I124" s="127" t="str" cm="1">
        <f t="array" aca="1" ref="I124" ca="1">HYPERLINK(Common_InputFunctions.Utility_SourceHyperlink($D$99), $D$99)</f>
        <v>Table_M_vol_organic_j_f</v>
      </c>
    </row>
    <row r="125" spans="3:12" ht="20.100000000000001" customHeight="1" x14ac:dyDescent="0.25">
      <c r="D125" s="120" t="str">
        <v>EF_N2Oj</v>
      </c>
      <c r="E125" s="125" t="str">
        <v>emission factor for atmospheric deposition in production system j</v>
      </c>
      <c r="F125" s="126"/>
      <c r="G125" s="120" t="str">
        <v>kg N2O-N/kg N</v>
      </c>
      <c r="H125" s="128" t="str">
        <v>Constant</v>
      </c>
      <c r="I125" s="120">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20" t="str">
        <v>C_N2O</v>
      </c>
      <c r="E126" s="125" t="str">
        <v>factor to convert elemental mass of nitrous oxide to molecular mass</v>
      </c>
      <c r="F126" s="126"/>
      <c r="G126" s="120" t="str">
        <v/>
      </c>
      <c r="H126" s="128" t="str">
        <v>Constant</v>
      </c>
      <c r="I126" s="132">
        <f>Common_InputFunctions.Utility_LookupValueInTableNumber("N2O",Table_GasToMolecularConversionFactor[Gas],Table_GasToMolecularConversionFactor[Conversion factor combined])</f>
        <v>1.5714285714285714</v>
      </c>
    </row>
    <row r="127" spans="3:12" ht="20.100000000000001" customHeight="1" x14ac:dyDescent="0.25">
      <c r="D127" s="120" t="str">
        <v>j</v>
      </c>
      <c r="E127" s="125" t="str">
        <v>Production system</v>
      </c>
      <c r="F127" s="126"/>
      <c r="G127" s="120" t="str">
        <v/>
      </c>
      <c r="H127" s="121" t="str">
        <v>Input</v>
      </c>
      <c r="I127" s="120" t="str">
        <f>X_Cell_Fertiliser_ProductionSystem</f>
        <v>Pasture</v>
      </c>
    </row>
    <row r="128" spans="3:12" ht="20.100000000000001" customHeight="1" x14ac:dyDescent="0.25">
      <c r="D128" s="120" t="str">
        <v>ir</v>
      </c>
      <c r="E128" s="125" t="str">
        <v>irrigation method</v>
      </c>
      <c r="F128" s="126"/>
      <c r="G128" s="120" t="str">
        <v/>
      </c>
      <c r="H128" s="121" t="str">
        <v>Input</v>
      </c>
      <c r="I128" s="120" t="str">
        <f>X_Cell_Fertiliser_IrrigationMethod</f>
        <v>Surface irrigation</v>
      </c>
    </row>
    <row r="129" spans="4:9" ht="20.100000000000001" customHeight="1" x14ac:dyDescent="0.25">
      <c r="D129" s="120" t="str">
        <v>r</v>
      </c>
      <c r="E129" s="125" t="str">
        <v>rainfall region</v>
      </c>
      <c r="F129" s="126"/>
      <c r="G129" s="120" t="str">
        <v/>
      </c>
      <c r="H129" s="121" t="str">
        <v>Input</v>
      </c>
      <c r="I129" s="120" t="str">
        <f>X_Cell_Site_RainfallZone</f>
        <v>High rainfall</v>
      </c>
    </row>
    <row r="130" spans="4:9" ht="20.100000000000001" customHeight="1" x14ac:dyDescent="0.25"/>
    <row r="131" spans="4:9" ht="20.100000000000001" customHeight="1" x14ac:dyDescent="0.25">
      <c r="D131" s="122" t="s">
        <v>687</v>
      </c>
    </row>
    <row r="132" spans="4:9" ht="20.100000000000001" customHeight="1" x14ac:dyDescent="0.25">
      <c r="D132" s="123" t="s">
        <v>688</v>
      </c>
    </row>
    <row r="133" spans="4:9" ht="20.100000000000001" customHeight="1" x14ac:dyDescent="0.25">
      <c r="D133" s="94" t="s">
        <v>658</v>
      </c>
      <c r="E133" s="189" t="s">
        <v>686</v>
      </c>
      <c r="F133" s="189" t="s">
        <v>689</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5" t="s">
        <v>690</v>
      </c>
      <c r="E146" s="136">
        <f>SUM(F134:F144)</f>
        <v>1.38237E-2</v>
      </c>
      <c r="F146" s="137" t="str">
        <f>$E$122</f>
        <v>t N2O</v>
      </c>
    </row>
    <row r="147" spans="4:7" ht="20.100000000000001" customHeight="1" x14ac:dyDescent="0.25"/>
    <row r="148" spans="4:7" ht="20.100000000000001" customHeight="1" x14ac:dyDescent="0.25">
      <c r="D148" s="132" t="str" cm="1">
        <f t="array" ref="D148:E149">Common_Equations.Common_ConvertN2OToCO2e_Arguments()</f>
        <v>EN2O</v>
      </c>
      <c r="E148" s="138" t="str">
        <v>Nitrous oxide emissions (t N2O)</v>
      </c>
      <c r="F148" s="139"/>
      <c r="G148" s="25">
        <f>VEERG_5_4_1_3__1_OrganicFertiliserAtmosphericDepositionN2OEmissions_Result_Method1</f>
        <v>1.38237E-2</v>
      </c>
    </row>
    <row r="149" spans="4:7" ht="20.100000000000001" customHeight="1" x14ac:dyDescent="0.25">
      <c r="D149" s="132" t="str">
        <v>GWPN2O</v>
      </c>
      <c r="E149" s="138" t="str">
        <v>Global warming potential for nitrous oxide (t CO2-e / t N2O)</v>
      </c>
      <c r="F149" s="139"/>
      <c r="G149" s="25">
        <f>Common_InputFunctions.Utility_LookupValueInTableNumber("N2O",Table_GWPData[Gas],Table_GWPData[CO2-e factor])</f>
        <v>265</v>
      </c>
    </row>
    <row r="150" spans="4:7" ht="20.100000000000001" customHeight="1" x14ac:dyDescent="0.25"/>
    <row r="151" spans="4:7" ht="20.100000000000001" customHeight="1" x14ac:dyDescent="0.25">
      <c r="D151" s="101" t="s">
        <v>412</v>
      </c>
      <c r="E151" s="101" cm="1">
        <f t="array" ref="E151">Common_Equations.Common_ConvertN2OToCO2e(G148,G149)</f>
        <v>3.6632804999999999</v>
      </c>
      <c r="F151" s="140"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BBF1D-45A1-4AE2-B5D6-768EB279AC90}">
  <dimension ref="A1:T165"/>
  <sheetViews>
    <sheetView showGridLines="0" topLeftCell="A1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691</v>
      </c>
    </row>
    <row r="2" spans="1:20" s="3" customFormat="1" ht="20.100000000000001" customHeight="1" x14ac:dyDescent="0.25">
      <c r="A2"/>
    </row>
    <row r="3" spans="1:20"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8" t="s">
        <v>262</v>
      </c>
      <c r="E7" s="118"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7" t="s">
        <v>263</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7" t="s">
        <v>122</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20" t="str" cm="1">
        <f t="array" ref="D13:E18">_xlfn.CHOOSECOLS(Fertiliser_Equations_LeachingAndRunoff.VEERG_5_5_1_1__2_MassOfNitrogenLeachedFromInorganicFertiliser_Arguments(), 1, 2)</f>
        <v>MN_jf</v>
      </c>
      <c r="E13" s="125" t="str">
        <v>mass of nitrogen in inorganic fertiliser</v>
      </c>
      <c r="F13" s="126"/>
      <c r="G13" s="120" t="str" cm="1">
        <f t="array" ref="G13:H18">_xlfn.CHOOSECOLS(Fertiliser_Equations_LeachingAndRunoff.VEERG_5_5_1_1__2_MassOfNitrogenLeachedFromInorganicFertiliser_Arguments(), 3,4)</f>
        <v>kg N</v>
      </c>
      <c r="H13" s="128" t="str">
        <v>Calculated from 5.1.1.1 (2)</v>
      </c>
      <c r="I13" s="127"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20" t="str">
        <v>FracWETj</v>
      </c>
      <c r="E14" s="125" t="str">
        <v>fraction of N available for leaching and runoff</v>
      </c>
      <c r="F14" s="126"/>
      <c r="G14" s="120" t="str">
        <v>fraction</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20" t="str">
        <v>FracLEACH</v>
      </c>
      <c r="E15" s="125" t="str">
        <v>fraction of N that is lost through leaching and runoff</v>
      </c>
      <c r="F15" s="126"/>
      <c r="G15" s="120" t="str">
        <v>fraction</v>
      </c>
      <c r="H15" s="128" t="str">
        <v>Constant</v>
      </c>
      <c r="I15" s="120">
        <f>Fertiliser_FracLEACH_Data</f>
        <v>0.24</v>
      </c>
    </row>
    <row r="16" spans="1:20" ht="20.100000000000001" customHeight="1" x14ac:dyDescent="0.25">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9" ht="20.100000000000001" customHeight="1" x14ac:dyDescent="0.25">
      <c r="A17" s="5" t="str">
        <f>HYPERLINK("#'Input - Fertiliser'!A1", "Fertiliser")</f>
        <v>Fertiliser</v>
      </c>
      <c r="D17" s="120" t="str">
        <v>j</v>
      </c>
      <c r="E17" s="125" t="str">
        <v>production system</v>
      </c>
      <c r="F17" s="126"/>
      <c r="G17" s="120" t="str">
        <v/>
      </c>
      <c r="H17" s="121" t="str">
        <v>Input</v>
      </c>
      <c r="I17" s="120" t="str">
        <f>X_Cell_Fertiliser_ProductionSystem</f>
        <v>Pasture</v>
      </c>
    </row>
    <row r="18" spans="1:9" ht="20.100000000000001" customHeight="1" x14ac:dyDescent="0.25">
      <c r="A18" s="5" t="str">
        <f>HYPERLINK("#'Input - Fuel'!A1", "Fuel")</f>
        <v>Fuel</v>
      </c>
      <c r="D18" s="120" t="str">
        <v>ir</v>
      </c>
      <c r="E18" s="125" t="str">
        <v>irrigation method</v>
      </c>
      <c r="F18" s="126"/>
      <c r="G18" s="120" t="str">
        <v/>
      </c>
      <c r="H18" s="121" t="str">
        <v>Input</v>
      </c>
      <c r="I18" s="120"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Common farm inputs'!A1", "Common farm inputs")</f>
        <v>Common farm inputs</v>
      </c>
      <c r="D20" s="122" t="s">
        <v>692</v>
      </c>
    </row>
    <row r="21" spans="1:9" ht="20.100000000000001" customHeight="1" x14ac:dyDescent="0.25">
      <c r="A21" s="5" t="str">
        <f>HYPERLINK("#'Input - Crop pasture farm input'!A1", "Crop pasture farm input")</f>
        <v>Crop pasture farm input</v>
      </c>
      <c r="D21" s="123" t="s">
        <v>693</v>
      </c>
    </row>
    <row r="22" spans="1:9" ht="20.100000000000001" customHeight="1" x14ac:dyDescent="0.25">
      <c r="A22" s="5" t="str">
        <f>HYPERLINK("#'Input - Livestock farm Inputs'!A1", "Livestock farm Inputs")</f>
        <v>Livestock farm Inputs</v>
      </c>
      <c r="D22" s="124" t="s">
        <v>619</v>
      </c>
      <c r="E22" s="124" t="s">
        <v>676</v>
      </c>
      <c r="F22" s="124" t="s">
        <v>694</v>
      </c>
    </row>
    <row r="23" spans="1:9" ht="20.100000000000001" customHeight="1" x14ac:dyDescent="0.25">
      <c r="A23" s="5" t="str">
        <f>HYPERLINK("#'Input - Freight'!A1", "Freight")</f>
        <v>Freight</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HYPERLINK("#'Input - Solid waste'!A1", "Solid waste")</f>
        <v>Solid waste</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HYPERLINK("#'Input - Data quality'!A1", "Data quality")</f>
        <v>Data quality</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6" t="s">
        <v>2</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HYPERLINK("#'5.1.1.1-2 Inorganic fert N2O'!A1", "5.1.1.1-2 Inorganic fert N2O")</f>
        <v>5.1.1.1-2 Inorganic fert N2O</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HYPERLINK("#'5.1.1.3-4 Inorganic fert CO2'!A1", "5.1.1.3-4 Inorganic fert CO2")</f>
        <v>5.1.1.3-4 Inorganic fert CO2</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HYPERLINK("#'5.2.1.1-2 Organic Fert N2O'!A1", "5.2.1.1-2 Organic fert N2O")</f>
        <v>5.2.1.1-2 Organic fert N2O</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HYPERLINK("#'5.3.1.1-2 Lime CO2'!A1", "5.3.1.1-2 Lime CO2")</f>
        <v>5.3.1.1-2 Lime CO2</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HYPERLINK("#'5.4.1.1-4 Atmos deposition'!A1", "5.4.1.1-4 Atmos. deposition")</f>
        <v>5.4.1.1-4 Atmos. deposition</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119" t="str">
        <f>HYPERLINK("#'5.5.1.1-2 Leaching and runoff'!A1", "5.5.1.1-2 Leaching &amp; runoff")</f>
        <v>5.5.1.1-2 Leaching &amp; runoff</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HYPERLINK("#'6.2.1.1-2 Pasture residue N2O'!A1", "6.2.1.1-2 Pasture residue N2O")</f>
        <v>6.2.1.1-2 Pasture residue N2O</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HYPERLINK("#'6.3.1.1-2 Leach runoff pasture'!A1", "6.3.1.1-2 Leach &amp; runoff (pasture)")</f>
        <v>6.3.1.1-2 Leach &amp; runoff (pasture)</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HYPERLINK("#'8.1.1.1-2 Transport fuel'!A1", "8.1.1.1-2 Transport fuel")</f>
        <v>8.1.1.1-2 Transport fuel</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HYPERLINK("#'8.2.1.1-2 Stationary fuel'!A1", "8.2.1.1-2 Stationary fuel")</f>
        <v>8.2.1.1-2 Stationary fuel</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HYPERLINK("#'14.1.1-2 Purchased electricity'!A1", "14.1.1-2 Purchased electricity")</f>
        <v>14.1.1-2 Purchased electricity</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HYPERLINK("#'15 Scope 3'!A1", "15 Scope 3")</f>
        <v>15 Scope 3</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HYPERLINK("#'Calcs - Manure sent off-site'!A1", "Calcs - Manure sent off-site")</f>
        <v>Calcs - Manure sent off-site</v>
      </c>
    </row>
    <row r="43" spans="1:11" ht="20.100000000000001" customHeight="1" x14ac:dyDescent="0.25">
      <c r="A43" s="5" t="str">
        <f>HYPERLINK("#'4.3.1.1-2 Methane'!A1", "4.3.1.1-2 Methane")</f>
        <v>4.3.1.1-2 Methane</v>
      </c>
      <c r="D43" s="142" t="s">
        <v>695</v>
      </c>
      <c r="E43" s="101">
        <f>SUM(F23:F41)</f>
        <v>43877.99856</v>
      </c>
      <c r="F43" s="140" t="str">
        <f>$E$11</f>
        <v>kg N</v>
      </c>
    </row>
    <row r="44" spans="1:11" ht="20.100000000000001" customHeight="1" x14ac:dyDescent="0.25">
      <c r="A44" s="5" t="str">
        <f>HYPERLINK("#'4.3.1.3-4 Direct N20'!A1", "4.3.1.3-4 Direct N20")</f>
        <v>4.3.1.3-4 Direct N20</v>
      </c>
    </row>
    <row r="45" spans="1:11" ht="20.100000000000001" customHeight="1" x14ac:dyDescent="0.25">
      <c r="A45" s="5" t="str">
        <f>HYPERLINK("#'4.3.1.5 Atmos deposition'!A1", "4.3.1.5 Atmos deposition")</f>
        <v>4.3.1.5 Atmos deposition</v>
      </c>
      <c r="C45" s="198"/>
      <c r="D45" s="198"/>
      <c r="E45" s="198"/>
      <c r="F45" s="198"/>
      <c r="G45" s="198"/>
      <c r="H45" s="198"/>
      <c r="I45" s="198"/>
      <c r="J45" s="198"/>
      <c r="K45" s="198"/>
    </row>
    <row r="46" spans="1:11" ht="20.100000000000001" customHeight="1" x14ac:dyDescent="0.25">
      <c r="A46" s="5" t="str">
        <f>HYPERLINK("#'4.3.1.6-7 Leaching and runoff'!A1", "4.3.1.6-7 Leaching and runoff")</f>
        <v>4.3.1.6-7 Leaching and runoff</v>
      </c>
    </row>
    <row r="47" spans="1:11" ht="20.100000000000001" customHeight="1" x14ac:dyDescent="0.25">
      <c r="A47" s="5" t="str">
        <f>HYPERLINK("#'4.3.1.8 Manure applied to soils'!A1", "4.3.1.8 Manure applied to soils")</f>
        <v>4.3.1.8 Manure applied to soils</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HYPERLINK("#'4.3.1.9 Soil direct N2O'!A1", "4.3.1.9 Soil direct N2O")</f>
        <v>4.3.1.9 Soil direct N2O</v>
      </c>
      <c r="D48" s="27" t="str" cm="1">
        <f t="array" ref="D48">Fertiliser_Equations_LeachingAndRunoff.VEERG_5_5_1_1__3_MassOfNitrogenLeachedFromOrganicFertiliser_Source()</f>
        <v>VEERG 2026: 5.5, Equation (3)</v>
      </c>
    </row>
    <row r="49" spans="1:9" ht="20.100000000000001" customHeight="1" x14ac:dyDescent="0.25">
      <c r="A49" s="5" t="str">
        <f>HYPERLINK("#'4.3.1.10-11 Soil Atmos Dep'!A1", "4.3.1.10-11 Soil Atmos Dep")</f>
        <v>4.3.1.10-11 Soil Atmos Dep</v>
      </c>
      <c r="D49" s="118" t="s">
        <v>262</v>
      </c>
      <c r="E49" s="118" t="str" cm="1">
        <f t="array" aca="1" ref="E49" ca="1">Common_InputFunctions.Utility_DisplayFunctionName(F65)</f>
        <v>=Fertiliser_Equations_LeachingAndRunoff.VEERG_5_5_1_1__3_MassOfNitrogenLeachedFromOrganicFertiliser</v>
      </c>
    </row>
    <row r="50" spans="1:9" ht="20.100000000000001" customHeight="1" x14ac:dyDescent="0.25">
      <c r="A50" s="5" t="str">
        <f>HYPERLINK("#'4.3.1.12-13 Soil leach runoff'!A1", "4.3.1.12-13 Soil leach runoff")</f>
        <v>4.3.1.12-13 Soil leach runoff</v>
      </c>
    </row>
    <row r="51" spans="1:9" ht="20.100000000000001" customHeight="1" x14ac:dyDescent="0.25">
      <c r="A51" s="5" t="str">
        <f>HYPERLINK("#'3.3.1.1-2 Enteric Methane'!A1", "3.3.1.1-2 Enteric Methane")</f>
        <v>3.3.1.1-2 Enteric Methane</v>
      </c>
    </row>
    <row r="52" spans="1:9" ht="20.100000000000001" customHeight="1" x14ac:dyDescent="0.25">
      <c r="A52" s="5" t="str">
        <f>HYPERLINK("#'10.1.1-2 Solid waste treatment'!A1", "10.1.1-2 Solid waste treatment")</f>
        <v>10.1.1-2 Solid waste treatment</v>
      </c>
      <c r="D52" s="87" t="s">
        <v>263</v>
      </c>
      <c r="E52" s="1" t="str" cm="1">
        <f t="array" ref="E52">Fertiliser_Equations_LeachingAndRunoff.VEERG_5_5_1_1__3_MassOfNitrogenLeachedFromOrganicFertiliser_Variable()</f>
        <v>M_leachorganicj</v>
      </c>
    </row>
    <row r="53" spans="1:9" ht="20.100000000000001" customHeight="1" x14ac:dyDescent="0.25">
      <c r="D53" s="87" t="s">
        <v>122</v>
      </c>
      <c r="E53" s="15" t="str" cm="1">
        <f t="array" ref="E53">Fertiliser_Equations_LeachingAndRunoff.VEERG_5_5_1_1__3_MassOfNitrogenLeachedFromOrganicFertiliser_Unit()</f>
        <v>kg N</v>
      </c>
    </row>
    <row r="54" spans="1:9" ht="20.100000000000001" customHeight="1" x14ac:dyDescent="0.25"/>
    <row r="55" spans="1:9" ht="20.100000000000001" customHeight="1" x14ac:dyDescent="0.25">
      <c r="A55" s="100" t="s">
        <v>1</v>
      </c>
      <c r="D55" s="120" t="str" cm="1">
        <f t="array" ref="D55:E60">_xlfn.CHOOSECOLS(Fertiliser_Equations_LeachingAndRunoff.VEERG_5_5_1_1__3_MassOfNitrogenLeachedFromOrganicFertiliser_Arguments(), 1, 2)</f>
        <v>MNSoil_jf</v>
      </c>
      <c r="E55" s="125" t="str">
        <v>mass of nitrogen in organic fertiliser</v>
      </c>
      <c r="F55" s="126"/>
      <c r="G55" s="120" t="str" cm="1">
        <f t="array" ref="G55:H60">_xlfn.CHOOSECOLS(Fertiliser_Equations_LeachingAndRunoff.VEERG_5_5_1_1__3_MassOfNitrogenLeachedFromOrganicFertiliser_Arguments(), 3,4)</f>
        <v>kg N</v>
      </c>
      <c r="H55" s="128" t="str">
        <v>Calculated from 5.2.1.1 (2)</v>
      </c>
      <c r="I55" s="127" t="str" cm="1">
        <f t="array" aca="1" ref="I55" ca="1">HYPERLINK(Common_InputFunctions.Utility_SourceHyperlink(D62), D62)</f>
        <v>Table_M_leach_organic_j</v>
      </c>
    </row>
    <row r="56" spans="1:9" ht="20.100000000000001" customHeight="1" x14ac:dyDescent="0.25">
      <c r="A56" s="5" t="str">
        <f>HYPERLINK("#'Constants - Dairy'!A1", "Constants - Dairy")</f>
        <v>Constants - Dairy</v>
      </c>
      <c r="D56" s="120" t="str">
        <v>FracWETj</v>
      </c>
      <c r="E56" s="125" t="str">
        <v>fraction of N available for leaching and runoff</v>
      </c>
      <c r="F56" s="126"/>
      <c r="G56" s="120" t="str">
        <v>fraction</v>
      </c>
      <c r="H56" s="128" t="str">
        <v>Constant</v>
      </c>
      <c r="I56" s="120">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Ag Residue'!A1", "Constants - Ag residue")</f>
        <v>Constants - Ag residue</v>
      </c>
      <c r="D57" s="120" t="str">
        <v>FracLEACH</v>
      </c>
      <c r="E57" s="125" t="str">
        <v>fraction of N that is lost through leaching and runoff</v>
      </c>
      <c r="F57" s="126"/>
      <c r="G57" s="120" t="str">
        <v>fraction</v>
      </c>
      <c r="H57" s="128" t="str">
        <v>Constant</v>
      </c>
      <c r="I57" s="120">
        <f>Fertiliser_FracLEACH_Data</f>
        <v>0.24</v>
      </c>
    </row>
    <row r="58" spans="1:9" ht="20.100000000000001" customHeight="1" x14ac:dyDescent="0.25">
      <c r="A58" s="5" t="str">
        <f>HYPERLINK("#'Constants - Common Livestock'!A1", "Constants - Common Livestock")</f>
        <v>Constants - Common Livestock</v>
      </c>
      <c r="D58" s="120" t="str">
        <v>z</v>
      </c>
      <c r="E58" s="125" t="str">
        <v>location in leaching zone</v>
      </c>
      <c r="F58" s="126"/>
      <c r="G58" s="120" t="str">
        <v/>
      </c>
      <c r="H58" s="121" t="str">
        <v>Input</v>
      </c>
      <c r="I58" s="120" t="str">
        <f>X_Cell_Site_LeachingZone</f>
        <v>NO - Not in leaching zone</v>
      </c>
    </row>
    <row r="59" spans="1:9" ht="20.100000000000001" customHeight="1" x14ac:dyDescent="0.25">
      <c r="A59" s="5" t="str">
        <f>HYPERLINK("#'Constants - Electricity'!A1", "Constants - Electricity")</f>
        <v>Constants - Electricity</v>
      </c>
      <c r="D59" s="120" t="str">
        <v>j</v>
      </c>
      <c r="E59" s="125" t="str">
        <v>production system</v>
      </c>
      <c r="F59" s="126"/>
      <c r="G59" s="120" t="str">
        <v/>
      </c>
      <c r="H59" s="121" t="str">
        <v>Input</v>
      </c>
      <c r="I59" s="120" t="str">
        <f>X_Cell_Fertiliser_ProductionSystem</f>
        <v>Pasture</v>
      </c>
    </row>
    <row r="60" spans="1:9" ht="20.100000000000001" customHeight="1" x14ac:dyDescent="0.25">
      <c r="A60" s="5" t="str">
        <f>HYPERLINK("#'Constants - Fertiliser'!A1", "Constants - Fertiliser")</f>
        <v>Constants - Fertiliser</v>
      </c>
      <c r="D60" s="120" t="str">
        <v>ir</v>
      </c>
      <c r="E60" s="125" t="str">
        <v>irrigation method</v>
      </c>
      <c r="F60" s="126"/>
      <c r="G60" s="120" t="str">
        <v/>
      </c>
      <c r="H60" s="121" t="str">
        <v>Input</v>
      </c>
      <c r="I60" s="120" t="str">
        <f>X_Cell_Fertiliser_IrrigationMethod</f>
        <v>Surface irrigation</v>
      </c>
    </row>
    <row r="61" spans="1:9" ht="20.100000000000001" customHeight="1" x14ac:dyDescent="0.25">
      <c r="A61" s="5" t="str">
        <f>HYPERLINK("#'Constants - Fuel'!A1", "Constants - Fuel")</f>
        <v>Constants - Fuel</v>
      </c>
    </row>
    <row r="62" spans="1:9" ht="20.100000000000001" customHeight="1" x14ac:dyDescent="0.25">
      <c r="A62" s="5" t="str">
        <f>HYPERLINK("#'Constants - Scope 3'!A1", "Constants - Scope 3")</f>
        <v>Constants - Scope 3</v>
      </c>
      <c r="D62" s="122" t="s">
        <v>696</v>
      </c>
    </row>
    <row r="63" spans="1:9" ht="20.100000000000001" customHeight="1" x14ac:dyDescent="0.25">
      <c r="A63" s="5" t="str">
        <f>HYPERLINK("#'Constants - Common'!A1", "Constants - Common")</f>
        <v>Constants - Common</v>
      </c>
      <c r="D63" s="123" t="s">
        <v>697</v>
      </c>
    </row>
    <row r="64" spans="1:9" ht="20.100000000000001" customHeight="1" x14ac:dyDescent="0.25">
      <c r="A64" s="5" t="str">
        <f>HYPERLINK("#'Acknowledgements'!A1", "Acknowledgements")</f>
        <v>Acknowledgements</v>
      </c>
      <c r="D64" s="94" t="s">
        <v>658</v>
      </c>
      <c r="E64" s="199" t="s">
        <v>662</v>
      </c>
      <c r="F64" s="124" t="s">
        <v>698</v>
      </c>
    </row>
    <row r="65" spans="1:11" ht="20.100000000000001" customHeight="1" x14ac:dyDescent="0.25">
      <c r="A65" s="5" t="str">
        <f>HYPERLINK("#'Constants - Solid Waste'!A1", "Constants - Solid Waste")</f>
        <v>Constants - Solid Waste</v>
      </c>
      <c r="D65" s="25" t="str">
        <f>INDEX(Table_MNSoil_j_f,2,1)</f>
        <v>Manure - Other</v>
      </c>
      <c r="E65" s="25">
        <f>INDEX(Table_MNSoil_j_f,2,6)</f>
        <v>3000</v>
      </c>
      <c r="F65" s="25" cm="1">
        <f t="array" ref="F65">Fertiliser_Equations_LeachingAndRunoff.VEERG_5_5_1_1__3_MassOfNitrogenLeachedFromOrganicFertiliser(E65,$I$56, $I$57)</f>
        <v>720</v>
      </c>
    </row>
    <row r="66" spans="1: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1: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1: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1: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1: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1: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1: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1: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1: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1: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2" t="s">
        <v>699</v>
      </c>
      <c r="E77" s="101">
        <f>SUM(F65:F75)</f>
        <v>1704</v>
      </c>
      <c r="F77" s="140" t="str">
        <f>$E$53</f>
        <v>kg N</v>
      </c>
    </row>
    <row r="78" spans="1:11" ht="20.100000000000001" customHeight="1" x14ac:dyDescent="0.25"/>
    <row r="79" spans="1:11" ht="20.100000000000001" customHeight="1" x14ac:dyDescent="0.25">
      <c r="C79" s="198"/>
      <c r="D79" s="198"/>
      <c r="E79" s="198"/>
      <c r="F79" s="198"/>
      <c r="G79" s="198"/>
      <c r="H79" s="198"/>
      <c r="I79" s="198"/>
      <c r="J79" s="198"/>
      <c r="K79" s="198"/>
    </row>
    <row r="80" spans="1: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8" t="s">
        <v>262</v>
      </c>
      <c r="E83" s="118"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7" t="s">
        <v>263</v>
      </c>
      <c r="E86" s="1" t="str" cm="1">
        <f t="array" ref="E86">Fertiliser_Equations_LeachingAndRunoff.VEERG_5_5_1_1__1_FertiliserLeachingAndRunoffN2OEmissions_Variable()</f>
        <v>E_fertleach</v>
      </c>
    </row>
    <row r="87" spans="4:10" ht="20.100000000000001" customHeight="1" x14ac:dyDescent="0.25">
      <c r="D87" s="87" t="s">
        <v>122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20" t="str" cm="1">
        <f t="array" ref="D89:E92">_xlfn.CHOOSECOLS(Fertiliser_Equations_LeachingAndRunoff.VEERG_5_5_1_1__1_FertiliserLeachingAndRunoffN2OEmissions_Arguments(), 1, 2)</f>
        <v>M_leachinorganicj</v>
      </c>
      <c r="E89" s="125" t="str">
        <v>mass of nitrogen lost through leaching and runoff from inorganic fertiliser application in production system j</v>
      </c>
      <c r="F89" s="133"/>
      <c r="G89" s="126"/>
      <c r="H89" s="120" t="str" cm="1">
        <f t="array" ref="H89:I92">_xlfn.CHOOSECOLS(Fertiliser_Equations_LeachingAndRunoff.VEERG_5_5_1_1__1_FertiliserLeachingAndRunoffN2OEmissions_Arguments(), 3,4)</f>
        <v>kg N</v>
      </c>
      <c r="I89" s="128" t="str">
        <v>Calculated from 5.5.1.1 (2)</v>
      </c>
      <c r="J89" s="120">
        <f>$E$43</f>
        <v>43877.99856</v>
      </c>
    </row>
    <row r="90" spans="4:10" ht="20.100000000000001" customHeight="1" x14ac:dyDescent="0.25">
      <c r="D90" s="120" t="str">
        <v>M_leachorganicj</v>
      </c>
      <c r="E90" s="125" t="str">
        <v>mass of nitrogen lost through leaching and runoff from organic fertiliser application</v>
      </c>
      <c r="F90" s="133"/>
      <c r="G90" s="126"/>
      <c r="H90" s="120" t="str">
        <v>kg N</v>
      </c>
      <c r="I90" s="128" t="str">
        <v>Calculated from 5.5.1.1 (3)</v>
      </c>
      <c r="J90" s="120">
        <f>$E$77</f>
        <v>1704</v>
      </c>
    </row>
    <row r="91" spans="4:10" ht="20.100000000000001" customHeight="1" x14ac:dyDescent="0.25">
      <c r="D91" s="120" t="str">
        <v>EF_leach</v>
      </c>
      <c r="E91" s="125" t="str">
        <v>emission factor for nitrogen leaching and runoff</v>
      </c>
      <c r="F91" s="133"/>
      <c r="G91" s="126"/>
      <c r="H91" s="120" t="str">
        <v>kg N2O-N/kg N</v>
      </c>
      <c r="I91" s="128" t="str">
        <v>Constant</v>
      </c>
      <c r="J91" s="120">
        <f>Fertiliser_EFLeach_Data</f>
        <v>1.0999999999999999E-2</v>
      </c>
    </row>
    <row r="92" spans="4:10" ht="20.100000000000001" customHeight="1" x14ac:dyDescent="0.25">
      <c r="D92" s="120" t="str">
        <v>C_N2O</v>
      </c>
      <c r="E92" s="125" t="str">
        <v>factor to convert elemental mass of nitrous oxide to molecular mass</v>
      </c>
      <c r="F92" s="133"/>
      <c r="G92" s="126"/>
      <c r="H92" s="120" t="str">
        <v/>
      </c>
      <c r="I92" s="128" t="str">
        <v>Constant</v>
      </c>
      <c r="J92" s="13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5" t="s">
        <v>700</v>
      </c>
      <c r="E94" s="136" cm="1">
        <f t="array" ref="E94">Fertiliser_Equations_LeachingAndRunoff.VEERG_5_5_1_1__1_FertiliserLeachingAndRunoffN2OEmissions(J89,J90,J91,J92)</f>
        <v>0.78791740368000007</v>
      </c>
      <c r="F94" s="137" t="str">
        <f>$E$87</f>
        <v>t N2O</v>
      </c>
    </row>
    <row r="95" spans="4:10" ht="20.100000000000001" customHeight="1" x14ac:dyDescent="0.25"/>
    <row r="96" spans="4:10" ht="20.100000000000001" customHeight="1" x14ac:dyDescent="0.25">
      <c r="D96" s="132" t="str" cm="1">
        <f t="array" ref="D96:E97">Common_Equations.Common_ConvertN2OToCO2e_Arguments()</f>
        <v>EN2O</v>
      </c>
      <c r="E96" s="138" t="str">
        <v>Nitrous oxide emissions (t N2O)</v>
      </c>
      <c r="F96" s="139"/>
      <c r="G96" s="25">
        <f>VEERG_5_5_1_1__1_FertiliserLeachingAndRunoffN2OEmissions_result_Method1</f>
        <v>0.78791740368000007</v>
      </c>
    </row>
    <row r="97" spans="4:7" ht="20.100000000000001" customHeight="1" x14ac:dyDescent="0.25">
      <c r="D97" s="132" t="str">
        <v>GWPN2O</v>
      </c>
      <c r="E97" s="138" t="str">
        <v>Global warming potential for nitrous oxide (t CO2-e / t N2O)</v>
      </c>
      <c r="F97" s="139"/>
      <c r="G97" s="25">
        <f>Common_InputFunctions.Utility_LookupValueInTableNumber("N2O",Table_GWPData[Gas],Table_GWPData[CO2-e factor])</f>
        <v>265</v>
      </c>
    </row>
    <row r="98" spans="4:7" ht="20.100000000000001" customHeight="1" x14ac:dyDescent="0.25"/>
    <row r="99" spans="4:7" ht="20.100000000000001" customHeight="1" x14ac:dyDescent="0.25">
      <c r="D99" s="101" t="s">
        <v>412</v>
      </c>
      <c r="E99" s="101" cm="1">
        <f t="array" ref="E99">Common_Equations.Common_ConvertN2OToCO2e(G96,G97)</f>
        <v>208.79811197520002</v>
      </c>
      <c r="F99" s="140"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DF4A78-72C7-4491-B87E-64B1911D9194}">
  <dimension ref="A1:U165"/>
  <sheetViews>
    <sheetView showGridLines="0" topLeftCell="A5"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962</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8" t="s">
        <v>262</v>
      </c>
      <c r="E7" s="118"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4" t="s">
        <v>263</v>
      </c>
      <c r="E10" s="1" t="str" cm="1">
        <f t="array" ref="E10">AgResidue_Equations_PastureResidue.VEERG_6_2_1_1__2__MassOfNitrogenInPastureResidues_Variable()</f>
        <v>Mp</v>
      </c>
    </row>
    <row r="11" spans="1:21" ht="20.100000000000001" customHeight="1" x14ac:dyDescent="0.25">
      <c r="A11" s="5" t="str">
        <f>HYPERLINK("#'Input - Dairy'!A1", "Dairy")</f>
        <v>Dairy</v>
      </c>
      <c r="D11" s="34" t="s">
        <v>122</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9">_xlfn.CHOOSECOLS(AgResidue_Equations_PastureResidue.VEERG_6_2_1_1__2__MassOfNitrogenInPastureResidues_Arguments(), 1, 2)</f>
        <v>A_p</v>
      </c>
      <c r="E13" s="125" t="str">
        <v>area of pasture renewed or removed</v>
      </c>
      <c r="F13" s="133"/>
      <c r="G13" s="126"/>
      <c r="H13" s="120" t="str" cm="1">
        <f t="array" ref="H13:I19">_xlfn.CHOOSECOLS(AgResidue_Equations_PastureResidue.VEERG_6_2_1_1__2__MassOfNitrogenInPastureResidues_Arguments(), 3,4)</f>
        <v>ha</v>
      </c>
      <c r="I13" s="121" t="str">
        <v>Input</v>
      </c>
      <c r="J13" s="120">
        <f>X_Cell_Pasture_AreaRemovedOrRenewed</f>
        <v>500</v>
      </c>
      <c r="N13" s="120" t="str" cm="1">
        <f t="array" ref="N13:O19">_xlfn.CHOOSECOLS(AgResidue_Equations_PastureResidue.VEERG_6_2_1_1__2__MassOfNitrogenInPastureResidues_Arguments_Method2(), 1, 2)</f>
        <v>A_p</v>
      </c>
      <c r="O13" s="125" t="str">
        <v>area of pasture renewed or removed</v>
      </c>
      <c r="P13" s="133"/>
      <c r="Q13" s="126"/>
      <c r="R13" s="120" t="str" cm="1">
        <f t="array" ref="R13:S19">_xlfn.CHOOSECOLS(AgResidue_Equations_PastureResidue.VEERG_6_2_1_1__2__MassOfNitrogenInPastureResidues_Arguments_Method2(), 3,4)</f>
        <v>ha</v>
      </c>
      <c r="S13" s="121" t="str">
        <v>Input</v>
      </c>
      <c r="T13" s="120"/>
    </row>
    <row r="14" spans="1:21" ht="20.100000000000001" customHeight="1" x14ac:dyDescent="0.25">
      <c r="A14" s="5" t="str">
        <f>HYPERLINK("#'Input - Dairy cattle purchases'!A1", "Dairy cattle purchases")</f>
        <v>Dairy cattle purchases</v>
      </c>
      <c r="D14" s="120" t="str">
        <v>Y_p</v>
      </c>
      <c r="E14" s="125" t="str">
        <v>average yield of pasture crop</v>
      </c>
      <c r="F14" s="133"/>
      <c r="G14" s="126"/>
      <c r="H14" s="120" t="str">
        <v>t DM/ha</v>
      </c>
      <c r="I14" s="128" t="str">
        <v>Constant</v>
      </c>
      <c r="J14" s="120" cm="1">
        <f t="array" ref="J14">Common_InputFunctions.Utility_LookupValueInTableNumber($J$19,Table_SourceData_PastureAttributes[Pasture type],Table_SourceData_PastureAttributes[Average Yield (t DM ha) Yp])</f>
        <v>8.34</v>
      </c>
      <c r="N14" s="120" t="str">
        <v>Y_p</v>
      </c>
      <c r="O14" s="125" t="str">
        <v>average yield of pasture crop</v>
      </c>
      <c r="P14" s="133"/>
      <c r="Q14" s="126"/>
      <c r="R14" s="120" t="str">
        <v>t DM/ha</v>
      </c>
      <c r="S14" s="121" t="str">
        <v>Input</v>
      </c>
      <c r="T14" s="120">
        <f>X_Cell_Pasture_YieldPerHectare</f>
        <v>8.34</v>
      </c>
    </row>
    <row r="15" spans="1:21" ht="20.100000000000001" customHeight="1" x14ac:dyDescent="0.25">
      <c r="A15" s="5" t="str">
        <f>HYPERLINK("#'Input - Pasture'!A1", "Pasture")</f>
        <v>Pasture</v>
      </c>
      <c r="D15" s="120" t="str">
        <v>NC_AGp</v>
      </c>
      <c r="E15" s="125" t="str">
        <v>N content of above-ground pasture residue</v>
      </c>
      <c r="F15" s="133"/>
      <c r="G15" s="126"/>
      <c r="H15" s="120" t="str">
        <v>kg N/kg DM</v>
      </c>
      <c r="I15" s="128" t="str">
        <v>Constant</v>
      </c>
      <c r="J15" s="120" cm="1">
        <f t="array" ref="J15">Common_InputFunctions.Utility_LookupValueInTableNumber($J$19,Table_SourceData_PastureAttributes[Pasture type],Table_SourceData_PastureAttributes[N content Above-ground NCAGp])</f>
        <v>2.5000000000000001E-2</v>
      </c>
      <c r="N15" s="120" t="str">
        <v>NC_AGp</v>
      </c>
      <c r="O15" s="125" t="str">
        <v>N content of above-ground pasture residue</v>
      </c>
      <c r="P15" s="133"/>
      <c r="Q15" s="126"/>
      <c r="R15" s="120" t="str">
        <v>kg N/kg DM</v>
      </c>
      <c r="S15" s="128" t="str">
        <v>Constant</v>
      </c>
      <c r="T15" s="120"/>
    </row>
    <row r="16" spans="1:21" ht="20.100000000000001" customHeight="1" x14ac:dyDescent="0.25">
      <c r="A16" s="5" t="str">
        <f>HYPERLINK("#'Input - Fert Prod System'!A1", "Fert Prod System")</f>
        <v>Fert Prod System</v>
      </c>
      <c r="D16" s="120" t="str">
        <v>R_BGp</v>
      </c>
      <c r="E16" s="125" t="str">
        <v>below-ground residue to above-ground residue ratio for pasture crop</v>
      </c>
      <c r="F16" s="133"/>
      <c r="G16" s="126"/>
      <c r="H16" s="120" t="str">
        <v/>
      </c>
      <c r="I16" s="128" t="str">
        <v>Constant</v>
      </c>
      <c r="J16" s="120" cm="1">
        <f t="array" ref="J16">Common_InputFunctions.Utility_LookupValueInTableNumber($J$19,Table_SourceData_PastureAttributes[Pasture type],Table_SourceData_PastureAttributes[Below-ground: above-ground residue ratio RBGp])</f>
        <v>0.8</v>
      </c>
      <c r="N16" s="120" t="str">
        <v>R_BGp</v>
      </c>
      <c r="O16" s="125" t="str">
        <v>below-ground residue to above-ground residue ratio for pasture crop</v>
      </c>
      <c r="P16" s="133"/>
      <c r="Q16" s="126"/>
      <c r="R16" s="120" t="str">
        <v/>
      </c>
      <c r="S16" s="128" t="str">
        <v>Constant</v>
      </c>
      <c r="T16" s="120"/>
    </row>
    <row r="17" spans="1:21" ht="20.100000000000001" customHeight="1" x14ac:dyDescent="0.25">
      <c r="A17" s="5" t="str">
        <f>HYPERLINK("#'Input - Fertiliser'!A1", "Fertiliser")</f>
        <v>Fertiliser</v>
      </c>
      <c r="D17" s="120" t="str">
        <v>NC_BGp</v>
      </c>
      <c r="E17" s="125" t="str">
        <v>N content of below-ground pasture crop residue</v>
      </c>
      <c r="F17" s="133"/>
      <c r="G17" s="126"/>
      <c r="H17" s="120" t="str">
        <v>kg N/kg DM</v>
      </c>
      <c r="I17" s="128" t="str">
        <v>Constant</v>
      </c>
      <c r="J17" s="120" cm="1">
        <f t="array" ref="J17">Common_InputFunctions.Utility_LookupValueInTableNumber($J$19,Table_SourceData_PastureAttributes[Pasture type],Table_SourceData_PastureAttributes[N content Below-ground NCBGp])</f>
        <v>1.6E-2</v>
      </c>
      <c r="N17" s="120" t="str">
        <v>NC_BGp</v>
      </c>
      <c r="O17" s="125" t="str">
        <v>N content of below-ground pasture crop residue</v>
      </c>
      <c r="P17" s="133"/>
      <c r="Q17" s="126"/>
      <c r="R17" s="120" t="str">
        <v>kg N/kg DM</v>
      </c>
      <c r="S17" s="128" t="str">
        <v>Constant</v>
      </c>
      <c r="T17" s="120"/>
    </row>
    <row r="18" spans="1:21" ht="20.100000000000001" customHeight="1" x14ac:dyDescent="0.25">
      <c r="A18" s="5" t="str">
        <f>HYPERLINK("#'Input - Fuel'!A1", "Fuel")</f>
        <v>Fuel</v>
      </c>
      <c r="D18" s="120" t="str">
        <v>FFOD_p</v>
      </c>
      <c r="E18" s="125" t="str">
        <v>fraction of pasture yield that is removed</v>
      </c>
      <c r="F18" s="133"/>
      <c r="G18" s="126"/>
      <c r="H18" s="120" t="str">
        <v>fraction</v>
      </c>
      <c r="I18" s="128" t="str">
        <v>Constant</v>
      </c>
      <c r="J18" s="120" cm="1">
        <f t="array" ref="J18">Common_InputFunctions.Utility_LookupValueInTableNumber($J$19,Table_SourceData_PastureAttributes[Pasture type],Table_SourceData_PastureAttributes[Fraction of pasture yield that is removed FFODp])</f>
        <v>0.8</v>
      </c>
      <c r="N18" s="120" t="str">
        <v>FFOD_p</v>
      </c>
      <c r="O18" s="125" t="str">
        <v>fraction of pasture yield that is removed</v>
      </c>
      <c r="P18" s="133"/>
      <c r="Q18" s="126"/>
      <c r="R18" s="120" t="str">
        <v>fraction</v>
      </c>
      <c r="S18" s="128" t="str">
        <v>Constant</v>
      </c>
      <c r="T18" s="120"/>
    </row>
    <row r="19" spans="1:21" ht="20.100000000000001" customHeight="1" x14ac:dyDescent="0.25">
      <c r="A19" s="5" t="str">
        <f>HYPERLINK("#'Input - Electricity'!A1", "Electricity")</f>
        <v>Electricity</v>
      </c>
      <c r="D19" s="120" t="str">
        <v>p</v>
      </c>
      <c r="E19" s="125" t="str">
        <v>Pasture type</v>
      </c>
      <c r="F19" s="133"/>
      <c r="G19" s="126"/>
      <c r="H19" s="120" t="str">
        <v/>
      </c>
      <c r="I19" s="121" t="str">
        <v>Input</v>
      </c>
      <c r="J19" s="120" t="str">
        <f>X_Cell_Pasture_PastureType</f>
        <v>Grass clover mixture</v>
      </c>
      <c r="N19" s="120" t="str">
        <v>p</v>
      </c>
      <c r="O19" s="125" t="str">
        <v>Pasture type</v>
      </c>
      <c r="P19" s="133"/>
      <c r="Q19" s="126"/>
      <c r="R19" s="120" t="str">
        <v/>
      </c>
      <c r="S19" s="121" t="str">
        <v>Input</v>
      </c>
      <c r="T19" s="120"/>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42" t="s">
        <v>963</v>
      </c>
      <c r="E21" s="101" cm="1">
        <f t="array" ref="E21">AgResidue_Equations_PastureResidue.VEERG_6_2_1_1__2__MassOfNitrogenInPastureResidues(J13,J14,J18,J15,J16,J17)</f>
        <v>7.4226E-2</v>
      </c>
      <c r="F21" s="140" t="str" cm="1">
        <f t="array" ref="F21">AgResidue_Equations_PastureResidue.VEERG_6_2_1_1__2__MassOfNitrogenInPastureResidues_Unit()</f>
        <v>kg N</v>
      </c>
      <c r="N21" s="142" t="s">
        <v>963</v>
      </c>
      <c r="O21" s="101" cm="1">
        <f t="array" ref="O21">AgResidue_Equations_PastureResidue.VEERG_6_2_1_1__2__MassOfNitrogenInPastureResidues(J13,T14,J18,J15,J16,J17)</f>
        <v>7.4226E-2</v>
      </c>
      <c r="P21" s="140" t="str" cm="1">
        <f t="array" ref="P21">AgResidue_Equations_PastureResidue.VEERG_6_2_1_1__2__MassOfNitrogenInPastureResidues_Unit()</f>
        <v>kg N</v>
      </c>
    </row>
    <row r="22" spans="1:21" ht="20.100000000000001" customHeight="1" x14ac:dyDescent="0.25">
      <c r="A22" s="5" t="str">
        <f>HYPERLINK("#'Input - Livestock farm Inputs'!A1", "Livestock farm Inputs")</f>
        <v>Livestock farm Inputs</v>
      </c>
    </row>
    <row r="23" spans="1:21" ht="20.100000000000001" customHeight="1" x14ac:dyDescent="0.25">
      <c r="A23" s="5" t="str">
        <f>HYPERLINK("#'Input - Freight'!A1", "Freight")</f>
        <v>Freight</v>
      </c>
    </row>
    <row r="24" spans="1:21" ht="20.100000000000001" customHeight="1" x14ac:dyDescent="0.25">
      <c r="A24" s="5" t="str">
        <f>HYPERLINK("#'Input - Manure sent off-site'!A1", "Manure sent off-site")</f>
        <v>Manure sent off-site</v>
      </c>
      <c r="C24" s="101"/>
      <c r="D24" s="101"/>
      <c r="E24" s="101"/>
      <c r="F24" s="101"/>
      <c r="G24" s="101"/>
      <c r="H24" s="101"/>
      <c r="I24" s="101"/>
      <c r="J24" s="101"/>
      <c r="K24" s="101"/>
      <c r="M24" s="101"/>
      <c r="N24" s="101"/>
      <c r="O24" s="101"/>
      <c r="P24" s="101"/>
      <c r="Q24" s="101"/>
      <c r="R24" s="101"/>
      <c r="S24" s="101"/>
      <c r="T24" s="101"/>
      <c r="U24" s="101"/>
    </row>
    <row r="25" spans="1:21" ht="20.100000000000001" customHeight="1" x14ac:dyDescent="0.25">
      <c r="A25" s="5" t="str">
        <f>HYPERLINK("#'Input - Solid waste'!A1", "Solid waste")</f>
        <v>Solid waste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HYPERLINK("#'Input - Data quality'!A1", "Data quality")</f>
        <v>Data quality</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D27" s="118" t="s">
        <v>262</v>
      </c>
      <c r="E27" s="118" t="str">
        <f ca="1">Common_InputFunctions.Utility_DisplayFunctionName(VEERG_6_2_1_1__1__NitrousOxideEmissionsFromPastureResidues_Result_Method1)</f>
        <v>=AgResidue_Equations_PastureResidue.VEERG_6_2_1_1__1__NitrousOxideEmissionsFromPastureResidues</v>
      </c>
      <c r="N27" s="118" t="s">
        <v>262</v>
      </c>
      <c r="O27" s="118"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c r="A29" s="6" t="s">
        <v>2</v>
      </c>
    </row>
    <row r="30" spans="1:21" ht="20.100000000000001" customHeight="1" x14ac:dyDescent="0.25">
      <c r="A30" s="5" t="str">
        <f>HYPERLINK("#'5.1.1.1-2 Inorganic fert N2O'!A1", "5.1.1.1-2 Inorganic fert N2O")</f>
        <v>5.1.1.1-2 Inorganic fert N2O</v>
      </c>
      <c r="D30" s="34" t="s">
        <v>263</v>
      </c>
      <c r="E30" s="1" t="str" cm="1">
        <f t="array" ref="E30">AgResidue_Equations_PastureResidue.VEERG_6_2_1_1__1__NitrousOxideEmissionsFromPastureResidues_Variable()</f>
        <v>EN2O</v>
      </c>
      <c r="N30" s="34" t="s">
        <v>263</v>
      </c>
      <c r="O30" s="1" t="str" cm="1">
        <f t="array" ref="O30">AgResidue_Equations_PastureResidue.VEERG_6_2_1_1__1__NitrousOxideEmissionsFromPastureResidues_Variable()</f>
        <v>EN2O</v>
      </c>
    </row>
    <row r="31" spans="1:21" ht="20.100000000000001" customHeight="1" x14ac:dyDescent="0.25">
      <c r="A31" s="5" t="str">
        <f>HYPERLINK("#'5.1.1.3-4 Inorganic fert CO2'!A1", "5.1.1.3-4 Inorganic fert CO2")</f>
        <v>5.1.1.3-4 Inorganic fert CO2</v>
      </c>
      <c r="D31" s="34" t="s">
        <v>122</v>
      </c>
      <c r="E31" s="15" t="str" cm="1">
        <f t="array" ref="E31">AgResidue_Equations_PastureResidue.VEERG_6_2_1_1__1__NitrousOxideEmissionsFromPastureResidues_Unit()</f>
        <v>t N2O</v>
      </c>
      <c r="N31" s="34" t="s">
        <v>122</v>
      </c>
      <c r="O31" s="15" t="str" cm="1">
        <f t="array" ref="O31">AgResidue_Equations_PastureResidue.VEERG_6_2_1_1__1__NitrousOxideEmissionsFromPastureResidues_Unit()</f>
        <v>t N2O</v>
      </c>
    </row>
    <row r="32" spans="1:21" ht="20.100000000000001" customHeight="1" x14ac:dyDescent="0.25">
      <c r="A32" s="5" t="str">
        <f>HYPERLINK("#'5.2.1.1-2 Organic Fert N2O'!A1", "5.2.1.1-2 Organic fert N2O")</f>
        <v>5.2.1.1-2 Organic fert N2O</v>
      </c>
    </row>
    <row r="33" spans="1:20" ht="20.100000000000001" customHeight="1" x14ac:dyDescent="0.25">
      <c r="A33" s="5" t="str">
        <f>HYPERLINK("#'5.3.1.1-2 Lime CO2'!A1", "5.3.1.1-2 Lime CO2")</f>
        <v>5.3.1.1-2 Lime CO2</v>
      </c>
      <c r="D33" s="120" t="str" cm="1">
        <f t="array" ref="D33:E37">_xlfn.CHOOSECOLS(AgResidue_Equations_PastureResidue.VEERG_6_2_1_1__1__NitrousOxideEmissionsFromPastureResidues_Arguments(), 1, 2)</f>
        <v>M_p</v>
      </c>
      <c r="E33" s="125" t="str">
        <v>mass of nitrogen in pasture p residues returned to the soil</v>
      </c>
      <c r="F33" s="133"/>
      <c r="G33" s="126"/>
      <c r="H33" s="120" t="str" cm="1">
        <f t="array" ref="H33:I37">_xlfn.CHOOSECOLS(AgResidue_Equations_PastureResidue.VEERG_6_2_1_1__1__NitrousOxideEmissionsFromPastureResidues_Arguments(), 3,4)</f>
        <v>kg N</v>
      </c>
      <c r="I33" s="128" t="str">
        <v>Calculated from 6.2.1.1 (2)</v>
      </c>
      <c r="J33" s="120">
        <f>$E$21</f>
        <v>7.4226E-2</v>
      </c>
      <c r="N33" s="120" t="str" cm="1">
        <f t="array" ref="N33:O37">_xlfn.CHOOSECOLS(AgResidue_Equations_PastureResidue.VEERG_6_2_1_1__1__NitrousOxideEmissionsFromPastureResidues_Arguments(), 1, 2)</f>
        <v>M_p</v>
      </c>
      <c r="O33" s="125" t="str">
        <v>mass of nitrogen in pasture p residues returned to the soil</v>
      </c>
      <c r="P33" s="133"/>
      <c r="Q33" s="126"/>
      <c r="R33" s="120" t="str" cm="1">
        <f t="array" ref="R33:S37">_xlfn.CHOOSECOLS(AgResidue_Equations_PastureResidue.VEERG_6_2_1_1__1__NitrousOxideEmissionsFromPastureResidues_Arguments(), 3,4)</f>
        <v>kg N</v>
      </c>
      <c r="S33" s="128" t="str">
        <v>Calculated from 6.2.1.1 (2)</v>
      </c>
      <c r="T33" s="120">
        <f>$O$21</f>
        <v>7.4226E-2</v>
      </c>
    </row>
    <row r="34" spans="1:20" ht="20.100000000000001" customHeight="1" x14ac:dyDescent="0.25">
      <c r="A34" s="5" t="str">
        <f>HYPERLINK("#'5.4.1.1-4 Atmos deposition'!A1", "5.4.1.1-4 Atmos. deposition")</f>
        <v>5.4.1.1-4 Atmos. deposition</v>
      </c>
      <c r="D34" s="120" t="str">
        <v>EF_Ni</v>
      </c>
      <c r="E34" s="125" t="str">
        <v>emission factor for crop residues returned to the soil in climate zone i</v>
      </c>
      <c r="F34" s="133"/>
      <c r="G34" s="126"/>
      <c r="H34" s="120" t="str">
        <v>kg N2O-N/kg N</v>
      </c>
      <c r="I34" s="128" t="str">
        <v>Constant</v>
      </c>
      <c r="J34" s="120" cm="1">
        <f t="array" ref="J34">Common_InputFunctions.Utility_LookupValueInTableNumber(J37,Table_SourceData_N2OEFOrganicFert[Climate zone type i],Table_SourceData_N2OEFOrganicFert[EF i N2O])</f>
        <v>5.0000000000000001E-3</v>
      </c>
      <c r="N34" s="120" t="str">
        <v>EF_Ni</v>
      </c>
      <c r="O34" s="125" t="str">
        <v>emission factor for crop residues returned to the soil in climate zone i</v>
      </c>
      <c r="P34" s="133"/>
      <c r="Q34" s="126"/>
      <c r="R34" s="120" t="str">
        <v>kg N2O-N/kg N</v>
      </c>
      <c r="S34" s="128" t="str">
        <v>Constant</v>
      </c>
      <c r="T34" s="120"/>
    </row>
    <row r="35" spans="1:20" ht="20.100000000000001" customHeight="1" x14ac:dyDescent="0.25">
      <c r="A35" s="5" t="str">
        <f>HYPERLINK("#'5.5.1.1-2 Leaching and runoff'!A1", "5.5.1.1-2 Leaching &amp; runoff")</f>
        <v>5.5.1.1-2 Leaching &amp; runoff</v>
      </c>
      <c r="D35" s="120" t="str">
        <v>C_N2O</v>
      </c>
      <c r="E35" s="125" t="str">
        <v>factor to convert elemental mass of nitrous oxide to molecular mass</v>
      </c>
      <c r="F35" s="133"/>
      <c r="G35" s="126"/>
      <c r="H35" s="120" t="str">
        <v>dimensionless</v>
      </c>
      <c r="I35" s="128" t="str">
        <v>Constant</v>
      </c>
      <c r="J35" s="120">
        <f>Common_InputFunctions.Utility_LookupValueInTableNumber("N2O",Table_GasToMolecularConversionFactor[Gas],Table_GasToMolecularConversionFactor[Conversion factor combined])</f>
        <v>1.5714285714285714</v>
      </c>
      <c r="N35" s="120" t="str">
        <v>C_N2O</v>
      </c>
      <c r="O35" s="125" t="str">
        <v>factor to convert elemental mass of nitrous oxide to molecular mass</v>
      </c>
      <c r="P35" s="133"/>
      <c r="Q35" s="126"/>
      <c r="R35" s="120" t="str">
        <v>dimensionless</v>
      </c>
      <c r="S35" s="128" t="str">
        <v>Constant</v>
      </c>
      <c r="T35" s="120"/>
    </row>
    <row r="36" spans="1:20" ht="20.100000000000001" customHeight="1" x14ac:dyDescent="0.25">
      <c r="A36" s="119" t="str">
        <f>HYPERLINK("#'6.2.1.1-2 Pasture residue N2O'!A1", "6.2.1.1-2 Pasture residue N2O")</f>
        <v>6.2.1.1-2 Pasture residue N2O</v>
      </c>
      <c r="D36" s="120" t="str">
        <v>p</v>
      </c>
      <c r="E36" s="125" t="str">
        <v>Pasture type</v>
      </c>
      <c r="F36" s="133"/>
      <c r="G36" s="126"/>
      <c r="H36" s="120" t="str">
        <v/>
      </c>
      <c r="I36" s="121" t="str">
        <v>Input</v>
      </c>
      <c r="J36" s="120" t="str">
        <f>X_Cell_Pasture_PastureType</f>
        <v>Grass clover mixture</v>
      </c>
      <c r="N36" s="120" t="str">
        <v>p</v>
      </c>
      <c r="O36" s="125" t="str">
        <v>Pasture type</v>
      </c>
      <c r="P36" s="133"/>
      <c r="Q36" s="126"/>
      <c r="R36" s="120" t="str">
        <v/>
      </c>
      <c r="S36" s="121" t="str">
        <v>Input</v>
      </c>
      <c r="T36" s="120"/>
    </row>
    <row r="37" spans="1:20" ht="20.100000000000001" customHeight="1" x14ac:dyDescent="0.25">
      <c r="A37" s="5" t="str">
        <f>HYPERLINK("#'6.3.1.1-2 Leach runoff pasture'!A1", "6.3.1.1-2 Leach &amp; runoff (pasture)")</f>
        <v>6.3.1.1-2 Leach &amp; runoff (pasture)</v>
      </c>
      <c r="D37" s="120" t="str">
        <v>i</v>
      </c>
      <c r="E37" s="125" t="str">
        <v>Wet or dry climate zone</v>
      </c>
      <c r="F37" s="133"/>
      <c r="G37" s="126"/>
      <c r="H37" s="120" t="str">
        <v/>
      </c>
      <c r="I37" s="121" t="str">
        <v>Input</v>
      </c>
      <c r="J37" s="120" t="str">
        <f>X_Cell_Site_WetOrDryClimateZone</f>
        <v>Dry climate zone</v>
      </c>
      <c r="N37" s="120" t="str">
        <v>i</v>
      </c>
      <c r="O37" s="125" t="str">
        <v>Wet or dry climate zone</v>
      </c>
      <c r="P37" s="133"/>
      <c r="Q37" s="126"/>
      <c r="R37" s="120" t="str">
        <v/>
      </c>
      <c r="S37" s="121" t="str">
        <v>Input</v>
      </c>
      <c r="T37" s="120"/>
    </row>
    <row r="38" spans="1:20" ht="20.100000000000001" customHeight="1" x14ac:dyDescent="0.25">
      <c r="A38" s="5" t="str">
        <f>HYPERLINK("#'8.1.1.1-2 Transport fuel'!A1", "8.1.1.1-2 Transport fuel")</f>
        <v>8.1.1.1-2 Transport fuel</v>
      </c>
    </row>
    <row r="39" spans="1:20" ht="20.100000000000001" customHeight="1" x14ac:dyDescent="0.25">
      <c r="A39" s="5" t="str">
        <f>HYPERLINK("#'8.2.1.1-2 Stationary fuel'!A1", "8.2.1.1-2 Stationary fuel")</f>
        <v>8.2.1.1-2 Stationary fuel</v>
      </c>
    </row>
    <row r="40" spans="1:20" ht="20.100000000000001" customHeight="1" x14ac:dyDescent="0.25">
      <c r="A40" s="5" t="str">
        <f>HYPERLINK("#'14.1.1-2 Purchased electricity'!A1", "14.1.1-2 Purchased electricity")</f>
        <v>14.1.1-2 Purchased electricity</v>
      </c>
      <c r="D40" s="135" t="s">
        <v>644</v>
      </c>
      <c r="E40" s="136" cm="1">
        <f t="array" ref="E40">AgResidue_Equations_PastureResidue.VEERG_6_2_1_1__1__NitrousOxideEmissionsFromPastureResidues(J33,J34,J35)</f>
        <v>5.8320428571428569E-7</v>
      </c>
      <c r="F40" s="137" t="str" cm="1">
        <f t="array" ref="F40">AgResidue_Equations_PastureResidue.VEERG_6_2_1_1__1__NitrousOxideEmissionsFromPastureResidues_Unit()</f>
        <v>t N2O</v>
      </c>
      <c r="N40" s="135" t="s">
        <v>644</v>
      </c>
      <c r="O40" s="136" cm="1">
        <f t="array" ref="O40">AgResidue_Equations_PastureResidue.VEERG_6_2_1_1__1__NitrousOxideEmissionsFromPastureResidues(T33,J34,J35)</f>
        <v>5.8320428571428569E-7</v>
      </c>
      <c r="P40" s="137" t="str" cm="1">
        <f t="array" ref="P40">AgResidue_Equations_PastureResidue.VEERG_6_2_1_1__1__NitrousOxideEmissionsFromPastureResidues_Unit()</f>
        <v>t N2O</v>
      </c>
    </row>
    <row r="41" spans="1:20" ht="20.100000000000001" customHeight="1" x14ac:dyDescent="0.25">
      <c r="A41" s="5" t="str">
        <f>HYPERLINK("#'15 Scope 3'!A1", "15 Scope 3")</f>
        <v>15 Scope 3</v>
      </c>
    </row>
    <row r="42" spans="1:20" ht="20.100000000000001" customHeight="1" x14ac:dyDescent="0.25">
      <c r="A42" s="5" t="str">
        <f>HYPERLINK("#'Calcs - Manure sent off-site'!A1", "Calcs - Manure sent off-site")</f>
        <v>Calcs - Manure sent off-site</v>
      </c>
      <c r="D42" s="132" t="str" cm="1">
        <f t="array" ref="D42:E43">Common_Equations.Common_ConvertN2OToCO2e_Arguments()</f>
        <v>EN2O</v>
      </c>
      <c r="E42" s="138" t="str">
        <v>Nitrous oxide emissions (t N2O)</v>
      </c>
      <c r="F42" s="143"/>
      <c r="G42" s="132">
        <f>VEERG_6_2_1_1__1__NitrousOxideEmissionsFromPastureResidues_Result_Method1</f>
        <v>5.8320428571428569E-7</v>
      </c>
      <c r="N42" s="132" t="str" cm="1">
        <f t="array" ref="N42:O43">Common_Equations.Common_ConvertN2OToCO2e_Arguments()</f>
        <v>EN2O</v>
      </c>
      <c r="O42" s="138" t="str">
        <v>Nitrous oxide emissions (t N2O)</v>
      </c>
      <c r="P42" s="143"/>
      <c r="Q42" s="132">
        <f>VEERG_6_2_1_1__1__NitrousOxideEmissionsFromPastureResidues_Result_Method2</f>
        <v>5.8320428571428569E-7</v>
      </c>
    </row>
    <row r="43" spans="1:20" ht="20.100000000000001" customHeight="1" x14ac:dyDescent="0.25">
      <c r="A43" s="5" t="str">
        <f>HYPERLINK("#'4.3.1.1-2 Methane'!A1", "4.3.1.1-2 Methane")</f>
        <v>4.3.1.1-2 Methane</v>
      </c>
      <c r="D43" s="132" t="str">
        <v>GWPN2O</v>
      </c>
      <c r="E43" s="138" t="str">
        <v>Global warming potential for nitrous oxide (t CO2-e / t N2O)</v>
      </c>
      <c r="F43" s="143"/>
      <c r="G43" s="25">
        <f>Common_InputFunctions.Utility_LookupValueInTableNumber("N2O",Table_GWPData[Gas],Table_GWPData[CO2-e factor])</f>
        <v>265</v>
      </c>
      <c r="N43" s="132" t="str">
        <v>GWPN2O</v>
      </c>
      <c r="O43" s="138" t="str">
        <v>Global warming potential for nitrous oxide (t CO2-e / t N2O)</v>
      </c>
      <c r="P43" s="143"/>
      <c r="Q43" s="25">
        <f>Common_InputFunctions.Utility_LookupValueInTableNumber("N2O",Table_GWPData[Gas],Table_GWPData[CO2-e factor])</f>
        <v>265</v>
      </c>
    </row>
    <row r="44" spans="1:20" ht="20.100000000000001" customHeight="1" x14ac:dyDescent="0.25">
      <c r="A44" s="5" t="str">
        <f>HYPERLINK("#'4.3.1.3-4 Direct N20'!A1", "4.3.1.3-4 Direct N20")</f>
        <v>4.3.1.3-4 Direct N20</v>
      </c>
    </row>
    <row r="45" spans="1:20" ht="20.100000000000001" customHeight="1" x14ac:dyDescent="0.25">
      <c r="A45" s="5" t="str">
        <f>HYPERLINK("#'4.3.1.5 Atmos deposition'!A1", "4.3.1.5 Atmos deposition")</f>
        <v>4.3.1.5 Atmos deposition</v>
      </c>
      <c r="D45" s="1" t="s">
        <v>964</v>
      </c>
      <c r="E45" s="1" cm="1">
        <f t="array" ref="E45">Common_Equations.Common_ConvertN2OToCO2e(G42,G43)</f>
        <v>1.545491357142857E-4</v>
      </c>
      <c r="F45" s="15" t="str" cm="1">
        <f t="array" ref="F45">Common_Equations.Common_ConvertN2OToCO2e_Unit()</f>
        <v>t CO2e</v>
      </c>
      <c r="N45" s="1" t="s">
        <v>964</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HYPERLINK("#'4.3.1.6-7 Leaching and runoff'!A1", "4.3.1.6-7 Leaching and runoff")</f>
        <v>4.3.1.6-7 Leaching and runoff</v>
      </c>
    </row>
    <row r="47" spans="1:20" ht="20.100000000000001" customHeight="1" x14ac:dyDescent="0.25">
      <c r="A47" s="5" t="str">
        <f>HYPERLINK("#'4.3.1.8 Manure applied to soils'!A1", "4.3.1.8 Manure applied to soils")</f>
        <v>4.3.1.8 Manure applied to soils</v>
      </c>
    </row>
    <row r="48" spans="1:20"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4D824-159B-4CC0-8EE8-CC26E2817FE2}">
  <dimension ref="A1:T1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965</v>
      </c>
    </row>
    <row r="2" spans="1:20" s="3" customFormat="1" ht="20.100000000000001" customHeight="1" x14ac:dyDescent="0.25">
      <c r="A2"/>
    </row>
    <row r="3" spans="1:20"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8" t="s">
        <v>262</v>
      </c>
      <c r="E7" s="118" t="str" cm="1">
        <f t="array" aca="1" ref="E7" ca="1">Common_InputFunctions.Utility_DisplayFunctionName(I25)</f>
        <v>=AgResidue_Equations_Leaching.VEERG_6_3_1_1__2__MassOfNitrogenLostThroughLeachingAndRunoff</v>
      </c>
      <c r="F7" s="118"/>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263</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20" t="str" cm="1">
        <f t="array" ref="D13:E19">_xlfn.CHOOSECOLS(AgResidue_Equations_Leaching.VEERG_6_3_1_1__2__MassOfNitrogenLostThroughLeachingAndRunoff_Arguments(), 1,2)</f>
        <v>M_cp</v>
      </c>
      <c r="E13" s="125" t="str">
        <v>mass of nitrogen in crop residues c or pasture residues p applied to soils</v>
      </c>
      <c r="F13" s="133"/>
      <c r="G13" s="126"/>
      <c r="H13" s="120" t="str" cm="1">
        <f t="array" ref="H13:I19">_xlfn.CHOOSECOLS(AgResidue_Equations_Leaching.VEERG_6_3_1_1__2__MassOfNitrogenLostThroughLeachingAndRunoff_Arguments(), 3,4)</f>
        <v>kg N</v>
      </c>
      <c r="I13" s="128" t="str">
        <v>Calc from 6.1.1.1 (2) and 6.2.1.1 (2)</v>
      </c>
      <c r="J13" s="127"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20" t="str">
        <v>FracWET_j</v>
      </c>
      <c r="E14" s="125" t="str">
        <v>fraction of N that is available for leaching and runoff from the leaching zone z and irrigation type ir</v>
      </c>
      <c r="F14" s="133"/>
      <c r="G14" s="126"/>
      <c r="H14" s="120" t="str">
        <v>fraction</v>
      </c>
      <c r="I14" s="128" t="str">
        <v>Constant</v>
      </c>
      <c r="J14" s="127"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20" t="str">
        <v>FracLEACH</v>
      </c>
      <c r="E15" s="125" t="str">
        <v>fraction of N that is lost through leaching and runoff</v>
      </c>
      <c r="F15" s="133"/>
      <c r="G15" s="126"/>
      <c r="H15" s="120" t="str">
        <v>fraction</v>
      </c>
      <c r="I15" s="128" t="str">
        <v>Constant</v>
      </c>
      <c r="J15" s="120">
        <f>'Constants - Common'!$E$164</f>
        <v>0.24</v>
      </c>
      <c r="K15" s="8"/>
    </row>
    <row r="16" spans="1:20" ht="20.100000000000001" customHeight="1" x14ac:dyDescent="0.25">
      <c r="A16" s="5" t="str">
        <f>HYPERLINK("#'Input - Fert Prod System'!A1", "Fert Prod System")</f>
        <v>Fert Prod System</v>
      </c>
      <c r="C16" s="8"/>
      <c r="D16" s="120" t="str">
        <v>z</v>
      </c>
      <c r="E16" s="125" t="str">
        <v>Location in leaching zone</v>
      </c>
      <c r="F16" s="133"/>
      <c r="G16" s="126"/>
      <c r="H16" s="120" t="str">
        <v/>
      </c>
      <c r="I16" s="121" t="str">
        <v>Input</v>
      </c>
      <c r="J16" s="127"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20" t="str">
        <v>c</v>
      </c>
      <c r="E17" s="125" t="str">
        <v>Crop residue type</v>
      </c>
      <c r="F17" s="133"/>
      <c r="G17" s="126"/>
      <c r="H17" s="120" t="str">
        <v/>
      </c>
      <c r="I17" s="121" t="str">
        <v>Input</v>
      </c>
      <c r="J17" s="120" t="s">
        <v>966</v>
      </c>
      <c r="K17" s="8"/>
    </row>
    <row r="18" spans="1:20" ht="20.100000000000001" customHeight="1" x14ac:dyDescent="0.25">
      <c r="A18" s="5" t="str">
        <f>HYPERLINK("#'Input - Fuel'!A1", "Fuel")</f>
        <v>Fuel</v>
      </c>
      <c r="C18" s="8"/>
      <c r="D18" s="120" t="str">
        <v>p</v>
      </c>
      <c r="E18" s="125" t="str">
        <v>Pasture residue type</v>
      </c>
      <c r="F18" s="133"/>
      <c r="G18" s="126"/>
      <c r="H18" s="120" t="str">
        <v/>
      </c>
      <c r="I18" s="121" t="str">
        <v>Input</v>
      </c>
      <c r="J18" s="120" t="str">
        <f>X_Cell_Pasture_PastureType</f>
        <v>Grass clover mixture</v>
      </c>
      <c r="K18" s="8"/>
    </row>
    <row r="19" spans="1:20" ht="20.100000000000001" customHeight="1" x14ac:dyDescent="0.25">
      <c r="A19" s="5" t="str">
        <f>HYPERLINK("#'Input - Electricity'!A1", "Electricity")</f>
        <v>Electricity</v>
      </c>
      <c r="C19" s="8"/>
      <c r="D19" s="120" t="str">
        <v>ir</v>
      </c>
      <c r="E19" s="125" t="str">
        <v>Irrigation type</v>
      </c>
      <c r="F19" s="133"/>
      <c r="G19" s="126"/>
      <c r="H19" s="120" t="str">
        <v/>
      </c>
      <c r="I19" s="121" t="str">
        <v>Input</v>
      </c>
      <c r="J19" s="127" t="str" cm="1">
        <f t="array" aca="1" ref="J19" ca="1">HYPERLINK(Common_InputFunctions.Utility_SourceHyperlink($D$21), $D$21)</f>
        <v>M1_Table_M_leach_cp</v>
      </c>
      <c r="K19" s="8"/>
    </row>
    <row r="20" spans="1:20" ht="20.100000000000001" customHeight="1" x14ac:dyDescent="0.25">
      <c r="A20" s="5" t="str">
        <f>HYPERLINK("#'Input - Common farm inputs'!A1", "Common farm inputs")</f>
        <v>Common farm inputs</v>
      </c>
      <c r="C20" s="8"/>
      <c r="D20" s="8"/>
      <c r="E20" s="8"/>
      <c r="F20" s="8"/>
      <c r="G20" s="8"/>
      <c r="H20" s="8"/>
      <c r="I20" s="8"/>
      <c r="J20" s="8"/>
      <c r="K20" s="8"/>
    </row>
    <row r="21" spans="1:20" ht="20.100000000000001" customHeight="1" x14ac:dyDescent="0.25">
      <c r="A21" s="5" t="str">
        <f>HYPERLINK("#'Input - Crop pasture farm input'!A1", "Crop pasture farm input")</f>
        <v>Crop pasture farm input</v>
      </c>
      <c r="C21" s="8"/>
      <c r="D21" s="122" t="s">
        <v>967</v>
      </c>
      <c r="E21" s="8"/>
      <c r="F21" s="8"/>
      <c r="G21" s="8"/>
      <c r="H21" s="8"/>
      <c r="I21" s="8"/>
      <c r="J21" s="8"/>
      <c r="K21" s="8"/>
      <c r="N21" s="122" t="s">
        <v>968</v>
      </c>
      <c r="O21" s="8"/>
      <c r="P21" s="8"/>
      <c r="Q21" s="8"/>
      <c r="R21" s="8"/>
      <c r="S21" s="8"/>
    </row>
    <row r="22" spans="1:20" ht="20.100000000000001" customHeight="1" x14ac:dyDescent="0.25">
      <c r="A22" s="5" t="str">
        <f>HYPERLINK("#'Input - Livestock farm Inputs'!A1", "Livestock farm Inputs")</f>
        <v>Livestock farm Inputs</v>
      </c>
      <c r="C22" s="8"/>
      <c r="D22" s="123" t="s">
        <v>969</v>
      </c>
      <c r="E22" s="8"/>
      <c r="F22" s="8"/>
      <c r="G22" s="8"/>
      <c r="H22" s="8"/>
      <c r="I22" s="8"/>
      <c r="J22" s="8"/>
      <c r="K22" s="8"/>
      <c r="N22" s="123" t="s">
        <v>970</v>
      </c>
      <c r="O22" s="8"/>
      <c r="P22" s="8"/>
      <c r="Q22" s="8"/>
      <c r="R22" s="8"/>
      <c r="S22" s="8"/>
    </row>
    <row r="23" spans="1:20" ht="20.100000000000001" customHeight="1" x14ac:dyDescent="0.25">
      <c r="A23" s="5" t="str">
        <f>HYPERLINK("#'Input - Freight'!A1", "Freight")</f>
        <v>Freight</v>
      </c>
      <c r="C23" s="8"/>
      <c r="D23" s="94" t="s">
        <v>971</v>
      </c>
      <c r="E23" s="124" t="s">
        <v>972</v>
      </c>
      <c r="F23" s="94" t="s">
        <v>973</v>
      </c>
      <c r="G23" s="94" t="s">
        <v>104</v>
      </c>
      <c r="H23" s="124" t="s">
        <v>974</v>
      </c>
      <c r="I23" s="124" t="s">
        <v>975</v>
      </c>
      <c r="J23" s="8"/>
      <c r="K23" s="8"/>
      <c r="N23" s="94" t="s">
        <v>971</v>
      </c>
      <c r="O23" s="124" t="s">
        <v>972</v>
      </c>
      <c r="P23" s="94" t="s">
        <v>973</v>
      </c>
      <c r="Q23" s="94" t="s">
        <v>104</v>
      </c>
      <c r="R23" s="124" t="s">
        <v>974</v>
      </c>
      <c r="S23" s="124" t="s">
        <v>975</v>
      </c>
    </row>
    <row r="24" spans="1:20" ht="20.100000000000001" customHeight="1" x14ac:dyDescent="0.25">
      <c r="A24" s="5" t="str">
        <f>HYPERLINK("#'Input - Manure sent off-site'!A1", "Manure sent off-site")</f>
        <v>Manure sent off-site</v>
      </c>
      <c r="D24" s="25" t="s">
        <v>710</v>
      </c>
      <c r="E24" s="25" t="s">
        <v>966</v>
      </c>
      <c r="F24" s="25" t="s">
        <v>966</v>
      </c>
      <c r="G24" s="25" t="s">
        <v>966</v>
      </c>
      <c r="H24" s="25" t="s">
        <v>966</v>
      </c>
      <c r="I24" s="25" t="s">
        <v>966</v>
      </c>
      <c r="N24" s="25"/>
      <c r="O24" s="25" t="s">
        <v>966</v>
      </c>
      <c r="P24" s="25"/>
      <c r="Q24" s="25"/>
      <c r="R24" s="25"/>
      <c r="S24" s="25" t="s">
        <v>966</v>
      </c>
    </row>
    <row r="25" spans="1:20" ht="20.100000000000001" customHeight="1" x14ac:dyDescent="0.25">
      <c r="A25" s="5" t="str">
        <f>HYPERLINK("#'Input - Solid waste'!A1", "Solid waste")</f>
        <v>Solid waste</v>
      </c>
      <c r="D25" s="25" t="s">
        <v>171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HYPERLINK("#'Input - Data quality'!A1", "Data quality")</f>
        <v>Data quality</v>
      </c>
    </row>
    <row r="27" spans="1:20" ht="20.100000000000001" customHeight="1" x14ac:dyDescent="0.25">
      <c r="C27" s="256"/>
      <c r="D27" s="256"/>
      <c r="E27" s="256"/>
      <c r="F27" s="256"/>
      <c r="G27" s="256"/>
      <c r="H27" s="256"/>
      <c r="I27" s="256"/>
      <c r="J27" s="256"/>
      <c r="K27" s="256"/>
      <c r="M27" s="256"/>
      <c r="N27" s="256"/>
      <c r="O27" s="256"/>
      <c r="P27" s="256"/>
      <c r="Q27" s="256"/>
      <c r="R27" s="256"/>
      <c r="S27" s="256"/>
      <c r="T27" s="256"/>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57"/>
      <c r="G28" s="8"/>
      <c r="H28" s="8"/>
      <c r="I28" s="8"/>
      <c r="J28" s="8"/>
      <c r="K28" s="8"/>
    </row>
    <row r="29" spans="1:20" ht="20.100000000000001" customHeight="1" x14ac:dyDescent="0.25">
      <c r="A29" s="6" t="s">
        <v>2</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HYPERLINK("#'5.1.1.1-2 Inorganic fert N2O'!A1", "5.1.1.1-2 Inorganic fert N2O")</f>
        <v>5.1.1.1-2 Inorganic fert N2O</v>
      </c>
      <c r="C30" s="8"/>
      <c r="D30" s="118" t="s">
        <v>262</v>
      </c>
      <c r="E30" s="118"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HYPERLINK("#'5.1.1.3-4 Inorganic fert CO2'!A1", "5.1.1.3-4 Inorganic fert CO2")</f>
        <v>5.1.1.3-4 Inorganic fert CO2</v>
      </c>
      <c r="C31" s="8"/>
      <c r="D31" s="8"/>
      <c r="E31" s="8"/>
      <c r="F31" s="8"/>
      <c r="G31" s="8"/>
      <c r="H31" s="8"/>
      <c r="I31" s="8"/>
      <c r="J31" s="8"/>
      <c r="K31" s="8"/>
    </row>
    <row r="32" spans="1:20" ht="20.100000000000001" customHeight="1" x14ac:dyDescent="0.25">
      <c r="A32" s="5" t="str">
        <f>HYPERLINK("#'5.2.1.1-2 Organic Fert N2O'!A1", "5.2.1.1-2 Organic fert N2O")</f>
        <v>5.2.1.1-2 Organic fert N2O</v>
      </c>
      <c r="C32" s="8"/>
      <c r="D32" s="8"/>
      <c r="E32" s="8"/>
      <c r="F32" s="27"/>
      <c r="G32" s="8"/>
      <c r="H32" s="8"/>
      <c r="I32" s="8"/>
      <c r="J32" s="8"/>
      <c r="K32" s="8"/>
    </row>
    <row r="33" spans="1:17" ht="20.100000000000001" customHeight="1" x14ac:dyDescent="0.25">
      <c r="A33" s="5" t="str">
        <f>HYPERLINK("#'5.3.1.1-2 Lime CO2'!A1", "5.3.1.1-2 Lime CO2")</f>
        <v>5.3.1.1-2 Lime CO2</v>
      </c>
      <c r="C33" s="8"/>
      <c r="D33" s="12" t="s">
        <v>263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HYPERLINK("#'5.4.1.1-4 Atmos deposition'!A1", "5.4.1.1-4 Atmos. deposition")</f>
        <v>5.4.1.1-4 Atmos. deposition</v>
      </c>
      <c r="C34" s="8"/>
      <c r="D34" s="12" t="s">
        <v>122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HYPERLINK("#'5.5.1.1-2 Leaching and runoff'!A1", "5.5.1.1-2 Leaching &amp; runoff")</f>
        <v>5.5.1.1-2 Leaching &amp; runoff</v>
      </c>
      <c r="C35" s="8"/>
      <c r="D35" s="8"/>
      <c r="E35" s="8"/>
      <c r="F35" s="8"/>
      <c r="G35" s="8"/>
      <c r="H35" s="8"/>
      <c r="I35" s="8"/>
      <c r="J35" s="8"/>
      <c r="K35" s="8"/>
    </row>
    <row r="36" spans="1:17" ht="20.100000000000001" customHeight="1" x14ac:dyDescent="0.25">
      <c r="A36" s="5" t="str">
        <f>HYPERLINK("#'6.2.1.1-2 Pasture residue N2O'!A1", "6.2.1.1-2 Pasture residue N2O")</f>
        <v>6.2.1.1-2 Pasture residue N2O</v>
      </c>
      <c r="C36" s="8"/>
      <c r="D36" s="120" t="str" cm="1">
        <f t="array" ref="D36:E40">_xlfn.CHOOSECOLS(AgResidue_Equations_Leaching.VEERG_6_3_1_1__1__LeachingAndRunoffEmissionsCropAndPastureResidue_Arguments(),1,2)</f>
        <v>M_leachcp</v>
      </c>
      <c r="E36" s="125" t="str">
        <v>mass of nitrogen lost through leaching and runoff from the crop residue c or pasture residue p</v>
      </c>
      <c r="F36" s="133"/>
      <c r="G36" s="126"/>
      <c r="H36" s="120" t="str" cm="1">
        <f t="array" ref="H36:I40">_xlfn.CHOOSECOLS(AgResidue_Equations_Leaching.VEERG_6_3_1_1__1__LeachingAndRunoffEmissionsCropAndPastureResidue_Arguments(),3,4)</f>
        <v>kg N</v>
      </c>
      <c r="I36" s="128" t="str">
        <v>Calculated from 6.3.1.1 (2)</v>
      </c>
      <c r="J36" s="120" t="str" cm="1">
        <f t="array" aca="1" ref="J36" ca="1">HYPERLINK(Common_InputFunctions.Utility_SourceHyperlink($D$21), $D$21)</f>
        <v>M1_Table_M_leach_cp</v>
      </c>
      <c r="K36" s="8"/>
    </row>
    <row r="37" spans="1:17" ht="20.100000000000001" customHeight="1" x14ac:dyDescent="0.25">
      <c r="A37" s="119" t="str">
        <f>HYPERLINK("#'6.3.1.1-2 Leach runoff pasture'!A1", "6.3.1.1-2 Leach &amp; runoff (pasture)")</f>
        <v>6.3.1.1-2 Leach &amp; runoff (pasture)</v>
      </c>
      <c r="C37" s="8"/>
      <c r="D37" s="120" t="str">
        <v>EF_leach</v>
      </c>
      <c r="E37" s="125" t="str">
        <v>emission factor for leaching and runoff</v>
      </c>
      <c r="F37" s="133"/>
      <c r="G37" s="126"/>
      <c r="H37" s="120" t="str">
        <v>kg N2O-N/kg N</v>
      </c>
      <c r="I37" s="128" t="str">
        <v>Constant</v>
      </c>
      <c r="J37" s="120">
        <f>'Constants - Common'!$E$170</f>
        <v>1.0999999999999999E-2</v>
      </c>
      <c r="K37" s="8"/>
    </row>
    <row r="38" spans="1:17" ht="20.100000000000001" customHeight="1" x14ac:dyDescent="0.25">
      <c r="A38" s="5" t="str">
        <f>HYPERLINK("#'8.1.1.1-2 Transport fuel'!A1", "8.1.1.1-2 Transport fuel")</f>
        <v>8.1.1.1-2 Transport fuel</v>
      </c>
      <c r="C38" s="8"/>
      <c r="D38" s="120" t="str">
        <v>C_N2O</v>
      </c>
      <c r="E38" s="125" t="str">
        <v>factor to convert elemental mass of nitrous oxide to molecular mass</v>
      </c>
      <c r="F38" s="133"/>
      <c r="G38" s="126"/>
      <c r="H38" s="120" t="str">
        <v>dimensionless</v>
      </c>
      <c r="I38" s="128" t="str">
        <v>Constant</v>
      </c>
      <c r="J38" s="120">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HYPERLINK("#'8.2.1.1-2 Stationary fuel'!A1", "8.2.1.1-2 Stationary fuel")</f>
        <v>8.2.1.1-2 Stationary fuel</v>
      </c>
      <c r="C39" s="8"/>
      <c r="D39" s="120" t="str">
        <v>c</v>
      </c>
      <c r="E39" s="125" t="str">
        <v>Crop residue type</v>
      </c>
      <c r="F39" s="133"/>
      <c r="G39" s="126"/>
      <c r="H39" s="120" t="str">
        <v/>
      </c>
      <c r="I39" s="121" t="str">
        <v>Input</v>
      </c>
      <c r="J39" s="120" t="s">
        <v>966</v>
      </c>
      <c r="K39" s="8"/>
    </row>
    <row r="40" spans="1:17" ht="20.100000000000001" customHeight="1" x14ac:dyDescent="0.25">
      <c r="A40" s="5" t="str">
        <f>HYPERLINK("#'14.1.1-2 Purchased electricity'!A1", "14.1.1-2 Purchased electricity")</f>
        <v>14.1.1-2 Purchased electricity</v>
      </c>
      <c r="C40" s="8"/>
      <c r="D40" s="120" t="str">
        <v>p</v>
      </c>
      <c r="E40" s="125" t="str">
        <v>Pasture residue type</v>
      </c>
      <c r="F40" s="133"/>
      <c r="G40" s="126"/>
      <c r="H40" s="120" t="str">
        <v/>
      </c>
      <c r="I40" s="121" t="str">
        <v>Input</v>
      </c>
      <c r="J40" s="120" t="str">
        <f>X_Cell_Pasture_PastureType</f>
        <v>Grass clover mixture</v>
      </c>
      <c r="K40" s="8"/>
    </row>
    <row r="41" spans="1:17" ht="20.100000000000001" customHeight="1" x14ac:dyDescent="0.25">
      <c r="A41" s="5" t="str">
        <f>HYPERLINK("#'15 Scope 3'!A1", "15 Scope 3")</f>
        <v>15 Scope 3</v>
      </c>
      <c r="C41" s="8"/>
      <c r="D41" s="8"/>
      <c r="E41" s="8"/>
      <c r="F41" s="8"/>
      <c r="G41" s="8"/>
      <c r="H41" s="8"/>
      <c r="I41" s="8"/>
      <c r="J41" s="8"/>
      <c r="K41" s="8"/>
    </row>
    <row r="42" spans="1:17" ht="20.100000000000001" customHeight="1" x14ac:dyDescent="0.25">
      <c r="A42" s="5" t="str">
        <f>HYPERLINK("#'Calcs - Manure sent off-site'!A1", "Calcs - Manure sent off-site")</f>
        <v>Calcs - Manure sent off-site</v>
      </c>
      <c r="C42" s="8"/>
      <c r="D42" s="122" t="s">
        <v>641</v>
      </c>
      <c r="E42" s="8"/>
      <c r="F42" s="8"/>
      <c r="G42" s="8"/>
      <c r="H42" s="8"/>
      <c r="I42" s="8"/>
      <c r="J42" s="8"/>
      <c r="K42" s="8"/>
      <c r="N42" s="122" t="s">
        <v>641</v>
      </c>
      <c r="O42" s="8"/>
      <c r="P42" s="8"/>
      <c r="Q42" s="8"/>
    </row>
    <row r="43" spans="1:17" ht="20.100000000000001" customHeight="1" x14ac:dyDescent="0.25">
      <c r="A43" s="5" t="str">
        <f>HYPERLINK("#'4.3.1.1-2 Methane'!A1", "4.3.1.1-2 Methane")</f>
        <v>4.3.1.1-2 Methane</v>
      </c>
      <c r="C43" s="8"/>
      <c r="D43" s="123" t="s">
        <v>976</v>
      </c>
      <c r="E43" s="8"/>
      <c r="F43" s="8"/>
      <c r="G43" s="8"/>
      <c r="H43" s="8"/>
      <c r="I43" s="8"/>
      <c r="J43" s="8"/>
      <c r="K43" s="8"/>
      <c r="N43" s="123" t="s">
        <v>976</v>
      </c>
      <c r="O43" s="8"/>
      <c r="P43" s="8"/>
      <c r="Q43" s="8"/>
    </row>
    <row r="44" spans="1:17" ht="20.100000000000001" customHeight="1" x14ac:dyDescent="0.25">
      <c r="A44" s="5" t="str">
        <f>HYPERLINK("#'4.3.1.3-4 Direct N20'!A1", "4.3.1.3-4 Direct N20")</f>
        <v>4.3.1.3-4 Direct N20</v>
      </c>
      <c r="C44" s="8"/>
      <c r="D44" s="124" t="s">
        <v>975</v>
      </c>
      <c r="E44" s="124" t="s">
        <v>977</v>
      </c>
      <c r="F44" s="8"/>
      <c r="G44" s="8"/>
      <c r="H44" s="8"/>
      <c r="I44" s="8"/>
      <c r="J44" s="8"/>
      <c r="K44" s="8"/>
      <c r="N44" s="124" t="s">
        <v>975</v>
      </c>
      <c r="O44" s="124" t="s">
        <v>977</v>
      </c>
      <c r="P44" s="8"/>
      <c r="Q44" s="8"/>
    </row>
    <row r="45" spans="1:17" ht="20.100000000000001" customHeight="1" x14ac:dyDescent="0.25">
      <c r="A45" s="5" t="str">
        <f>HYPERLINK("#'4.3.1.5 Atmos deposition'!A1", "4.3.1.5 Atmos deposition")</f>
        <v>4.3.1.5 Atmos deposition</v>
      </c>
      <c r="C45" s="8"/>
      <c r="D45" s="25" t="str">
        <f>I24</f>
        <v>N/A</v>
      </c>
      <c r="E45" s="25" t="s">
        <v>966</v>
      </c>
      <c r="F45" s="8"/>
      <c r="G45" s="8"/>
      <c r="H45" s="8"/>
      <c r="I45" s="8"/>
      <c r="J45" s="8"/>
      <c r="K45" s="8"/>
      <c r="N45" s="25" t="str">
        <f>S24</f>
        <v>N/A</v>
      </c>
      <c r="O45" s="25" t="s">
        <v>966</v>
      </c>
      <c r="P45" s="8"/>
      <c r="Q45" s="8"/>
    </row>
    <row r="46" spans="1:17" ht="20.100000000000001" customHeight="1" x14ac:dyDescent="0.25">
      <c r="A46" s="5" t="str">
        <f>HYPERLINK("#'4.3.1.6-7 Leaching and runoff'!A1", "4.3.1.6-7 Leaching and runoff")</f>
        <v>4.3.1.6-7 Leaching and runoff</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HYPERLINK("#'4.3.1.8 Manure applied to soils'!A1", "4.3.1.8 Manure applied to soils")</f>
        <v>4.3.1.8 Manure applied to soils</v>
      </c>
      <c r="C47" s="8"/>
      <c r="F47" s="8"/>
      <c r="G47" s="8"/>
      <c r="H47" s="8"/>
      <c r="I47" s="8"/>
      <c r="J47" s="8"/>
      <c r="K47" s="8"/>
      <c r="P47" s="8"/>
      <c r="Q47" s="8"/>
    </row>
    <row r="48" spans="1:17" ht="20.100000000000001" customHeight="1" x14ac:dyDescent="0.4">
      <c r="A48" s="5" t="str">
        <f>HYPERLINK("#'4.3.1.9 Soil direct N2O'!A1", "4.3.1.9 Soil direct N2O")</f>
        <v>4.3.1.9 Soil direct N2O</v>
      </c>
      <c r="C48" s="8"/>
      <c r="D48" s="258" t="s">
        <v>978</v>
      </c>
      <c r="E48" s="259">
        <f>SUM(E45:E46)</f>
        <v>3.0793186285714277E-7</v>
      </c>
      <c r="F48" s="137" t="str">
        <f>$E$34</f>
        <v>t N2O</v>
      </c>
      <c r="G48" s="8"/>
      <c r="H48" s="8"/>
      <c r="I48" s="8"/>
      <c r="J48" s="8"/>
      <c r="K48" s="8"/>
      <c r="N48" s="258" t="s">
        <v>978</v>
      </c>
      <c r="O48" s="259">
        <f>SUM(O45:O46)</f>
        <v>3.0793186285714277E-7</v>
      </c>
      <c r="P48" s="137" t="str">
        <f>$E$34</f>
        <v>t N2O</v>
      </c>
      <c r="Q48" s="8"/>
    </row>
    <row r="49" spans="1:17" ht="20.100000000000001" customHeight="1" x14ac:dyDescent="0.25">
      <c r="A49" s="5" t="str">
        <f>HYPERLINK("#'4.3.1.10-11 Soil Atmos Dep'!A1", "4.3.1.10-11 Soil Atmos Dep")</f>
        <v>4.3.1.10-11 Soil Atmos Dep</v>
      </c>
      <c r="D49" s="8"/>
      <c r="E49" s="8"/>
      <c r="F49" s="8"/>
      <c r="G49" s="8"/>
      <c r="N49" s="8"/>
      <c r="O49" s="8"/>
      <c r="P49" s="8"/>
      <c r="Q49" s="8"/>
    </row>
    <row r="50" spans="1:17" ht="20.100000000000001" customHeight="1" x14ac:dyDescent="0.25">
      <c r="A50" s="5" t="str">
        <f>HYPERLINK("#'4.3.1.12-13 Soil leach runoff'!A1", "4.3.1.12-13 Soil leach runoff")</f>
        <v>4.3.1.12-13 Soil leach runoff</v>
      </c>
      <c r="D50" s="132" t="str" cm="1">
        <f t="array" ref="D50:E51">Common_Equations.Common_ConvertN2OToCO2e_Arguments()</f>
        <v>EN2O</v>
      </c>
      <c r="E50" s="138" t="str">
        <v>Nitrous oxide emissions (t N2O)</v>
      </c>
      <c r="F50" s="139"/>
      <c r="G50" s="25">
        <f>VEERG_6_3_1_1__1__LeachingAndRunoffEmissionsCropAndPastureResidue_PastureOnly_Result_Method1</f>
        <v>3.0793186285714277E-7</v>
      </c>
      <c r="N50" s="132" t="str" cm="1">
        <f t="array" ref="N50:O51">Common_Equations.Common_ConvertN2OToCO2e_Arguments()</f>
        <v>EN2O</v>
      </c>
      <c r="O50" s="138" t="str">
        <v>Nitrous oxide emissions (t N2O)</v>
      </c>
      <c r="P50" s="139"/>
      <c r="Q50" s="25">
        <f>VEERG_6_3_1_1__1__LeachingAndRunoffEmissionsCropAndPastureResidue_PastureOnly_Result_Method2</f>
        <v>3.0793186285714277E-7</v>
      </c>
    </row>
    <row r="51" spans="1:17" ht="20.100000000000001" customHeight="1" x14ac:dyDescent="0.25">
      <c r="A51" s="5" t="str">
        <f>HYPERLINK("#'3.3.1.1-2 Enteric Methane'!A1", "3.3.1.1-2 Enteric Methane")</f>
        <v>3.3.1.1-2 Enteric Methane</v>
      </c>
      <c r="D51" s="132" t="str">
        <v>GWPN2O</v>
      </c>
      <c r="E51" s="138" t="str">
        <v>Global warming potential for nitrous oxide (t CO2-e / t N2O)</v>
      </c>
      <c r="F51" s="139"/>
      <c r="G51" s="25">
        <f>Common_InputFunctions.Utility_LookupValueInTableNumber("N2O",Table_GWPData[Gas],Table_GWPData[CO2-e factor])</f>
        <v>265</v>
      </c>
      <c r="H51" s="8"/>
      <c r="I51" s="8"/>
      <c r="N51" s="132" t="str">
        <v>GWPN2O</v>
      </c>
      <c r="O51" s="138" t="str">
        <v>Global warming potential for nitrous oxide (t CO2-e / t N2O)</v>
      </c>
      <c r="P51" s="139"/>
      <c r="Q51" s="25">
        <f>Common_InputFunctions.Utility_LookupValueInTableNumber("N2O",Table_GWPData[Gas],Table_GWPData[CO2-e factor])</f>
        <v>265</v>
      </c>
    </row>
    <row r="52" spans="1:17" ht="20.100000000000001" customHeight="1" x14ac:dyDescent="0.25">
      <c r="A52" s="5" t="str">
        <f>HYPERLINK("#'10.1.1-2 Solid waste treatment'!A1", "10.1.1-2 Solid waste treatment")</f>
        <v>10.1.1-2 Solid waste treatment</v>
      </c>
      <c r="H52" s="8"/>
      <c r="I52" s="8"/>
    </row>
    <row r="53" spans="1:17" ht="20.100000000000001" customHeight="1" x14ac:dyDescent="0.25">
      <c r="D53" s="101" t="s">
        <v>412</v>
      </c>
      <c r="E53" s="101" cm="1">
        <f t="array" ref="E53">Common_Equations.Common_ConvertN2OToCO2e(G50,G51)</f>
        <v>8.1601943657142831E-5</v>
      </c>
      <c r="F53" s="140" t="str" cm="1">
        <f t="array" ref="F53">Common_Equations.Common_ConvertN2OToCO2e_Unit()</f>
        <v>t CO2e</v>
      </c>
      <c r="I53" s="8"/>
      <c r="N53" s="101" t="s">
        <v>412</v>
      </c>
      <c r="O53" s="101" cm="1">
        <f t="array" ref="O53">Common_Equations.Common_ConvertN2OToCO2e(Q50,Q51)</f>
        <v>8.1601943657142831E-5</v>
      </c>
      <c r="P53" s="140" t="str" cm="1">
        <f t="array" ref="P53">Common_Equations.Common_ConvertN2OToCO2e_Unit()</f>
        <v>t CO2e</v>
      </c>
    </row>
    <row r="54" spans="1:17" ht="20.100000000000001" customHeight="1" x14ac:dyDescent="0.25">
      <c r="I54" s="8"/>
    </row>
    <row r="55" spans="1:17" ht="20.100000000000001" customHeight="1" x14ac:dyDescent="0.25">
      <c r="A55" s="100" t="s">
        <v>1</v>
      </c>
    </row>
    <row r="56" spans="1:17" ht="20.100000000000001" customHeight="1" x14ac:dyDescent="0.25">
      <c r="A56" s="5" t="str">
        <f>HYPERLINK("#'Constants - Dairy'!A1", "Constants - Dairy")</f>
        <v>Constants - Dairy</v>
      </c>
    </row>
    <row r="57" spans="1:17" ht="20.100000000000001" customHeight="1" x14ac:dyDescent="0.25">
      <c r="A57" s="5" t="str">
        <f>HYPERLINK("#'Constants - Ag Residue'!A1", "Constants - Ag residue")</f>
        <v>Constants - Ag residue</v>
      </c>
    </row>
    <row r="58" spans="1:17" ht="20.100000000000001" customHeight="1" x14ac:dyDescent="0.25">
      <c r="A58" s="5" t="str">
        <f>HYPERLINK("#'Constants - Common Livestock'!A1", "Constants - Common Livestock")</f>
        <v>Constants - Common Livestock</v>
      </c>
    </row>
    <row r="59" spans="1:17" ht="20.100000000000001" customHeight="1" x14ac:dyDescent="0.25">
      <c r="A59" s="5" t="str">
        <f>HYPERLINK("#'Constants - Electricity'!A1", "Constants - Electricity")</f>
        <v>Constants - Electricity</v>
      </c>
    </row>
    <row r="60" spans="1:17" ht="20.100000000000001" customHeight="1" x14ac:dyDescent="0.25">
      <c r="A60" s="5" t="str">
        <f>HYPERLINK("#'Constants - Fertiliser'!A1", "Constants - Fertiliser")</f>
        <v>Constants - Fertiliser</v>
      </c>
      <c r="H60" s="8"/>
      <c r="I60" s="8"/>
    </row>
    <row r="61" spans="1:17" ht="20.100000000000001" customHeight="1" x14ac:dyDescent="0.25">
      <c r="A61" s="5" t="str">
        <f>HYPERLINK("#'Constants - Fuel'!A1", "Constants - Fuel")</f>
        <v>Constants - Fuel</v>
      </c>
      <c r="H61" s="8"/>
      <c r="I61" s="8"/>
    </row>
    <row r="62" spans="1:17" ht="20.100000000000001" customHeight="1" x14ac:dyDescent="0.25">
      <c r="A62" s="5" t="str">
        <f>HYPERLINK("#'Constants - Scope 3'!A1", "Constants - Scope 3")</f>
        <v>Constants - Scope 3</v>
      </c>
    </row>
    <row r="63" spans="1:17" ht="20.100000000000001" customHeight="1" x14ac:dyDescent="0.25">
      <c r="A63" s="5" t="str">
        <f>HYPERLINK("#'Constants - Common'!A1", "Constants - Common")</f>
        <v>Constants - Common</v>
      </c>
    </row>
    <row r="64" spans="1:17"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95FA1-0FEB-4255-A872-526D69EE9514}">
  <dimension ref="A1:R342"/>
  <sheetViews>
    <sheetView showGridLines="0" topLeftCell="E45"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0" customFormat="1" ht="30" customHeight="1" x14ac:dyDescent="0.35">
      <c r="A1" s="16" t="e" vm="1">
        <v>#VALUE!</v>
      </c>
      <c r="C1" s="30" t="s">
        <v>803</v>
      </c>
    </row>
    <row r="2" spans="1:18" s="3" customFormat="1" ht="20.100000000000001" customHeight="1" x14ac:dyDescent="0.25">
      <c r="A2"/>
    </row>
    <row r="3" spans="1:18" ht="20.100000000000001" customHeight="1" x14ac:dyDescent="0.25">
      <c r="A3" s="5" t="str">
        <f>HYPERLINK("#'Home'!A1", "Home")</f>
        <v>Home</v>
      </c>
      <c r="C3" s="32"/>
      <c r="D3" s="32" t="s">
        <v>136</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92"/>
      <c r="P5" s="192"/>
      <c r="Q5" s="192"/>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92"/>
      <c r="P6" s="192"/>
      <c r="Q6" s="192"/>
    </row>
    <row r="7" spans="1:18" ht="20.100000000000001" customHeight="1" x14ac:dyDescent="0.25">
      <c r="D7" s="118" t="s">
        <v>262</v>
      </c>
      <c r="E7" s="118" t="str" cm="1">
        <f t="array" aca="1" ref="E7" ca="1">Common_InputFunctions.Utility_DisplayFunctionName(N25)</f>
        <v>=Fuel_Equations.VEERG_8_1_1_1__1_FuelCombustionTransport</v>
      </c>
      <c r="K7" s="118" t="s">
        <v>262</v>
      </c>
      <c r="L7" s="118" t="str" cm="1">
        <f t="array" aca="1" ref="L7" ca="1">Common_InputFunctions.Utility_DisplayFunctionName(Q25)</f>
        <v>=Scope3_Equations.VEERG_15_11_1_1__2_UpstreamTransportFuelEmissions</v>
      </c>
      <c r="O7" s="192"/>
      <c r="P7" s="192"/>
      <c r="Q7" s="192"/>
    </row>
    <row r="8" spans="1:18" ht="20.100000000000001" customHeight="1" x14ac:dyDescent="0.25">
      <c r="A8" s="7" t="s">
        <v>0</v>
      </c>
      <c r="E8" s="118"/>
      <c r="L8" s="118"/>
      <c r="O8" s="192"/>
      <c r="P8" s="192"/>
      <c r="Q8" s="192"/>
    </row>
    <row r="9" spans="1:18" ht="20.100000000000001" customHeight="1" x14ac:dyDescent="0.25">
      <c r="A9" s="5" t="str">
        <f>HYPERLINK("#'Input - Enterprise'!A1", "Enterprise")</f>
        <v>Enterprise</v>
      </c>
      <c r="G9" s="27"/>
      <c r="O9" s="192"/>
      <c r="P9" s="192"/>
      <c r="Q9" s="192"/>
    </row>
    <row r="10" spans="1:18" ht="20.100000000000001" customHeight="1" x14ac:dyDescent="0.25">
      <c r="A10" s="5" t="str">
        <f>HYPERLINK("#'Input - Site'!A1", "Site")</f>
        <v>Site</v>
      </c>
      <c r="O10" s="192"/>
      <c r="P10" s="192"/>
      <c r="Q10" s="192"/>
    </row>
    <row r="11" spans="1:18" ht="20.100000000000001" customHeight="1" x14ac:dyDescent="0.25">
      <c r="A11" s="5" t="str">
        <f>HYPERLINK("#'Input - Dairy'!A1", "Dairy")</f>
        <v>Dairy</v>
      </c>
      <c r="D11" s="87" t="s">
        <v>263</v>
      </c>
      <c r="E11" s="1" t="str" cm="1">
        <f t="array" ref="E11">Fuel_Equations.VEERG_8_1_1_1__1_FuelCombustionTransport_Variable()</f>
        <v>E_g</v>
      </c>
      <c r="K11" s="87" t="s">
        <v>263</v>
      </c>
      <c r="L11" s="1" t="str" cm="1">
        <f t="array" ref="L11">Scope3_Equations.VEERG_15_11_1_1__2_UpstreamTransportFuelEmissions_Variable()</f>
        <v>E_WTTtransq</v>
      </c>
      <c r="O11" s="192"/>
      <c r="P11" s="192"/>
      <c r="Q11" s="192"/>
    </row>
    <row r="12" spans="1:18" ht="20.100000000000001" customHeight="1" x14ac:dyDescent="0.25">
      <c r="A12" s="5" t="str">
        <f>HYPERLINK("#'Input - Dairy (Enteric)'!A1", "Dairy (Enteric)")</f>
        <v>Dairy (Enteric)</v>
      </c>
      <c r="D12" s="87" t="s">
        <v>122</v>
      </c>
      <c r="E12" s="15" t="str" cm="1">
        <f t="array" ref="E12">Fuel_Equations.VEERG_8_1_1_1__1_FuelCombustionTransport_Unit()</f>
        <v>t CO2-e</v>
      </c>
      <c r="K12" s="87" t="s">
        <v>122</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0" t="str" cm="1">
        <f t="array" ref="D14:E20">_xlfn.CHOOSECOLS(Fuel_Equations.VEERG_8_1_1_1__1_FuelCombustionTransport_Arguments(), 1,2)</f>
        <v>Q_Transtq</v>
      </c>
      <c r="E14" s="125" t="str">
        <v>Amount of fuel type q combusted for transport energy purposes</v>
      </c>
      <c r="F14" s="126"/>
      <c r="G14" s="120" t="str" cm="1">
        <f t="array" ref="G14:H20">_xlfn.CHOOSECOLS(Fuel_Equations.VEERG_8_1_1_1__1_FuelCombustionTransport_Arguments(), 3,4)</f>
        <v>Varies based on fuel type: kL, m3, GJ</v>
      </c>
      <c r="H14" s="121" t="str">
        <v>Input</v>
      </c>
      <c r="I14" s="127" t="str" cm="1">
        <f t="array" aca="1" ref="I14" ca="1">HYPERLINK(Common_InputFunctions.Utility_SourceHyperlink($D$22), $D$22)</f>
        <v>Table_E_g</v>
      </c>
      <c r="K14" s="120" t="str" cm="1">
        <f t="array" ref="K14:L16">_xlfn.CHOOSECOLS(Scope3_Equations.VEERG_15_11_1_1__2_UpstreamTransportFuelEmissions_Arguments(),1,2)</f>
        <v>Q_Transq</v>
      </c>
      <c r="L14" s="120" t="str">
        <v>amount of fuel q combusted for transport energy purposes</v>
      </c>
      <c r="M14" s="120"/>
      <c r="N14" s="120" t="str" cm="1">
        <f t="array" ref="N14:O16">_xlfn.CHOOSECOLS(Scope3_Equations.VEERG_15_11_1_1__2_UpstreamTransportFuelEmissions_Arguments(),3,4)</f>
        <v>kL</v>
      </c>
      <c r="O14" s="121" t="str">
        <v>Input</v>
      </c>
      <c r="P14" s="127" t="str" cm="1">
        <f t="array" aca="1" ref="P14" ca="1">HYPERLINK(Common_InputFunctions.Utility_SourceHyperlink($D$22), $D$22)</f>
        <v>Table_E_g</v>
      </c>
      <c r="Q14" s="192"/>
    </row>
    <row r="15" spans="1:18" ht="20.100000000000001" customHeight="1" x14ac:dyDescent="0.25">
      <c r="A15" s="5" t="str">
        <f>HYPERLINK("#'Input - Pasture'!A1", "Pasture")</f>
        <v>Pasture</v>
      </c>
      <c r="D15" s="120" t="str">
        <v>EC_Transq</v>
      </c>
      <c r="E15" s="125" t="str">
        <v>Energy content factor for transport energy purposes</v>
      </c>
      <c r="F15" s="126"/>
      <c r="G15" s="120" t="str">
        <v>GJ / unit of fuel</v>
      </c>
      <c r="H15" s="128" t="str">
        <v>Constant</v>
      </c>
      <c r="I15" s="127" t="str" cm="1">
        <f t="array" aca="1" ref="I15" ca="1">HYPERLINK(Common_InputFunctions.Utility_SourceHyperlink($D$22), $D$22)</f>
        <v>Table_E_g</v>
      </c>
      <c r="K15" s="120" t="str">
        <v>EC_Transq</v>
      </c>
      <c r="L15" s="120" t="str">
        <v>energy content factor for transport energy purposes</v>
      </c>
      <c r="M15" s="120"/>
      <c r="N15" s="120" t="str">
        <v>GJ/kL or GJ/m3</v>
      </c>
      <c r="O15" s="128" t="str">
        <v>Constant</v>
      </c>
      <c r="P15" s="127" t="str" cm="1">
        <f t="array" aca="1" ref="P15" ca="1">HYPERLINK(Common_InputFunctions.Utility_SourceHyperlink($D$22), $D$22)</f>
        <v>Table_E_g</v>
      </c>
      <c r="Q15" s="192"/>
    </row>
    <row r="16" spans="1:18" ht="20.100000000000001" customHeight="1" x14ac:dyDescent="0.25">
      <c r="A16" s="5" t="str">
        <f>HYPERLINK("#'Input - Fert Prod System'!A1", "Fert Prod System")</f>
        <v>Fert Prod System</v>
      </c>
      <c r="D16" s="120" t="str">
        <v>EF_Trans1tqg</v>
      </c>
      <c r="E16" s="125" t="str">
        <v>Scope 1 emission factor for transport energy purposes for each greenhouse gas</v>
      </c>
      <c r="F16" s="126"/>
      <c r="G16" s="120" t="str">
        <v>kg CO2e / GJ</v>
      </c>
      <c r="H16" s="128" t="str">
        <v>Constant</v>
      </c>
      <c r="I16" s="127" t="str" cm="1">
        <f t="array" aca="1" ref="I16" ca="1">HYPERLINK(Common_InputFunctions.Utility_SourceHyperlink($D$22), $D$22)</f>
        <v>Table_E_g</v>
      </c>
      <c r="K16" s="120" t="str">
        <v>EF_Trans3q</v>
      </c>
      <c r="L16" s="120" t="str">
        <v>scope 3 emission factor for transport energy purposes</v>
      </c>
      <c r="M16" s="120"/>
      <c r="N16" s="120" t="str">
        <v>kg CO2e/GJ</v>
      </c>
      <c r="O16" s="128" t="str">
        <v>Constant</v>
      </c>
      <c r="P16" s="127" t="str" cm="1">
        <f t="array" aca="1" ref="P16" ca="1">HYPERLINK(Common_InputFunctions.Utility_SourceHyperlink($D$22), $D$22)</f>
        <v>Table_E_g</v>
      </c>
      <c r="Q16" s="192"/>
    </row>
    <row r="17" spans="1:17" ht="20.100000000000001" customHeight="1" x14ac:dyDescent="0.25">
      <c r="A17" s="5" t="str">
        <f>HYPERLINK("#'Input - Fertiliser'!A1", "Fertiliser")</f>
        <v>Fertiliser</v>
      </c>
      <c r="D17" s="120" t="str">
        <v>q</v>
      </c>
      <c r="E17" s="125" t="str">
        <v>Fuel type</v>
      </c>
      <c r="F17" s="126"/>
      <c r="G17" s="120" t="str">
        <v/>
      </c>
      <c r="H17" s="128" t="str">
        <v>Constant</v>
      </c>
      <c r="I17" s="127"/>
      <c r="J17" s="192"/>
      <c r="P17" s="192"/>
      <c r="Q17" s="192"/>
    </row>
    <row r="18" spans="1:17" ht="20.100000000000001" customHeight="1" x14ac:dyDescent="0.25">
      <c r="A18" s="5" t="str">
        <f>HYPERLINK("#'Input - Fuel'!A1", "Fuel")</f>
        <v>Fuel</v>
      </c>
      <c r="D18" s="120" t="str">
        <v>Trans</v>
      </c>
      <c r="E18" s="125" t="str">
        <v>Transport combustion</v>
      </c>
      <c r="F18" s="126"/>
      <c r="G18" s="120" t="str">
        <v/>
      </c>
      <c r="H18" s="128" t="str">
        <v>Constant</v>
      </c>
      <c r="I18" s="127"/>
      <c r="J18" s="192"/>
      <c r="L18" s="192"/>
      <c r="M18" s="192"/>
      <c r="N18" s="192"/>
      <c r="O18" s="192"/>
      <c r="P18" s="192"/>
      <c r="Q18" s="192"/>
    </row>
    <row r="19" spans="1:17" ht="20.100000000000001" customHeight="1" x14ac:dyDescent="0.25">
      <c r="A19" s="5" t="str">
        <f>HYPERLINK("#'Input - Electricity'!A1", "Electricity")</f>
        <v>Electricity</v>
      </c>
      <c r="D19" s="120" t="str">
        <v>g</v>
      </c>
      <c r="E19" s="125" t="str">
        <v>Greenhouse gas</v>
      </c>
      <c r="F19" s="126"/>
      <c r="G19" s="120" t="str">
        <v/>
      </c>
      <c r="H19" s="128" t="str">
        <v>Constant</v>
      </c>
      <c r="I19" s="127"/>
      <c r="J19" s="192"/>
      <c r="L19" s="192"/>
      <c r="M19" s="192"/>
      <c r="N19" s="192"/>
      <c r="O19" s="192"/>
      <c r="P19" s="192"/>
      <c r="Q19" s="192"/>
    </row>
    <row r="20" spans="1:17" ht="20.100000000000001" customHeight="1" x14ac:dyDescent="0.25">
      <c r="A20" s="5" t="str">
        <f>HYPERLINK("#'Input - Common farm inputs'!A1", "Common farm inputs")</f>
        <v>Common farm inputs</v>
      </c>
      <c r="D20" s="120" t="str">
        <v>1</v>
      </c>
      <c r="E20" s="125" t="str">
        <v>Scope 1</v>
      </c>
      <c r="F20" s="126"/>
      <c r="G20" s="120" t="str">
        <v/>
      </c>
      <c r="H20" s="128" t="str">
        <v>Constant</v>
      </c>
      <c r="I20" s="127"/>
      <c r="J20" s="192"/>
      <c r="L20" s="192"/>
      <c r="M20" s="192"/>
      <c r="N20" s="192"/>
      <c r="O20" s="192"/>
      <c r="P20" s="192"/>
      <c r="Q20" s="192"/>
    </row>
    <row r="21" spans="1:17" ht="20.100000000000001" customHeight="1" x14ac:dyDescent="0.25">
      <c r="A21" s="5" t="str">
        <f>HYPERLINK("#'Input - Crop pasture farm input'!A1", "Crop pasture farm input")</f>
        <v>Crop pasture farm input</v>
      </c>
      <c r="O21" s="192"/>
      <c r="P21" s="192"/>
      <c r="Q21" s="192"/>
    </row>
    <row r="22" spans="1:17" ht="20.100000000000001" customHeight="1" x14ac:dyDescent="0.25">
      <c r="A22" s="5" t="str">
        <f>HYPERLINK("#'Input - Livestock farm Inputs'!A1", "Livestock farm Inputs")</f>
        <v>Livestock farm Inputs</v>
      </c>
      <c r="D22" s="122" t="s">
        <v>804</v>
      </c>
    </row>
    <row r="23" spans="1:17" ht="20.100000000000001" customHeight="1" x14ac:dyDescent="0.25">
      <c r="A23" s="5" t="str">
        <f>HYPERLINK("#'Input - Freight'!A1", "Freight")</f>
        <v>Freight</v>
      </c>
      <c r="D23" s="123" t="s">
        <v>805</v>
      </c>
    </row>
    <row r="24" spans="1:17" ht="20.100000000000001" customHeight="1" x14ac:dyDescent="0.25">
      <c r="A24" s="5" t="str">
        <f>HYPERLINK("#'Input - Manure sent off-site'!A1", "Manure sent off-site")</f>
        <v>Manure sent off-site</v>
      </c>
      <c r="D24" s="124" t="s">
        <v>806</v>
      </c>
      <c r="E24" s="124" t="s">
        <v>807</v>
      </c>
      <c r="F24" s="124" t="s">
        <v>808</v>
      </c>
      <c r="G24" s="124" t="s">
        <v>809</v>
      </c>
      <c r="H24" s="124" t="s">
        <v>810</v>
      </c>
      <c r="I24" s="124" t="s">
        <v>811</v>
      </c>
      <c r="J24" s="124" t="s">
        <v>812</v>
      </c>
      <c r="K24" s="124" t="s">
        <v>813</v>
      </c>
      <c r="L24" s="94" t="s">
        <v>814</v>
      </c>
      <c r="M24" s="124" t="s">
        <v>815</v>
      </c>
      <c r="N24" s="124" t="s">
        <v>816</v>
      </c>
      <c r="O24" s="124" t="s">
        <v>817</v>
      </c>
      <c r="P24" s="124" t="s">
        <v>818</v>
      </c>
      <c r="Q24" s="124" t="s">
        <v>819</v>
      </c>
    </row>
    <row r="25" spans="1:17" ht="20.100000000000001" customHeight="1" x14ac:dyDescent="0.25">
      <c r="A25" s="5" t="str">
        <f>HYPERLINK("#'Input - Solid waste'!A1", "Solid waste")</f>
        <v>Solid waste</v>
      </c>
      <c r="D25" s="34" t="str">
        <f>Table_FuelTypesPerUse[[#Headers],[Cars and light commercial vehicles]]</f>
        <v>Cars and light commercial vehicles</v>
      </c>
      <c r="E25" s="216" t="str">
        <f>'Constants - Fuel'!$E$10</f>
        <v>Gasoline</v>
      </c>
      <c r="F25" s="216"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5" cm="1">
        <f t="array" ref="L25">Fuel_InputFunctions.Fuel_TotalConsumption(Table_Input_Fuel[Amount consumed], Table_Input_Fuel[Fuel use (select)], D25, Table_Input_Fuel[Fuel type (select)],F25)</f>
        <v>0</v>
      </c>
      <c r="M25" s="195" t="str" cm="1">
        <f t="array" ref="M25">Common_InputFunctions.Utility_LookupValueInTable(F25,Table_FuelTypes_Units[Fuel type],Table_FuelTypes_Units[Unit])</f>
        <v>kL</v>
      </c>
      <c r="N25" s="217" cm="1">
        <f t="array" ref="N25">Fuel_Equations.VEERG_8_1_1_1__1_FuelCombustionTransport($L25,$G25,$H25)</f>
        <v>0</v>
      </c>
      <c r="O25" s="217" cm="1">
        <f t="array" ref="O25">Fuel_Equations.VEERG_8_1_1_1__1_FuelCombustionTransport($L25,$G25,$I25)</f>
        <v>0</v>
      </c>
      <c r="P25" s="217" cm="1">
        <f t="array" ref="P25">Fuel_Equations.VEERG_8_1_1_1__1_FuelCombustionTransport($L25,$G25,$J25)</f>
        <v>0</v>
      </c>
      <c r="Q25" s="217" cm="1">
        <f t="array" ref="Q25">Scope3_Equations.VEERG_15_11_1_1__2_UpstreamTransportFuelEmissions(L25,G25,K25)</f>
        <v>0</v>
      </c>
    </row>
    <row r="26" spans="1:17" ht="20.100000000000001" customHeight="1" x14ac:dyDescent="0.25">
      <c r="A26" s="5" t="str">
        <f>HYPERLINK("#'Input - Data quality'!A1", "Data quality")</f>
        <v>Data quality</v>
      </c>
      <c r="D26" s="218" t="str">
        <f t="shared" ref="D26:D32" si="0">$D$25</f>
        <v>Cars and light commercial vehicles</v>
      </c>
      <c r="E26" s="216" t="str">
        <f>'Constants - Fuel'!$E$11</f>
        <v>Diesel oil</v>
      </c>
      <c r="F26" s="216"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5" cm="1">
        <f t="array" ref="L26">Fuel_InputFunctions.Fuel_TotalConsumption(Table_Input_Fuel[Amount consumed], Table_Input_Fuel[Fuel use (select)], D26, Table_Input_Fuel[Fuel type (select)],F26)</f>
        <v>10</v>
      </c>
      <c r="M26" s="195" t="str" cm="1">
        <f t="array" ref="M26">Common_InputFunctions.Utility_LookupValueInTable(F26,Table_FuelTypes_Units[Fuel type],Table_FuelTypes_Units[Unit])</f>
        <v>kL</v>
      </c>
      <c r="N26" s="217" cm="1">
        <f t="array" ref="N26">Fuel_Equations.VEERG_8_1_1_1__1_FuelCombustionTransport($L26,$G26,$H26)</f>
        <v>26.981400000000001</v>
      </c>
      <c r="O26" s="217" cm="1">
        <f t="array" ref="O26">Fuel_Equations.VEERG_8_1_1_1__1_FuelCombustionTransport($L26,$G26,$I26)</f>
        <v>3.8600000000000001E-3</v>
      </c>
      <c r="P26" s="217" cm="1">
        <f t="array" ref="P26">Fuel_Equations.VEERG_8_1_1_1__1_FuelCombustionTransport($L26,$G26,$J26)</f>
        <v>0.193</v>
      </c>
      <c r="Q26" s="217" cm="1">
        <f t="array" ref="Q26">Scope3_Equations.VEERG_15_11_1_1__2_UpstreamTransportFuelEmissions(L26,G26,K26)</f>
        <v>6.6778000000000004</v>
      </c>
    </row>
    <row r="27" spans="1:17" ht="20.100000000000001" customHeight="1" x14ac:dyDescent="0.25">
      <c r="D27" s="218" t="str">
        <f t="shared" si="0"/>
        <v>Cars and light commercial vehicles</v>
      </c>
      <c r="E27" s="216" t="str">
        <f>'Constants - Fuel'!$E$12</f>
        <v>Liquefied petroleum gas (LPG)</v>
      </c>
      <c r="F27" s="216"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5" cm="1">
        <f t="array" ref="L27">Fuel_InputFunctions.Fuel_TotalConsumption(Table_Input_Fuel[Amount consumed], Table_Input_Fuel[Fuel use (select)], D27, Table_Input_Fuel[Fuel type (select)],F27)</f>
        <v>0</v>
      </c>
      <c r="M27" s="195" t="str" cm="1">
        <f t="array" ref="M27">Common_InputFunctions.Utility_LookupValueInTable(F27,Table_FuelTypes_Units[Fuel type],Table_FuelTypes_Units[Unit])</f>
        <v>kL</v>
      </c>
      <c r="N27" s="217" cm="1">
        <f t="array" ref="N27">Fuel_Equations.VEERG_8_1_1_1__1_FuelCombustionTransport($L27,$G27,$H27)</f>
        <v>0</v>
      </c>
      <c r="O27" s="217" cm="1">
        <f t="array" ref="O27">Fuel_Equations.VEERG_8_1_1_1__1_FuelCombustionTransport($L27,$G27,$I27)</f>
        <v>0</v>
      </c>
      <c r="P27" s="217" cm="1">
        <f t="array" ref="P27">Fuel_Equations.VEERG_8_1_1_1__1_FuelCombustionTransport($L27,$G27,$J27)</f>
        <v>0</v>
      </c>
      <c r="Q27" s="217" cm="1">
        <f t="array" ref="Q27">Scope3_Equations.VEERG_15_11_1_1__2_UpstreamTransportFuelEmissions(L27,G27,K27)</f>
        <v>0</v>
      </c>
    </row>
    <row r="28" spans="1:17" ht="20.100000000000001" customHeight="1" x14ac:dyDescent="0.25">
      <c r="D28" s="218" t="str">
        <f t="shared" si="0"/>
        <v>Cars and light commercial vehicles</v>
      </c>
      <c r="E28" s="216" t="str">
        <f>'Constants - Fuel'!$E$13</f>
        <v>Fuel oil</v>
      </c>
      <c r="F28" s="216"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5" cm="1">
        <f t="array" ref="L28">Fuel_InputFunctions.Fuel_TotalConsumption(Table_Input_Fuel[Amount consumed], Table_Input_Fuel[Fuel use (select)], D28, Table_Input_Fuel[Fuel type (select)],F28)</f>
        <v>0</v>
      </c>
      <c r="M28" s="195" t="str" cm="1">
        <f t="array" ref="M28">Common_InputFunctions.Utility_LookupValueInTable(F28,Table_FuelTypes_Units[Fuel type],Table_FuelTypes_Units[Unit])</f>
        <v>kL</v>
      </c>
      <c r="N28" s="217" cm="1">
        <f t="array" ref="N28">Fuel_Equations.VEERG_8_1_1_1__1_FuelCombustionTransport($L28,$G28,$H28)</f>
        <v>0</v>
      </c>
      <c r="O28" s="217" cm="1">
        <f t="array" ref="O28">Fuel_Equations.VEERG_8_1_1_1__1_FuelCombustionTransport($L28,$G28,$I28)</f>
        <v>0</v>
      </c>
      <c r="P28" s="217" cm="1">
        <f t="array" ref="P28">Fuel_Equations.VEERG_8_1_1_1__1_FuelCombustionTransport($L28,$G28,$J28)</f>
        <v>0</v>
      </c>
      <c r="Q28" s="217" cm="1">
        <f t="array" ref="Q28">Scope3_Equations.VEERG_15_11_1_1__2_UpstreamTransportFuelEmissions(L28,G28,K28)</f>
        <v>0</v>
      </c>
    </row>
    <row r="29" spans="1:17" ht="20.100000000000001" customHeight="1" x14ac:dyDescent="0.25">
      <c r="A29" s="6" t="s">
        <v>2</v>
      </c>
      <c r="D29" s="218" t="str">
        <f t="shared" si="0"/>
        <v>Cars and light commercial vehicles</v>
      </c>
      <c r="E29" s="216" t="str">
        <f>'Constants - Fuel'!$E$14</f>
        <v>Ethanol</v>
      </c>
      <c r="F29" s="216"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5" cm="1">
        <f t="array" ref="L29">Fuel_InputFunctions.Fuel_TotalConsumption(Table_Input_Fuel[Amount consumed], Table_Input_Fuel[Fuel use (select)], D29, Table_Input_Fuel[Fuel type (select)],F29)</f>
        <v>0</v>
      </c>
      <c r="M29" s="195" t="str" cm="1">
        <f t="array" ref="M29">Common_InputFunctions.Utility_LookupValueInTable(F29,Table_FuelTypes_Units[Fuel type],Table_FuelTypes_Units[Unit])</f>
        <v>kL</v>
      </c>
      <c r="N29" s="217" cm="1">
        <f t="array" ref="N29">Fuel_Equations.VEERG_8_1_1_1__1_FuelCombustionTransport($L29,$G29,$H29)</f>
        <v>0</v>
      </c>
      <c r="O29" s="217" cm="1">
        <f t="array" ref="O29">Fuel_Equations.VEERG_8_1_1_1__1_FuelCombustionTransport($L29,$G29,$I29)</f>
        <v>0</v>
      </c>
      <c r="P29" s="217" cm="1">
        <f t="array" ref="P29">Fuel_Equations.VEERG_8_1_1_1__1_FuelCombustionTransport($L29,$G29,$J29)</f>
        <v>0</v>
      </c>
      <c r="Q29" s="217" cm="1">
        <f t="array" ref="Q29">Scope3_Equations.VEERG_15_11_1_1__2_UpstreamTransportFuelEmissions(L29,G29,IF(ISNUMBER(K29),K29,0))</f>
        <v>0</v>
      </c>
    </row>
    <row r="30" spans="1:17" ht="20.100000000000001" customHeight="1" x14ac:dyDescent="0.25">
      <c r="A30" s="5" t="str">
        <f>HYPERLINK("#'5.1.1.1-2 Inorganic fert N2O'!A1", "5.1.1.1-2 Inorganic fert N2O")</f>
        <v>5.1.1.1-2 Inorganic fert N2O</v>
      </c>
      <c r="D30" s="218" t="str">
        <f t="shared" si="0"/>
        <v>Cars and light commercial vehicles</v>
      </c>
      <c r="E30" s="216" t="str">
        <f>'Constants - Fuel'!$E$15</f>
        <v>Biodiesel</v>
      </c>
      <c r="F30" s="216"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5" cm="1">
        <f t="array" ref="L30">Fuel_InputFunctions.Fuel_TotalConsumption(Table_Input_Fuel[Amount consumed], Table_Input_Fuel[Fuel use (select)], D30, Table_Input_Fuel[Fuel type (select)],F30)</f>
        <v>0</v>
      </c>
      <c r="M30" s="195" t="str" cm="1">
        <f t="array" ref="M30">Common_InputFunctions.Utility_LookupValueInTable(F30,Table_FuelTypes_Units[Fuel type],Table_FuelTypes_Units[Unit])</f>
        <v>kL</v>
      </c>
      <c r="N30" s="217" cm="1">
        <f t="array" ref="N30">Fuel_Equations.VEERG_8_1_1_1__1_FuelCombustionTransport($L30,$G30,$H30)</f>
        <v>0</v>
      </c>
      <c r="O30" s="217" cm="1">
        <f t="array" ref="O30">Fuel_Equations.VEERG_8_1_1_1__1_FuelCombustionTransport($L30,$G30,$I30)</f>
        <v>0</v>
      </c>
      <c r="P30" s="217" cm="1">
        <f t="array" ref="P30">Fuel_Equations.VEERG_8_1_1_1__1_FuelCombustionTransport($L30,$G30,$J30)</f>
        <v>0</v>
      </c>
      <c r="Q30" s="217" cm="1">
        <f t="array" ref="Q30">Scope3_Equations.VEERG_15_11_1_1__2_UpstreamTransportFuelEmissions(L30,G30,IF(ISNUMBER(K30),K30,0))</f>
        <v>0</v>
      </c>
    </row>
    <row r="31" spans="1:17" ht="20.100000000000001" customHeight="1" x14ac:dyDescent="0.25">
      <c r="A31" s="5" t="str">
        <f>HYPERLINK("#'5.1.1.3-4 Inorganic fert CO2'!A1", "5.1.1.3-4 Inorganic fert CO2")</f>
        <v>5.1.1.3-4 Inorganic fert CO2</v>
      </c>
      <c r="D31" s="218" t="str">
        <f t="shared" si="0"/>
        <v>Cars and light commercial vehicles</v>
      </c>
      <c r="E31" s="216" t="str">
        <f>'Constants - Fuel'!$E$16</f>
        <v>Renewable diesel</v>
      </c>
      <c r="F31" s="216"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7" cm="1">
        <f t="array" ref="N31">Fuel_Equations.VEERG_8_1_1_1__1_FuelCombustionTransport($L31,$G31,$H31)</f>
        <v>0</v>
      </c>
      <c r="O31" s="217" cm="1">
        <f t="array" ref="O31">Fuel_Equations.VEERG_8_1_1_1__1_FuelCombustionTransport($L31,$G31,$I31)</f>
        <v>0</v>
      </c>
      <c r="P31" s="217" cm="1">
        <f t="array" ref="P31">Fuel_Equations.VEERG_8_1_1_1__1_FuelCombustionTransport($L31,$G31,$J31)</f>
        <v>0</v>
      </c>
      <c r="Q31" s="217" cm="1">
        <f t="array" ref="Q31">Scope3_Equations.VEERG_15_11_1_1__2_UpstreamTransportFuelEmissions(L31,G31,IF(ISNUMBER(K31),K31,0))</f>
        <v>0</v>
      </c>
    </row>
    <row r="32" spans="1:17" ht="20.100000000000001" customHeight="1" x14ac:dyDescent="0.25">
      <c r="A32" s="5" t="str">
        <f>HYPERLINK("#'5.2.1.1-2 Organic Fert N2O'!A1", "5.2.1.1-2 Organic fert N2O")</f>
        <v>5.2.1.1-2 Organic fert N2O</v>
      </c>
      <c r="D32" s="218" t="str">
        <f t="shared" si="0"/>
        <v>Cars and light commercial vehicles</v>
      </c>
      <c r="E32" s="216" t="str">
        <f>'Constants - Fuel'!$E$17</f>
        <v>Other biofuels</v>
      </c>
      <c r="F32" s="216"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4" t="str" cm="1">
        <f t="array" ref="K32">IFERROR(_xlfn.XLOOKUP(1, (Table_Fuel_EFs_Transport[Fuel combusted]=$E32)*(Table_Fuel_EFs_Transport[Transport type]=$D$25), Table_Fuel_EFs_Transport[Scope 3 Emission Factor (kg CO2 - e / GJ)]), 0)</f>
        <v>NE</v>
      </c>
      <c r="L32" s="219" cm="1">
        <f t="array" ref="L32">Fuel_InputFunctions.Fuel_TotalConsumption(Table_Input_Fuel[Amount consumed], Table_Input_Fuel[Fuel use (select)], D32, Table_Input_Fuel[Fuel type (select)],F32)</f>
        <v>0</v>
      </c>
      <c r="M32" s="195" t="str" cm="1">
        <f t="array" ref="M32">Common_InputFunctions.Utility_LookupValueInTable(F32,Table_FuelTypes_Units[Fuel type],Table_FuelTypes_Units[Unit])</f>
        <v>kL</v>
      </c>
      <c r="N32" s="220" cm="1">
        <f t="array" ref="N32">Fuel_Equations.VEERG_8_1_1_1__1_FuelCombustionTransport($L32,$G32,$H32)</f>
        <v>0</v>
      </c>
      <c r="O32" s="220" cm="1">
        <f t="array" ref="O32">Fuel_Equations.VEERG_8_1_1_1__1_FuelCombustionTransport($L32,$G32,$I32)</f>
        <v>0</v>
      </c>
      <c r="P32" s="220" cm="1">
        <f t="array" ref="P32">Fuel_Equations.VEERG_8_1_1_1__1_FuelCombustionTransport($L32,$G32,$J32)</f>
        <v>0</v>
      </c>
      <c r="Q32" s="217" cm="1">
        <f t="array" ref="Q32">Scope3_Equations.VEERG_15_11_1_1__2_UpstreamTransportFuelEmissions(L32,G32,IF(ISNUMBER(K32),K32,0))</f>
        <v>0</v>
      </c>
    </row>
    <row r="33" spans="1:17" ht="20.100000000000001" customHeight="1" x14ac:dyDescent="0.25">
      <c r="A33" s="5" t="str">
        <f>HYPERLINK("#'5.3.1.1-2 Lime CO2'!A1", "5.3.1.1-2 Lime CO2")</f>
        <v>5.3.1.1-2 Lime CO2</v>
      </c>
      <c r="D33" s="221" t="str">
        <f>Table_FuelTypesPerUse[[#Headers],[Off-road Agriculture and forestry equipment]]</f>
        <v>Off-road Agriculture and forestry equipment</v>
      </c>
      <c r="E33" s="222" t="str">
        <f>'Constants - Fuel'!$E$11</f>
        <v>Diesel oil</v>
      </c>
      <c r="F33" s="222" t="str">
        <f>'Constants - Fuel'!H131</f>
        <v>Diesel</v>
      </c>
      <c r="G33" s="223" cm="1">
        <f t="array" ref="G33">IFERROR(_xlfn.XLOOKUP(1, (Table_Fuel_EFs_Transport[Fuel combusted]=$E33)*(Table_Fuel_EFs_Transport[Transport type]=$D$33), Table_Fuel_EFs_Transport[Energy Content Factor (GJ per unit of fuel)]), 0)</f>
        <v>38.6</v>
      </c>
      <c r="H33" s="223" cm="1">
        <f t="array" ref="H33">IFERROR(_xlfn.XLOOKUP(1, (Table_Fuel_EFs_Transport[Fuel combusted]=$E33)*(Table_Fuel_EFs_Transport[Transport type]=$D$33), Table_Fuel_EFs_Transport[Scope 1 Emission Factor (kg CO2 - e / GJ) CO2]), 0)</f>
        <v>69.900000000000006</v>
      </c>
      <c r="I33" s="223" cm="1">
        <f t="array" ref="I33">IFERROR(_xlfn.XLOOKUP(1, (Table_Fuel_EFs_Transport[Fuel combusted]=$E33)*(Table_Fuel_EFs_Transport[Transport type]=$D$33), Table_Fuel_EFs_Transport[Scope 1 Emission Factor (kg CO2 - e / GJ) CH4]), 0)</f>
        <v>0.3</v>
      </c>
      <c r="J33" s="223" cm="1">
        <f t="array" ref="J33">IFERROR(_xlfn.XLOOKUP(1, (Table_Fuel_EFs_Transport[Fuel combusted]=$E33)*(Table_Fuel_EFs_Transport[Transport type]=$D$33), Table_Fuel_EFs_Transport[Scope 1 Emission Factor (kg CO2 - e / GJ) N2O]), 0)</f>
        <v>0.5</v>
      </c>
      <c r="K33" s="224" cm="1">
        <f t="array" ref="K33">IFERROR(_xlfn.XLOOKUP(1, (Table_Fuel_EFs_Transport[Fuel combusted]=$E33)*(Table_Fuel_EFs_Transport[Transport type]=$D$25), Table_Fuel_EFs_Transport[Scope 3 Emission Factor (kg CO2 - e / GJ)]), 0)</f>
        <v>17.3</v>
      </c>
      <c r="L33" s="225" cm="1">
        <f t="array" ref="L33">Fuel_InputFunctions.Fuel_TotalConsumption(Table_Input_Fuel[Amount consumed], Table_Input_Fuel[Fuel use (select)], D33, Table_Input_Fuel[Fuel type (select)],F33)</f>
        <v>10</v>
      </c>
      <c r="M33" s="226" t="str" cm="1">
        <f t="array" ref="M33">Common_InputFunctions.Utility_LookupValueInTable(F33,Table_FuelTypes_Units[Fuel type],Table_FuelTypes_Units[Unit])</f>
        <v>kL</v>
      </c>
      <c r="N33" s="227" cm="1">
        <f t="array" ref="N33">Fuel_Equations.VEERG_8_1_1_1__1_FuelCombustionTransport($L33,$G33,$H33)</f>
        <v>26.981400000000001</v>
      </c>
      <c r="O33" s="227" cm="1">
        <f t="array" ref="O33">Fuel_Equations.VEERG_8_1_1_1__1_FuelCombustionTransport($L33,$G33,$I33)</f>
        <v>0.1158</v>
      </c>
      <c r="P33" s="227" cm="1">
        <f t="array" ref="P33">Fuel_Equations.VEERG_8_1_1_1__1_FuelCombustionTransport($L33,$G33,$J33)</f>
        <v>0.193</v>
      </c>
      <c r="Q33" s="228" cm="1">
        <f t="array" ref="Q33">Scope3_Equations.VEERG_15_11_1_1__2_UpstreamTransportFuelEmissions(L33,G33,K33)</f>
        <v>6.6778000000000004</v>
      </c>
    </row>
    <row r="34" spans="1:17" ht="20.100000000000001" customHeight="1" x14ac:dyDescent="0.25">
      <c r="A34" s="5" t="str">
        <f>HYPERLINK("#'5.4.1.1-4 Atmos deposition'!A1", "5.4.1.1-4 Atmos. deposition")</f>
        <v>5.4.1.1-4 Atmos. deposition</v>
      </c>
      <c r="D34" s="221" t="str">
        <f>Table_FuelTypesPerUse[[#Headers],[Aviation]]</f>
        <v>Aviation</v>
      </c>
      <c r="E34" s="222" t="str">
        <f>'Constants - Fuel'!$E$28</f>
        <v>Gasoline for use as fuel in an aircraft</v>
      </c>
      <c r="F34" s="222" t="str">
        <f>'Constants - Fuel'!$F$131</f>
        <v>Avgas</v>
      </c>
      <c r="G34" s="229" cm="1">
        <f t="array" ref="G34">IFERROR(_xlfn.XLOOKUP(1, (Table_Fuel_EFs_Transport[Fuel combusted]=$E34)*(Table_Fuel_EFs_Transport[Transport type]=$D$34), Table_Fuel_EFs_Transport[Energy Content Factor (GJ per unit of fuel)]), 0)</f>
        <v>33.1</v>
      </c>
      <c r="H34" s="229" cm="1">
        <f t="array" ref="H34">IFERROR(_xlfn.XLOOKUP(1, (Table_Fuel_EFs_Transport[Fuel combusted]=$E34)*(Table_Fuel_EFs_Transport[Transport type]=$D$34), Table_Fuel_EFs_Transport[Scope 1 Emission Factor (kg CO2 - e / GJ) CO2]), 0)</f>
        <v>67</v>
      </c>
      <c r="I34" s="229" cm="1">
        <f t="array" ref="I34">IFERROR(_xlfn.XLOOKUP(1, (Table_Fuel_EFs_Transport[Fuel combusted]=$E34)*(Table_Fuel_EFs_Transport[Transport type]=$D$34), Table_Fuel_EFs_Transport[Scope 1 Emission Factor (kg CO2 - e / GJ) CH4]), 0)</f>
        <v>0.06</v>
      </c>
      <c r="J34" s="229" cm="1">
        <f t="array" ref="J34">IFERROR(_xlfn.XLOOKUP(1, (Table_Fuel_EFs_Transport[Fuel combusted]=$E34)*(Table_Fuel_EFs_Transport[Transport type]=$D$34), Table_Fuel_EFs_Transport[Scope 1 Emission Factor (kg CO2 - e / GJ) N2O]), 0)</f>
        <v>0.6</v>
      </c>
      <c r="K34" s="229" cm="1">
        <f t="array" ref="K34">IFERROR(_xlfn.XLOOKUP(1, (Table_Fuel_EFs_Transport[Fuel combusted]=$E34)*(Table_Fuel_EFs_Transport[Transport type]=$D$25), Table_Fuel_EFs_Transport[Scope 3 Emission Factor (kg CO2 - e / GJ)]), 0)</f>
        <v>0</v>
      </c>
      <c r="L34" s="226" cm="1">
        <f t="array" ref="L34">Fuel_InputFunctions.Fuel_TotalConsumption(Table_Input_Fuel[Amount consumed], Table_Input_Fuel[Fuel use (select)], D34, Table_Input_Fuel[Fuel type (select)],F34)</f>
        <v>0</v>
      </c>
      <c r="M34" s="226" t="str" cm="1">
        <f t="array" ref="M34">Common_InputFunctions.Utility_LookupValueInTable(F34,Table_FuelTypes_Units[Fuel type],Table_FuelTypes_Units[Unit])</f>
        <v>kL</v>
      </c>
      <c r="N34" s="227" cm="1">
        <f t="array" ref="N34">Fuel_Equations.VEERG_8_1_1_1__1_FuelCombustionTransport($L34,$G34,$H34)</f>
        <v>0</v>
      </c>
      <c r="O34" s="227" cm="1">
        <f t="array" ref="O34">Fuel_Equations.VEERG_8_1_1_1__1_FuelCombustionTransport($L34,$G34,$I34)</f>
        <v>0</v>
      </c>
      <c r="P34" s="227" cm="1">
        <f t="array" ref="P34">Fuel_Equations.VEERG_8_1_1_1__1_FuelCombustionTransport($L34,$G34,$J34)</f>
        <v>0</v>
      </c>
      <c r="Q34" s="227" cm="1">
        <f t="array" ref="Q34">Scope3_Equations.VEERG_15_11_1_1__2_UpstreamTransportFuelEmissions(L34,G34,K34)</f>
        <v>0</v>
      </c>
    </row>
    <row r="35" spans="1:17" ht="20.100000000000001" customHeight="1" x14ac:dyDescent="0.25">
      <c r="A35" s="5" t="str">
        <f>HYPERLINK("#'5.5.1.1-2 Leaching and runoff'!A1", "5.5.1.1-2 Leaching &amp; runoff")</f>
        <v>5.5.1.1-2 Leaching &amp; runoff</v>
      </c>
      <c r="D35" s="218" t="str">
        <f>$D$34</f>
        <v>Aviation</v>
      </c>
      <c r="E35" s="216" t="str">
        <f>'Constants - Fuel'!$E$29</f>
        <v>Kerosene for use as fuel in an aircraft</v>
      </c>
      <c r="F35" s="216"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5" cm="1">
        <f t="array" ref="L35">Fuel_InputFunctions.Fuel_TotalConsumption(Table_Input_Fuel[Amount consumed], Table_Input_Fuel[Fuel use (select)], D35, Table_Input_Fuel[Fuel type (select)],F35)</f>
        <v>0</v>
      </c>
      <c r="M35" s="195" t="str" cm="1">
        <f t="array" ref="M35">Common_InputFunctions.Utility_LookupValueInTable(F35,Table_FuelTypes_Units[Fuel type],Table_FuelTypes_Units[Unit])</f>
        <v>kL</v>
      </c>
      <c r="N35" s="217" cm="1">
        <f t="array" ref="N35">Fuel_Equations.VEERG_8_1_1_1__1_FuelCombustionTransport($L35,$G35,$H35)</f>
        <v>0</v>
      </c>
      <c r="O35" s="217" cm="1">
        <f t="array" ref="O35">Fuel_Equations.VEERG_8_1_1_1__1_FuelCombustionTransport($L35,$G35,$I35)</f>
        <v>0</v>
      </c>
      <c r="P35" s="217" cm="1">
        <f t="array" ref="P35">Fuel_Equations.VEERG_8_1_1_1__1_FuelCombustionTransport($L35,$G35,$J35)</f>
        <v>0</v>
      </c>
      <c r="Q35" s="217" cm="1">
        <f t="array" ref="Q35">Scope3_Equations.VEERG_15_11_1_1__2_UpstreamTransportFuelEmissions(L35,G35,K35)</f>
        <v>0</v>
      </c>
    </row>
    <row r="36" spans="1:17" ht="20.100000000000001" customHeight="1" x14ac:dyDescent="0.25">
      <c r="A36" s="5" t="str">
        <f>HYPERLINK("#'6.2.1.1-2 Pasture residue N2O'!A1", "6.2.1.1-2 Pasture residue N2O")</f>
        <v>6.2.1.1-2 Pasture residue N2O</v>
      </c>
      <c r="D36" s="218" t="str">
        <f>$D$34</f>
        <v>Aviation</v>
      </c>
      <c r="E36" s="216" t="str">
        <f>'Constants - Fuel'!$E$30</f>
        <v>Renewable aviation kerosene</v>
      </c>
      <c r="F36" s="216" t="str">
        <f>'Constants - Fuel'!$F$133</f>
        <v>Renewable aviation kerosene</v>
      </c>
      <c r="G36" s="214" cm="1">
        <f t="array" ref="G36">IFERROR(_xlfn.XLOOKUP(1, (Table_Fuel_EFs_Transport[Fuel combusted]=$E36)*(Table_Fuel_EFs_Transport[Transport type]=$D$34), Table_Fuel_EFs_Transport[Energy Content Factor (GJ per unit of fuel)]), 0)</f>
        <v>36.799999999999997</v>
      </c>
      <c r="H36" s="214" cm="1">
        <f t="array" ref="H36">IFERROR(_xlfn.XLOOKUP(1, (Table_Fuel_EFs_Transport[Fuel combusted]=$E36)*(Table_Fuel_EFs_Transport[Transport type]=$D$34), Table_Fuel_EFs_Transport[Scope 1 Emission Factor (kg CO2 - e / GJ) CO2]), 0)</f>
        <v>0</v>
      </c>
      <c r="I36" s="214" cm="1">
        <f t="array" ref="I36">IFERROR(_xlfn.XLOOKUP(1, (Table_Fuel_EFs_Transport[Fuel combusted]=$E36)*(Table_Fuel_EFs_Transport[Transport type]=$D$34), Table_Fuel_EFs_Transport[Scope 1 Emission Factor (kg CO2 - e / GJ) CH4]), 0)</f>
        <v>0.01</v>
      </c>
      <c r="J36" s="214" cm="1">
        <f t="array" ref="J36">IFERROR(_xlfn.XLOOKUP(1, (Table_Fuel_EFs_Transport[Fuel combusted]=$E36)*(Table_Fuel_EFs_Transport[Transport type]=$D$34), Table_Fuel_EFs_Transport[Scope 1 Emission Factor (kg CO2 - e / GJ) N2O]), 0)</f>
        <v>0.6</v>
      </c>
      <c r="K36" s="214" cm="1">
        <f t="array" ref="K36">IFERROR(_xlfn.XLOOKUP(1, (Table_Fuel_EFs_Transport[Fuel combusted]=$E36)*(Table_Fuel_EFs_Transport[Transport type]=$D$25), Table_Fuel_EFs_Transport[Scope 3 Emission Factor (kg CO2 - e / GJ)]), 0)</f>
        <v>0</v>
      </c>
      <c r="L36" s="219" cm="1">
        <f t="array" ref="L36">Fuel_InputFunctions.Fuel_TotalConsumption(Table_Input_Fuel[Amount consumed], Table_Input_Fuel[Fuel use (select)], D36, Table_Input_Fuel[Fuel type (select)],F36)</f>
        <v>0</v>
      </c>
      <c r="M36" s="195" t="str" cm="1">
        <f t="array" ref="M36">Common_InputFunctions.Utility_LookupValueInTable(F36,Table_FuelTypes_Units[Fuel type],Table_FuelTypes_Units[Unit])</f>
        <v>kL</v>
      </c>
      <c r="N36" s="217" cm="1">
        <f t="array" ref="N36">Fuel_Equations.VEERG_8_1_1_1__1_FuelCombustionTransport($L36,$G36,$H36)</f>
        <v>0</v>
      </c>
      <c r="O36" s="217" cm="1">
        <f t="array" ref="O36">Fuel_Equations.VEERG_8_1_1_1__1_FuelCombustionTransport($L36,$G36,$I36)</f>
        <v>0</v>
      </c>
      <c r="P36" s="217" cm="1">
        <f t="array" ref="P36">Fuel_Equations.VEERG_8_1_1_1__1_FuelCombustionTransport($L36,$G36,$J36)</f>
        <v>0</v>
      </c>
      <c r="Q36" s="220" cm="1">
        <f t="array" ref="Q36">Scope3_Equations.VEERG_15_11_1_1__2_UpstreamTransportFuelEmissions(L36,G36,K36)</f>
        <v>0</v>
      </c>
    </row>
    <row r="37" spans="1:17" ht="20.100000000000001" customHeight="1" x14ac:dyDescent="0.25">
      <c r="A37" s="5" t="str">
        <f>HYPERLINK("#'6.3.1.1-2 Leach runoff pasture'!A1", "6.3.1.1-2 Leach &amp; runoff (pasture)")</f>
        <v>6.3.1.1-2 Leach &amp; runoff (pasture)</v>
      </c>
      <c r="D37" s="221" t="str">
        <f>Table_FuelTypesPerUse[[#Headers],[Vessels]]</f>
        <v>Vessels</v>
      </c>
      <c r="E37" s="222" t="str">
        <f>'Constants - Fuel'!$E$10</f>
        <v>Gasoline</v>
      </c>
      <c r="F37" s="222" t="str">
        <f>'Constants - Fuel'!$I$131</f>
        <v>Petrol</v>
      </c>
      <c r="G37" s="229" cm="1">
        <f t="array" ref="G37">IFERROR(_xlfn.XLOOKUP(1, (Table_Fuel_EFs_Transport[Fuel combusted]=$E37)*(Table_Fuel_EFs_Transport[Transport type]=$D$37), Table_Fuel_EFs_Transport[Energy Content Factor (GJ per unit of fuel)]), 0)</f>
        <v>34.200000000000003</v>
      </c>
      <c r="H37" s="229" cm="1">
        <f t="array" ref="H37">IFERROR(_xlfn.XLOOKUP(1, (Table_Fuel_EFs_Transport[Fuel combusted]=$E37)*(Table_Fuel_EFs_Transport[Transport type]=$D$37), Table_Fuel_EFs_Transport[Scope 1 Emission Factor (kg CO2 - e / GJ) CO2]), 0)</f>
        <v>67.400000000000006</v>
      </c>
      <c r="I37" s="229" cm="1">
        <f t="array" ref="I37">IFERROR(_xlfn.XLOOKUP(1, (Table_Fuel_EFs_Transport[Fuel combusted]=$E37)*(Table_Fuel_EFs_Transport[Transport type]=$D$37), Table_Fuel_EFs_Transport[Scope 1 Emission Factor (kg CO2 - e / GJ) CH4]), 0)</f>
        <v>10.1</v>
      </c>
      <c r="J37" s="229" cm="1">
        <f t="array" ref="J37">IFERROR(_xlfn.XLOOKUP(1, (Table_Fuel_EFs_Transport[Fuel combusted]=$E37)*(Table_Fuel_EFs_Transport[Transport type]=$D$37), Table_Fuel_EFs_Transport[Scope 1 Emission Factor (kg CO2 - e / GJ) N2O]), 0)</f>
        <v>0.3</v>
      </c>
      <c r="K37" s="229" cm="1">
        <f t="array" ref="K37">IFERROR(_xlfn.XLOOKUP(1, (Table_Fuel_EFs_Transport[Fuel combusted]=$E37)*(Table_Fuel_EFs_Transport[Transport type]=$D$25), Table_Fuel_EFs_Transport[Scope 3 Emission Factor (kg CO2 - e / GJ)]), 0)</f>
        <v>17.2</v>
      </c>
      <c r="L37" s="226" cm="1">
        <f t="array" ref="L37">Fuel_InputFunctions.Fuel_TotalConsumption(Table_Input_Fuel[Amount consumed], Table_Input_Fuel[Fuel use (select)], D37, Table_Input_Fuel[Fuel type (select)],F37)</f>
        <v>0</v>
      </c>
      <c r="M37" s="230" t="str" cm="1">
        <f t="array" ref="M37">Common_InputFunctions.Utility_LookupValueInTable(F37,Table_FuelTypes_Units[Fuel type],Table_FuelTypes_Units[Unit])</f>
        <v>kL</v>
      </c>
      <c r="N37" s="227" cm="1">
        <f t="array" ref="N37">Fuel_Equations.VEERG_8_1_1_1__1_FuelCombustionTransport($L37,$G37,$H37)</f>
        <v>0</v>
      </c>
      <c r="O37" s="227" cm="1">
        <f t="array" ref="O37">Fuel_Equations.VEERG_8_1_1_1__1_FuelCombustionTransport($L37,$G37,$I37)</f>
        <v>0</v>
      </c>
      <c r="P37" s="227" cm="1">
        <f t="array" ref="P37">Fuel_Equations.VEERG_8_1_1_1__1_FuelCombustionTransport($L37,$G37,$J37)</f>
        <v>0</v>
      </c>
      <c r="Q37" s="227" cm="1">
        <f t="array" ref="Q37">Scope3_Equations.VEERG_15_11_1_1__2_UpstreamTransportFuelEmissions(L37,G37,K37)</f>
        <v>0</v>
      </c>
    </row>
    <row r="38" spans="1:17" ht="20.100000000000001" customHeight="1" x14ac:dyDescent="0.25">
      <c r="A38" s="119" t="str">
        <f>HYPERLINK("#'8.1.1.1-2 Transport fuel'!A1", "8.1.1.1-2 Transport fuel")</f>
        <v>8.1.1.1-2 Transport fuel</v>
      </c>
      <c r="D38" s="218" t="str">
        <f>$D$37</f>
        <v>Vessels</v>
      </c>
      <c r="E38" s="216" t="str">
        <f>'Constants - Fuel'!$E$11</f>
        <v>Diesel oil</v>
      </c>
      <c r="F38" s="216"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5" cm="1">
        <f t="array" ref="L38">Fuel_InputFunctions.Fuel_TotalConsumption(Table_Input_Fuel[Amount consumed], Table_Input_Fuel[Fuel use (select)], D38, Table_Input_Fuel[Fuel type (select)],F38)</f>
        <v>0</v>
      </c>
      <c r="M38" s="195" t="str" cm="1">
        <f t="array" ref="M38">Common_InputFunctions.Utility_LookupValueInTable(F38,Table_FuelTypes_Units[Fuel type],Table_FuelTypes_Units[Unit])</f>
        <v>kL</v>
      </c>
      <c r="N38" s="217" cm="1">
        <f t="array" ref="N38">Fuel_Equations.VEERG_8_1_1_1__1_FuelCombustionTransport($L38,$G38,$H38)</f>
        <v>0</v>
      </c>
      <c r="O38" s="217" cm="1">
        <f t="array" ref="O38">Fuel_Equations.VEERG_8_1_1_1__1_FuelCombustionTransport($L38,$G38,$I38)</f>
        <v>0</v>
      </c>
      <c r="P38" s="217" cm="1">
        <f t="array" ref="P38">Fuel_Equations.VEERG_8_1_1_1__1_FuelCombustionTransport($L38,$G38,$J38)</f>
        <v>0</v>
      </c>
      <c r="Q38" s="217" cm="1">
        <f t="array" ref="Q38">Scope3_Equations.VEERG_15_11_1_1__2_UpstreamTransportFuelEmissions(L38,G38,K38)</f>
        <v>0</v>
      </c>
    </row>
    <row r="39" spans="1:17" ht="20.100000000000001" customHeight="1" x14ac:dyDescent="0.25">
      <c r="A39" s="5" t="str">
        <f>HYPERLINK("#'8.2.1.1-2 Stationary fuel'!A1", "8.2.1.1-2 Stationary fuel")</f>
        <v>8.2.1.1-2 Stationary fuel</v>
      </c>
      <c r="D39" s="218" t="str">
        <f>$D$37</f>
        <v>Vessels</v>
      </c>
      <c r="E39" s="216" t="str">
        <f>'Constants - Fuel'!E33</f>
        <v>Fuel Oil</v>
      </c>
      <c r="F39" s="216"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5" cm="1">
        <f t="array" ref="L39">Fuel_InputFunctions.Fuel_TotalConsumption(Table_Input_Fuel[Amount consumed], Table_Input_Fuel[Fuel use (select)], D39, Table_Input_Fuel[Fuel type (select)],F39)</f>
        <v>10</v>
      </c>
      <c r="M39" s="195" t="str" cm="1">
        <f t="array" ref="M39">Common_InputFunctions.Utility_LookupValueInTable(F39,Table_FuelTypes_Units[Fuel type],Table_FuelTypes_Units[Unit])</f>
        <v>kL</v>
      </c>
      <c r="N39" s="217" cm="1">
        <f t="array" ref="N39">Fuel_Equations.VEERG_8_1_1_1__1_FuelCombustionTransport($L39,$G39,$H39)</f>
        <v>29.219199999999997</v>
      </c>
      <c r="O39" s="217" cm="1">
        <f t="array" ref="O39">Fuel_Equations.VEERG_8_1_1_1__1_FuelCombustionTransport($L39,$G39,$I39)</f>
        <v>7.9400000000000012E-2</v>
      </c>
      <c r="P39" s="217" cm="1">
        <f t="array" ref="P39">Fuel_Equations.VEERG_8_1_1_1__1_FuelCombustionTransport($L39,$G39,$J39)</f>
        <v>0.19850000000000001</v>
      </c>
      <c r="Q39" s="217" cm="1">
        <f t="array" ref="Q39">Scope3_Equations.VEERG_15_11_1_1__2_UpstreamTransportFuelEmissions(L39,G39,K39)</f>
        <v>7.1459999999999999</v>
      </c>
    </row>
    <row r="40" spans="1:17" ht="20.100000000000001" customHeight="1" x14ac:dyDescent="0.25">
      <c r="A40" s="5" t="str">
        <f>HYPERLINK("#'14.1.1-2 Purchased electricity'!A1", "14.1.1-2 Purchased electricity")</f>
        <v>14.1.1-2 Purchased electricity</v>
      </c>
      <c r="H40" s="192"/>
      <c r="I40" s="192"/>
      <c r="J40" s="192"/>
      <c r="L40" s="192"/>
      <c r="M40" s="192"/>
      <c r="N40" s="192"/>
      <c r="O40" s="192"/>
      <c r="P40" s="192"/>
      <c r="Q40" s="192"/>
    </row>
    <row r="41" spans="1:17" ht="20.100000000000001" customHeight="1" x14ac:dyDescent="0.25">
      <c r="A41" s="5" t="str">
        <f>HYPERLINK("#'15 Scope 3'!A1", "15 Scope 3")</f>
        <v>15 Scope 3</v>
      </c>
      <c r="H41" s="192"/>
      <c r="I41" s="192"/>
      <c r="J41" s="192"/>
      <c r="L41" s="192"/>
      <c r="M41" s="192"/>
      <c r="N41" s="192"/>
      <c r="O41" s="192"/>
      <c r="P41" s="192"/>
      <c r="Q41" s="192"/>
    </row>
    <row r="42" spans="1:17" ht="20.100000000000001" customHeight="1" x14ac:dyDescent="0.25">
      <c r="A42" s="5" t="str">
        <f>HYPERLINK("#'Calcs - Manure sent off-site'!A1", "Calcs - Manure sent off-site")</f>
        <v>Calcs - Manure sent off-site</v>
      </c>
      <c r="D42" s="231" t="str">
        <f>"Total scope 1 - " &amp; D25</f>
        <v>Total scope 1 - Cars and light commercial vehicles</v>
      </c>
      <c r="E42" s="232"/>
      <c r="F42" s="233"/>
    </row>
    <row r="43" spans="1:17" ht="20.100000000000001" customHeight="1" x14ac:dyDescent="0.25">
      <c r="A43" s="5" t="str">
        <f>HYPERLINK("#'4.3.1.1-2 Methane'!A1", "4.3.1.1-2 Methane")</f>
        <v>4.3.1.1-2 Methane</v>
      </c>
      <c r="D43" s="34" t="s">
        <v>820</v>
      </c>
      <c r="E43" s="234">
        <f>SUM(N25:N32)+N("Partial sum")</f>
        <v>26.981400000000001</v>
      </c>
      <c r="F43" s="26" t="str">
        <f>$E$12</f>
        <v>t CO2-e</v>
      </c>
    </row>
    <row r="44" spans="1:17" ht="20.100000000000001" customHeight="1" x14ac:dyDescent="0.25">
      <c r="A44" s="5" t="str">
        <f>HYPERLINK("#'4.3.1.3-4 Direct N20'!A1", "4.3.1.3-4 Direct N20")</f>
        <v>4.3.1.3-4 Direct N20</v>
      </c>
      <c r="D44" s="34" t="s">
        <v>821</v>
      </c>
      <c r="E44" s="234">
        <f>SUM(O25:O32)+N("Partial sum")</f>
        <v>3.8600000000000001E-3</v>
      </c>
      <c r="F44" s="26" t="str">
        <f t="shared" ref="F44:F46" si="1">$E$12</f>
        <v>t CO2-e</v>
      </c>
    </row>
    <row r="45" spans="1:17" ht="20.100000000000001" customHeight="1" x14ac:dyDescent="0.25">
      <c r="A45" s="5" t="str">
        <f>HYPERLINK("#'4.3.1.5 Atmos deposition'!A1", "4.3.1.5 Atmos deposition")</f>
        <v>4.3.1.5 Atmos deposition</v>
      </c>
      <c r="D45" s="34" t="s">
        <v>822</v>
      </c>
      <c r="E45" s="234">
        <f>SUM(P25:P32)+N("Partial sum")</f>
        <v>0.193</v>
      </c>
      <c r="F45" s="26" t="str">
        <f t="shared" si="1"/>
        <v>t CO2-e</v>
      </c>
    </row>
    <row r="46" spans="1:17" ht="20.100000000000001" customHeight="1" x14ac:dyDescent="0.25">
      <c r="A46" s="5" t="str">
        <f>HYPERLINK("#'4.3.1.6-7 Leaching and runoff'!A1", "4.3.1.6-7 Leaching and runoff")</f>
        <v>4.3.1.6-7 Leaching and runoff</v>
      </c>
      <c r="D46" s="34" t="s">
        <v>823</v>
      </c>
      <c r="E46" s="234">
        <f>SUM(Q25:Q32)+N("Partial sum")</f>
        <v>6.6778000000000004</v>
      </c>
      <c r="F46" s="26" t="str">
        <f t="shared" si="1"/>
        <v>t CO2-e</v>
      </c>
    </row>
    <row r="47" spans="1:17" ht="20.100000000000001" customHeight="1" x14ac:dyDescent="0.25">
      <c r="A47" s="5" t="str">
        <f>HYPERLINK("#'4.3.1.8 Manure applied to soils'!A1", "4.3.1.8 Manure applied to soils")</f>
        <v>4.3.1.8 Manure applied to soils</v>
      </c>
      <c r="D47" s="192"/>
      <c r="E47" s="192"/>
      <c r="F47" s="192"/>
    </row>
    <row r="48" spans="1:17" ht="20.100000000000001" customHeight="1" x14ac:dyDescent="0.25">
      <c r="A48" s="5" t="str">
        <f>HYPERLINK("#'4.3.1.9 Soil direct N2O'!A1", "4.3.1.9 Soil direct N2O")</f>
        <v>4.3.1.9 Soil direct N2O</v>
      </c>
      <c r="D48" s="231" t="str">
        <f>"Total scope 1 - " &amp; D33</f>
        <v>Total scope 1 - Off-road Agriculture and forestry equipment</v>
      </c>
      <c r="E48" s="235"/>
      <c r="F48" s="233"/>
      <c r="H48" s="192"/>
      <c r="I48" s="192"/>
      <c r="J48" s="192"/>
      <c r="L48" s="192"/>
      <c r="M48" s="192"/>
      <c r="N48" s="192"/>
      <c r="O48" s="192"/>
      <c r="P48" s="192"/>
      <c r="Q48" s="192"/>
    </row>
    <row r="49" spans="1:17" ht="20.100000000000001" customHeight="1" x14ac:dyDescent="0.25">
      <c r="A49" s="5" t="str">
        <f>HYPERLINK("#'4.3.1.10-11 Soil Atmos Dep'!A1", "4.3.1.10-11 Soil Atmos Dep")</f>
        <v>4.3.1.10-11 Soil Atmos Dep</v>
      </c>
      <c r="D49" s="34" t="s">
        <v>820</v>
      </c>
      <c r="E49" s="234">
        <f>SUM(N33:N33)+N("Partial sum")</f>
        <v>26.981400000000001</v>
      </c>
      <c r="F49" s="26" t="str">
        <f t="shared" ref="F49:F52" si="2">$E$12</f>
        <v>t CO2-e</v>
      </c>
      <c r="H49" s="192"/>
      <c r="I49" s="192"/>
      <c r="J49" s="192"/>
      <c r="L49" s="192"/>
      <c r="M49" s="192"/>
      <c r="N49" s="192"/>
      <c r="O49" s="192"/>
      <c r="P49" s="192"/>
      <c r="Q49" s="192"/>
    </row>
    <row r="50" spans="1:17" ht="20.100000000000001" customHeight="1" x14ac:dyDescent="0.25">
      <c r="A50" s="5" t="str">
        <f>HYPERLINK("#'4.3.1.12-13 Soil leach runoff'!A1", "4.3.1.12-13 Soil leach runoff")</f>
        <v>4.3.1.12-13 Soil leach runoff</v>
      </c>
      <c r="D50" s="34" t="s">
        <v>821</v>
      </c>
      <c r="E50" s="234">
        <f>SUM(O33:O33)+N("Partial sum")</f>
        <v>0.1158</v>
      </c>
      <c r="F50" s="26" t="str">
        <f t="shared" si="2"/>
        <v>t CO2-e</v>
      </c>
      <c r="H50" s="192"/>
      <c r="I50" s="192"/>
      <c r="J50" s="192"/>
      <c r="L50" s="192"/>
      <c r="M50" s="192"/>
      <c r="N50" s="192"/>
      <c r="O50" s="192"/>
      <c r="P50" s="192"/>
      <c r="Q50" s="192"/>
    </row>
    <row r="51" spans="1:17" ht="20.100000000000001" customHeight="1" x14ac:dyDescent="0.25">
      <c r="A51" s="5" t="str">
        <f>HYPERLINK("#'3.3.1.1-2 Enteric Methane'!A1", "3.3.1.1-2 Enteric Methane")</f>
        <v>3.3.1.1-2 Enteric Methane</v>
      </c>
      <c r="D51" s="34" t="s">
        <v>822</v>
      </c>
      <c r="E51" s="234">
        <f>SUM(P33:P33)+N("Partial sum")</f>
        <v>0.193</v>
      </c>
      <c r="F51" s="26" t="str">
        <f t="shared" si="2"/>
        <v>t CO2-e</v>
      </c>
      <c r="H51" s="192"/>
      <c r="I51" s="192"/>
      <c r="J51" s="192"/>
      <c r="L51" s="192"/>
      <c r="M51" s="192"/>
      <c r="N51" s="192"/>
      <c r="O51" s="192"/>
      <c r="P51" s="192"/>
      <c r="Q51" s="192"/>
    </row>
    <row r="52" spans="1:17" ht="20.100000000000001" customHeight="1" x14ac:dyDescent="0.25">
      <c r="A52" s="5" t="str">
        <f>HYPERLINK("#'10.1.1-2 Solid waste treatment'!A1", "10.1.1-2 Solid waste treatment")</f>
        <v>10.1.1-2 Solid waste treatment</v>
      </c>
      <c r="D52" s="34" t="s">
        <v>823</v>
      </c>
      <c r="E52" s="234">
        <f>SUM(Q33)+N("Partial sum")</f>
        <v>6.6778000000000004</v>
      </c>
      <c r="F52" s="26" t="str">
        <f t="shared" si="2"/>
        <v>t CO2-e</v>
      </c>
      <c r="H52" s="192"/>
      <c r="I52" s="192"/>
      <c r="J52" s="192"/>
      <c r="L52" s="192"/>
      <c r="M52" s="192"/>
      <c r="N52" s="192"/>
      <c r="O52" s="192"/>
      <c r="P52" s="192"/>
      <c r="Q52" s="192"/>
    </row>
    <row r="53" spans="1:17" ht="20.100000000000001" customHeight="1" x14ac:dyDescent="0.25">
      <c r="D53" s="192"/>
      <c r="E53" s="236"/>
      <c r="F53" s="192"/>
      <c r="G53" s="192"/>
      <c r="H53" s="192"/>
      <c r="I53" s="192"/>
      <c r="J53" s="192"/>
      <c r="L53" s="192"/>
      <c r="M53" s="192"/>
      <c r="N53" s="192"/>
      <c r="O53" s="192"/>
      <c r="P53" s="192"/>
      <c r="Q53" s="192"/>
    </row>
    <row r="54" spans="1:17" ht="20.100000000000001" customHeight="1" x14ac:dyDescent="0.25">
      <c r="D54" s="231" t="str">
        <f>"Total scope 1 - " &amp; D34</f>
        <v>Total scope 1 - Aviation</v>
      </c>
      <c r="E54" s="235"/>
      <c r="F54" s="233"/>
      <c r="G54" s="192"/>
      <c r="H54" s="192"/>
      <c r="I54" s="192"/>
      <c r="J54" s="192"/>
      <c r="L54" s="192"/>
      <c r="M54" s="192"/>
      <c r="N54" s="192"/>
      <c r="O54" s="192"/>
      <c r="P54" s="192"/>
      <c r="Q54" s="192"/>
    </row>
    <row r="55" spans="1:17" ht="20.100000000000001" customHeight="1" x14ac:dyDescent="0.25">
      <c r="A55" s="100" t="s">
        <v>1</v>
      </c>
      <c r="D55" s="34" t="s">
        <v>820</v>
      </c>
      <c r="E55" s="234">
        <f>SUM(N34:N36)+N("Partial sum")</f>
        <v>0</v>
      </c>
      <c r="F55" s="26" t="str">
        <f t="shared" ref="F55:F58" si="3">$E$12</f>
        <v>t CO2-e</v>
      </c>
      <c r="G55" s="192"/>
      <c r="H55" s="192"/>
      <c r="I55" s="192"/>
      <c r="J55" s="192"/>
      <c r="L55" s="192"/>
      <c r="M55" s="192"/>
      <c r="N55" s="192"/>
      <c r="O55" s="192"/>
      <c r="P55" s="192"/>
      <c r="Q55" s="192"/>
    </row>
    <row r="56" spans="1:17" ht="20.100000000000001" customHeight="1" x14ac:dyDescent="0.25">
      <c r="A56" s="5" t="str">
        <f>HYPERLINK("#'Constants - Dairy'!A1", "Constants - Dairy")</f>
        <v>Constants - Dairy</v>
      </c>
      <c r="D56" s="34" t="s">
        <v>821</v>
      </c>
      <c r="E56" s="234">
        <f>SUM(O34:O36)+N("Partial sum")</f>
        <v>0</v>
      </c>
      <c r="F56" s="26" t="str">
        <f t="shared" si="3"/>
        <v>t CO2-e</v>
      </c>
      <c r="G56" s="192"/>
      <c r="H56" s="192"/>
      <c r="I56" s="192"/>
      <c r="J56" s="192"/>
      <c r="L56" s="192"/>
      <c r="M56" s="192"/>
      <c r="N56" s="192"/>
      <c r="O56" s="192"/>
      <c r="P56" s="192"/>
      <c r="Q56" s="192"/>
    </row>
    <row r="57" spans="1:17" ht="20.100000000000001" customHeight="1" x14ac:dyDescent="0.25">
      <c r="A57" s="5" t="str">
        <f>HYPERLINK("#'Constants - Ag Residue'!A1", "Constants - Ag residue")</f>
        <v>Constants - Ag residue</v>
      </c>
      <c r="D57" s="34" t="s">
        <v>822</v>
      </c>
      <c r="E57" s="234">
        <f>SUM(P34:P36)+N("Partial sum")</f>
        <v>0</v>
      </c>
      <c r="F57" s="26" t="str">
        <f t="shared" si="3"/>
        <v>t CO2-e</v>
      </c>
      <c r="G57" s="192"/>
      <c r="H57" s="192"/>
      <c r="I57" s="192"/>
      <c r="J57" s="192"/>
      <c r="L57" s="192"/>
      <c r="M57" s="192"/>
      <c r="N57" s="192"/>
      <c r="O57" s="192"/>
      <c r="P57" s="192"/>
      <c r="Q57" s="192"/>
    </row>
    <row r="58" spans="1:17" ht="20.100000000000001" customHeight="1" x14ac:dyDescent="0.25">
      <c r="A58" s="5" t="str">
        <f>HYPERLINK("#'Constants - Common Livestock'!A1", "Constants - Common Livestock")</f>
        <v>Constants - Common Livestock</v>
      </c>
      <c r="D58" s="34" t="s">
        <v>823</v>
      </c>
      <c r="E58" s="234">
        <f>SUM(Q34:Q36)+N("Partial sum")</f>
        <v>0</v>
      </c>
      <c r="F58" s="26" t="str">
        <f t="shared" si="3"/>
        <v>t CO2-e</v>
      </c>
      <c r="G58" s="192"/>
      <c r="H58" s="192"/>
      <c r="I58" s="192"/>
      <c r="J58" s="192"/>
      <c r="L58" s="192"/>
      <c r="M58" s="192"/>
      <c r="N58" s="192"/>
      <c r="O58" s="192"/>
      <c r="P58" s="192"/>
      <c r="Q58" s="192"/>
    </row>
    <row r="59" spans="1:17" ht="20.100000000000001" customHeight="1" x14ac:dyDescent="0.25">
      <c r="A59" s="5" t="str">
        <f>HYPERLINK("#'Constants - Electricity'!A1", "Constants - Electricity")</f>
        <v>Constants - Electricity</v>
      </c>
      <c r="D59" s="192"/>
      <c r="E59" s="236"/>
      <c r="F59" s="192"/>
      <c r="G59" s="192"/>
      <c r="H59" s="192"/>
      <c r="I59" s="192"/>
      <c r="J59" s="192"/>
      <c r="L59" s="192"/>
      <c r="M59" s="192"/>
      <c r="N59" s="192"/>
      <c r="O59" s="192"/>
      <c r="P59" s="192"/>
      <c r="Q59" s="192"/>
    </row>
    <row r="60" spans="1:17" ht="20.100000000000001" customHeight="1" x14ac:dyDescent="0.25">
      <c r="A60" s="5" t="str">
        <f>HYPERLINK("#'Constants - Fertiliser'!A1", "Constants - Fertiliser")</f>
        <v>Constants - Fertiliser</v>
      </c>
      <c r="D60" s="231" t="str">
        <f>"Total scope 1 - " &amp; D37</f>
        <v>Total scope 1 - Vessels</v>
      </c>
      <c r="E60" s="235"/>
      <c r="F60" s="233"/>
      <c r="G60" s="192"/>
      <c r="H60" s="192"/>
      <c r="I60" s="192"/>
      <c r="J60" s="192"/>
      <c r="L60" s="192"/>
      <c r="M60" s="192"/>
      <c r="N60" s="192"/>
      <c r="O60" s="192"/>
      <c r="P60" s="192"/>
      <c r="Q60" s="192"/>
    </row>
    <row r="61" spans="1:17" ht="20.100000000000001" customHeight="1" x14ac:dyDescent="0.25">
      <c r="A61" s="5" t="str">
        <f>HYPERLINK("#'Constants - Fuel'!A1", "Constants - Fuel")</f>
        <v>Constants - Fuel</v>
      </c>
      <c r="D61" s="34" t="s">
        <v>820</v>
      </c>
      <c r="E61" s="234">
        <f>SUM(N37:N39)+N("Partial sum")</f>
        <v>29.219199999999997</v>
      </c>
      <c r="F61" s="26" t="str">
        <f t="shared" ref="F61:F64" si="4">$E$12</f>
        <v>t CO2-e</v>
      </c>
      <c r="G61" s="192"/>
      <c r="H61" s="192"/>
      <c r="I61" s="192"/>
      <c r="J61" s="192"/>
      <c r="L61" s="192"/>
      <c r="M61" s="192"/>
      <c r="N61" s="192"/>
      <c r="O61" s="192"/>
      <c r="P61" s="192"/>
      <c r="Q61" s="192"/>
    </row>
    <row r="62" spans="1:17" ht="20.100000000000001" customHeight="1" x14ac:dyDescent="0.25">
      <c r="A62" s="5" t="str">
        <f>HYPERLINK("#'Constants - Scope 3'!A1", "Constants - Scope 3")</f>
        <v>Constants - Scope 3</v>
      </c>
      <c r="D62" s="34" t="s">
        <v>821</v>
      </c>
      <c r="E62" s="234">
        <f>SUM(O37:O39)+N("Partial sum")</f>
        <v>7.9400000000000012E-2</v>
      </c>
      <c r="F62" s="26" t="str">
        <f t="shared" si="4"/>
        <v>t CO2-e</v>
      </c>
      <c r="G62" s="192"/>
      <c r="H62" s="192"/>
      <c r="I62" s="192"/>
      <c r="J62" s="192"/>
      <c r="L62" s="192"/>
      <c r="M62" s="192"/>
      <c r="N62" s="192"/>
      <c r="O62" s="192"/>
      <c r="P62" s="192"/>
      <c r="Q62" s="192"/>
    </row>
    <row r="63" spans="1:17" ht="20.100000000000001" customHeight="1" x14ac:dyDescent="0.25">
      <c r="A63" s="5" t="str">
        <f>HYPERLINK("#'Constants - Common'!A1", "Constants - Common")</f>
        <v>Constants - Common</v>
      </c>
      <c r="D63" s="34" t="s">
        <v>822</v>
      </c>
      <c r="E63" s="234">
        <f>SUM(P37:P39)+N("Partial sum")</f>
        <v>0.19850000000000001</v>
      </c>
      <c r="F63" s="26" t="str">
        <f t="shared" si="4"/>
        <v>t CO2-e</v>
      </c>
      <c r="G63" s="192"/>
      <c r="H63" s="192"/>
      <c r="I63" s="192"/>
      <c r="J63" s="192"/>
      <c r="L63" s="192"/>
      <c r="M63" s="192"/>
      <c r="N63" s="192"/>
      <c r="O63" s="192"/>
      <c r="P63" s="192"/>
      <c r="Q63" s="192"/>
    </row>
    <row r="64" spans="1:17" ht="20.100000000000001" customHeight="1" x14ac:dyDescent="0.25">
      <c r="A64" s="5" t="str">
        <f>HYPERLINK("#'Acknowledgements'!A1", "Acknowledgements")</f>
        <v>Acknowledgements</v>
      </c>
      <c r="D64" s="34" t="s">
        <v>823</v>
      </c>
      <c r="E64" s="234">
        <f>SUM(Q37:Q39)+N("Partial sum")</f>
        <v>7.1459999999999999</v>
      </c>
      <c r="F64" s="26" t="str">
        <f t="shared" si="4"/>
        <v>t CO2-e</v>
      </c>
      <c r="G64" s="192"/>
      <c r="H64" s="192"/>
      <c r="I64" s="192"/>
      <c r="J64" s="192"/>
      <c r="L64" s="192"/>
      <c r="M64" s="192"/>
      <c r="N64" s="192"/>
      <c r="O64" s="192"/>
      <c r="P64" s="192"/>
      <c r="Q64" s="192"/>
    </row>
    <row r="65" spans="1:17" ht="20.100000000000001" customHeight="1" x14ac:dyDescent="0.25">
      <c r="A65" s="5" t="str">
        <f>HYPERLINK("#'Constants - Solid Waste'!A1", "Constants - Solid Waste")</f>
        <v>Constants - Solid Waste</v>
      </c>
      <c r="G65" s="192"/>
      <c r="H65" s="192"/>
      <c r="I65" s="192"/>
      <c r="J65" s="192"/>
      <c r="L65" s="192"/>
      <c r="M65" s="192"/>
      <c r="N65" s="192"/>
      <c r="O65" s="192"/>
      <c r="P65" s="192"/>
      <c r="Q65" s="192"/>
    </row>
    <row r="66" spans="1:17" ht="20.100000000000001" customHeight="1" x14ac:dyDescent="0.25">
      <c r="D66" s="231" t="s">
        <v>824</v>
      </c>
      <c r="E66" s="237"/>
      <c r="F66" s="233"/>
      <c r="G66" s="192"/>
      <c r="H66" s="192"/>
      <c r="I66" s="192"/>
      <c r="J66" s="192"/>
      <c r="L66" s="192"/>
      <c r="M66" s="192"/>
      <c r="N66" s="192"/>
      <c r="O66" s="192"/>
      <c r="P66" s="192"/>
      <c r="Q66" s="192"/>
    </row>
    <row r="67" spans="1:17" ht="20.100000000000001" customHeight="1" x14ac:dyDescent="0.25">
      <c r="D67" s="34" t="s">
        <v>820</v>
      </c>
      <c r="E67" s="234">
        <f>E43+E49+E55+E61</f>
        <v>83.182000000000002</v>
      </c>
      <c r="F67" s="26" t="str">
        <f t="shared" ref="F67:F70" si="5">$E$12</f>
        <v>t CO2-e</v>
      </c>
      <c r="G67" s="192"/>
    </row>
    <row r="68" spans="1:17" ht="20.100000000000001" customHeight="1" x14ac:dyDescent="0.25">
      <c r="D68" s="34" t="s">
        <v>821</v>
      </c>
      <c r="E68" s="234">
        <f t="shared" ref="E68:E70" si="6">E44+E50+E56+E62</f>
        <v>0.19906000000000001</v>
      </c>
      <c r="F68" s="26" t="str">
        <f t="shared" si="5"/>
        <v>t CO2-e</v>
      </c>
      <c r="G68" s="192"/>
    </row>
    <row r="69" spans="1:17" ht="20.100000000000001" customHeight="1" x14ac:dyDescent="0.25">
      <c r="D69" s="34" t="s">
        <v>822</v>
      </c>
      <c r="E69" s="234">
        <f t="shared" si="6"/>
        <v>0.58450000000000002</v>
      </c>
      <c r="F69" s="26" t="str">
        <f t="shared" si="5"/>
        <v>t CO2-e</v>
      </c>
      <c r="G69" s="192"/>
    </row>
    <row r="70" spans="1:17" ht="20.100000000000001" customHeight="1" x14ac:dyDescent="0.25">
      <c r="D70" s="34" t="s">
        <v>823</v>
      </c>
      <c r="E70" s="234">
        <f t="shared" si="6"/>
        <v>20.5016</v>
      </c>
      <c r="F70" s="26" t="str">
        <f t="shared" si="5"/>
        <v>t CO2-e</v>
      </c>
      <c r="G70" s="192"/>
    </row>
    <row r="71" spans="1:17" ht="20.100000000000001" customHeight="1" x14ac:dyDescent="0.25">
      <c r="G71" s="19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21EEFBCA-B82E-4E47-AA2A-97643A76BC7C}"/>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5BD81-CDC6-4F02-BBEA-FBC2583F2126}">
  <dimension ref="A1:R165"/>
  <sheetViews>
    <sheetView showGridLines="0" topLeftCell="A3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0" customFormat="1" ht="30" customHeight="1" x14ac:dyDescent="0.35">
      <c r="A1" s="16" t="e" vm="1">
        <v>#VALUE!</v>
      </c>
      <c r="C1" s="30" t="s">
        <v>825</v>
      </c>
    </row>
    <row r="2" spans="1:18" s="3" customFormat="1" ht="20.100000000000001" customHeight="1" x14ac:dyDescent="0.25">
      <c r="A2"/>
    </row>
    <row r="3" spans="1:18" ht="20.100000000000001" customHeight="1" x14ac:dyDescent="0.25">
      <c r="A3" s="5" t="str">
        <f>HYPERLINK("#'Home'!A1", "Home")</f>
        <v>Home</v>
      </c>
      <c r="C3" s="32"/>
      <c r="D3" s="32" t="s">
        <v>136</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92"/>
      <c r="P5" s="192"/>
      <c r="Q5" s="192"/>
      <c r="R5" s="192"/>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92"/>
      <c r="P6" s="192"/>
      <c r="Q6" s="192"/>
      <c r="R6" s="192"/>
    </row>
    <row r="7" spans="1:18" ht="20.100000000000001" customHeight="1" x14ac:dyDescent="0.25">
      <c r="D7" s="118" t="s">
        <v>262</v>
      </c>
      <c r="E7" s="118" t="str" cm="1">
        <f t="array" aca="1" ref="E7" ca="1">Common_InputFunctions.Utility_DisplayFunctionName(N25)</f>
        <v>=Fuel_Equations.VEERG_8_2_1_1__1_FuelCombustionStationary</v>
      </c>
      <c r="K7" s="35" t="str" cm="1">
        <f t="array" ref="K7">Scope3_Equations.VEERG_15_11_1_1__3_UpstreamStationaryFuelEmissions_Variation()</f>
        <v>VARIATION ON SOURCE: Added 'state' and 'metro/non-metro' arguments as gaseous scope 3 EFs are state and metro/non-metro location-based.</v>
      </c>
      <c r="O7" s="192"/>
      <c r="P7" s="192"/>
      <c r="Q7" s="192"/>
      <c r="R7" s="192"/>
    </row>
    <row r="8" spans="1:18" ht="20.100000000000001" customHeight="1" x14ac:dyDescent="0.25">
      <c r="A8" s="7" t="s">
        <v>0</v>
      </c>
      <c r="K8" s="118" t="s">
        <v>262</v>
      </c>
      <c r="L8" s="118" t="str" cm="1">
        <f t="array" aca="1" ref="L8" ca="1">Common_InputFunctions.Utility_DisplayFunctionName(Q25)</f>
        <v>=Fuel_Equations.VEERG_8_2_1_1__1_FuelCombustionStationary</v>
      </c>
      <c r="O8" s="192"/>
      <c r="P8" s="192"/>
      <c r="Q8" s="192"/>
      <c r="R8" s="192"/>
    </row>
    <row r="9" spans="1:18" ht="20.100000000000001" customHeight="1" x14ac:dyDescent="0.25">
      <c r="A9" s="5" t="str">
        <f>HYPERLINK("#'Input - Enterprise'!A1", "Enterprise")</f>
        <v>Enterprise</v>
      </c>
      <c r="G9" s="27"/>
      <c r="O9" s="192"/>
      <c r="P9" s="192"/>
      <c r="Q9" s="192"/>
      <c r="R9" s="192"/>
    </row>
    <row r="10" spans="1:18" ht="20.100000000000001" customHeight="1" x14ac:dyDescent="0.25">
      <c r="A10" s="5" t="str">
        <f>HYPERLINK("#'Input - Site'!A1", "Site")</f>
        <v>Site</v>
      </c>
      <c r="O10" s="192"/>
      <c r="P10" s="192"/>
      <c r="Q10" s="192"/>
      <c r="R10" s="192"/>
    </row>
    <row r="11" spans="1:18" ht="20.100000000000001" customHeight="1" x14ac:dyDescent="0.25">
      <c r="A11" s="5" t="str">
        <f>HYPERLINK("#'Input - Dairy'!A1", "Dairy")</f>
        <v>Dairy</v>
      </c>
      <c r="D11" s="87" t="s">
        <v>263</v>
      </c>
      <c r="E11" s="1" t="str" cm="1">
        <f t="array" ref="E11">Fuel_Equations.VEERG_8_2_1_1__1_FuelCombustionStationary_Variable()</f>
        <v>E_g</v>
      </c>
      <c r="K11" s="87" t="s">
        <v>263</v>
      </c>
      <c r="L11" s="1" t="str" cm="1">
        <f t="array" ref="L11">Scope3_Equations.VEERG_15_11_1_1__3_UpstreamStationaryFuelEmissions_Variable()</f>
        <v>E_WTTSCq</v>
      </c>
      <c r="O11" s="192"/>
      <c r="P11" s="192"/>
      <c r="Q11" s="192"/>
      <c r="R11" s="192"/>
    </row>
    <row r="12" spans="1:18" ht="20.100000000000001" customHeight="1" x14ac:dyDescent="0.25">
      <c r="A12" s="5" t="str">
        <f>HYPERLINK("#'Input - Dairy (Enteric)'!A1", "Dairy (Enteric)")</f>
        <v>Dairy (Enteric)</v>
      </c>
      <c r="D12" s="87" t="s">
        <v>122</v>
      </c>
      <c r="E12" s="15" t="str" cm="1">
        <f t="array" ref="E12">Fuel_Equations.VEERG_8_2_1_1__1_FuelCombustionStationary_Unit()</f>
        <v>t CO2-e</v>
      </c>
      <c r="K12" s="87" t="s">
        <v>122</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20" t="str" cm="1">
        <f t="array" ref="D14:E20">_xlfn.CHOOSECOLS(Fuel_Equations.VEERG_8_2_1_1__1_FuelCombustionStationary_Arguments(), 1,2)</f>
        <v>Q_SCq</v>
      </c>
      <c r="E14" s="125" t="str">
        <v>Amount of fuel type q used for stationary combustion operations</v>
      </c>
      <c r="F14" s="126"/>
      <c r="G14" s="120" t="str" cm="1">
        <f t="array" ref="G14:H20">_xlfn.CHOOSECOLS(Fuel_Equations.VEERG_8_2_1_1__1_FuelCombustionStationary_Arguments(), 3,4)</f>
        <v>Varies based on fuel type: kL, m3, GJ</v>
      </c>
      <c r="H14" s="121" t="str">
        <v>Input</v>
      </c>
      <c r="I14" s="127" t="str" cm="1">
        <f t="array" aca="1" ref="I14" ca="1">HYPERLINK(Common_InputFunctions.Utility_SourceHyperlink($D$22), $D$22)</f>
        <v>Table_E_g</v>
      </c>
      <c r="K14" s="120" t="str" cm="1">
        <f t="array" ref="K14:L18">_xlfn.CHOOSECOLS(Scope3_Equations.VEERG_15_11_1_1__3_UpstreamStationaryFuelEmissions_Arguments(),1,2)</f>
        <v>Q_SCq</v>
      </c>
      <c r="L14" s="120" t="str">
        <v>amount of fuel q used for stationary combustion operations</v>
      </c>
      <c r="M14" s="120"/>
      <c r="N14" s="120" t="str" cm="1">
        <f t="array" ref="N14:O18">_xlfn.CHOOSECOLS(Scope3_Equations.VEERG_15_11_1_1__3_UpstreamStationaryFuelEmissions_Arguments(),3,4)</f>
        <v>kL</v>
      </c>
      <c r="O14" s="121" t="str">
        <v>Input</v>
      </c>
      <c r="P14" s="127" t="str" cm="1">
        <f t="array" aca="1" ref="P14" ca="1">HYPERLINK(Common_InputFunctions.Utility_SourceHyperlink($D$22), $D$22)</f>
        <v>Table_E_g</v>
      </c>
      <c r="Q14" s="192"/>
    </row>
    <row r="15" spans="1:18" ht="20.100000000000001" customHeight="1" x14ac:dyDescent="0.25">
      <c r="A15" s="5" t="str">
        <f>HYPERLINK("#'Input - Pasture'!A1", "Pasture")</f>
        <v>Pasture</v>
      </c>
      <c r="D15" s="120" t="str">
        <v>EC_SCq</v>
      </c>
      <c r="E15" s="125" t="str">
        <v>Energy content factor for stationary combustion operations</v>
      </c>
      <c r="F15" s="126"/>
      <c r="G15" s="120" t="str">
        <v>GJ / unit of fuel</v>
      </c>
      <c r="H15" s="128" t="str">
        <v>Constant</v>
      </c>
      <c r="I15" s="127" t="str" cm="1">
        <f t="array" aca="1" ref="I15" ca="1">HYPERLINK(Common_InputFunctions.Utility_SourceHyperlink($D$22), $D$22)</f>
        <v>Table_E_g</v>
      </c>
      <c r="K15" s="120" t="str">
        <v>EC_SCq</v>
      </c>
      <c r="L15" s="120" t="str">
        <v>energy content factor for stationary combustion operations</v>
      </c>
      <c r="M15" s="120"/>
      <c r="N15" s="120" t="str">
        <v>GJ/kL</v>
      </c>
      <c r="O15" s="128" t="str">
        <v>Constant</v>
      </c>
      <c r="P15" s="127" t="str" cm="1">
        <f t="array" aca="1" ref="P15" ca="1">HYPERLINK(Common_InputFunctions.Utility_SourceHyperlink($D$22), $D$22)</f>
        <v>Table_E_g</v>
      </c>
      <c r="Q15" s="192"/>
    </row>
    <row r="16" spans="1:18" ht="20.100000000000001" customHeight="1" x14ac:dyDescent="0.25">
      <c r="A16" s="5" t="str">
        <f>HYPERLINK("#'Input - Fert Prod System'!A1", "Fert Prod System")</f>
        <v>Fert Prod System</v>
      </c>
      <c r="D16" s="120" t="str">
        <v>EF_SC1qg</v>
      </c>
      <c r="E16" s="125" t="str">
        <v>Scope 1 emission factor for stationary combustion for each greenhouse gas</v>
      </c>
      <c r="F16" s="126"/>
      <c r="G16" s="120" t="str">
        <v>kg CO2e / GJ</v>
      </c>
      <c r="H16" s="128" t="str">
        <v>Constant</v>
      </c>
      <c r="I16" s="127" t="str" cm="1">
        <f t="array" aca="1" ref="I16" ca="1">HYPERLINK(Common_InputFunctions.Utility_SourceHyperlink($D$22), $D$22)</f>
        <v>Table_E_g</v>
      </c>
      <c r="K16" s="120" t="str">
        <v>EF_SC3q</v>
      </c>
      <c r="L16" s="120" t="str">
        <v>scope 3 emission factor for stationary combustion operations</v>
      </c>
      <c r="M16" s="120"/>
      <c r="N16" s="120" t="str">
        <v>kg CO2e/GJ</v>
      </c>
      <c r="O16" s="128" t="str">
        <v>Constant</v>
      </c>
      <c r="P16" s="127" t="str" cm="1">
        <f t="array" aca="1" ref="P16" ca="1">HYPERLINK(Common_InputFunctions.Utility_SourceHyperlink($D$22), $D$22)</f>
        <v>Table_E_g</v>
      </c>
      <c r="Q16" s="192"/>
    </row>
    <row r="17" spans="1:17" ht="20.100000000000001" customHeight="1" x14ac:dyDescent="0.25">
      <c r="A17" s="5" t="str">
        <f>HYPERLINK("#'Input - Fertiliser'!A1", "Fertiliser")</f>
        <v>Fertiliser</v>
      </c>
      <c r="D17" s="120" t="str">
        <v>q</v>
      </c>
      <c r="E17" s="125" t="str">
        <v>Fuel type</v>
      </c>
      <c r="F17" s="126"/>
      <c r="G17" s="120" t="str">
        <v/>
      </c>
      <c r="H17" s="128" t="str">
        <v>Constant</v>
      </c>
      <c r="I17" s="127"/>
      <c r="J17" s="192"/>
      <c r="K17" s="120" t="str">
        <v>i</v>
      </c>
      <c r="L17" s="125" t="str">
        <v>state</v>
      </c>
      <c r="M17" s="126"/>
      <c r="N17" s="120" t="str">
        <v/>
      </c>
      <c r="O17" s="121" t="str">
        <v>Input</v>
      </c>
      <c r="P17" s="120" t="str">
        <f>X_Cell_Site_State</f>
        <v>Western Australia</v>
      </c>
      <c r="Q17" s="192"/>
    </row>
    <row r="18" spans="1:17" ht="20.100000000000001" customHeight="1" x14ac:dyDescent="0.25">
      <c r="A18" s="5" t="str">
        <f>HYPERLINK("#'Input - Fuel'!A1", "Fuel")</f>
        <v>Fuel</v>
      </c>
      <c r="D18" s="120" t="str">
        <v>SC</v>
      </c>
      <c r="E18" s="125" t="str">
        <v>Stationary combustion</v>
      </c>
      <c r="F18" s="126"/>
      <c r="G18" s="120" t="str">
        <v/>
      </c>
      <c r="H18" s="128" t="str">
        <v>Constant</v>
      </c>
      <c r="I18" s="127"/>
      <c r="J18" s="192"/>
      <c r="K18" s="120" t="str">
        <v>m</v>
      </c>
      <c r="L18" s="125" t="str">
        <v>metropolitan/non-metropolitan location</v>
      </c>
      <c r="M18" s="126"/>
      <c r="N18" s="120" t="str">
        <v/>
      </c>
      <c r="O18" s="121" t="str">
        <v>Input</v>
      </c>
      <c r="P18" s="120" t="str">
        <f>X_Cell_Fuel_IsMetroLocation</f>
        <v>Metro</v>
      </c>
      <c r="Q18" s="192"/>
    </row>
    <row r="19" spans="1:17" ht="20.100000000000001" customHeight="1" x14ac:dyDescent="0.25">
      <c r="A19" s="5" t="str">
        <f>HYPERLINK("#'Input - Electricity'!A1", "Electricity")</f>
        <v>Electricity</v>
      </c>
      <c r="D19" s="120" t="str">
        <v>g</v>
      </c>
      <c r="E19" s="125" t="str">
        <v>Greenhouse gas</v>
      </c>
      <c r="F19" s="126"/>
      <c r="G19" s="120" t="str">
        <v/>
      </c>
      <c r="H19" s="128" t="str">
        <v>Constant</v>
      </c>
      <c r="I19" s="127"/>
      <c r="J19" s="192"/>
      <c r="L19" s="192"/>
      <c r="N19" s="192"/>
      <c r="O19" s="192"/>
      <c r="P19" s="192"/>
      <c r="Q19" s="192"/>
    </row>
    <row r="20" spans="1:17" ht="20.100000000000001" customHeight="1" x14ac:dyDescent="0.25">
      <c r="A20" s="5" t="str">
        <f>HYPERLINK("#'Input - Common farm inputs'!A1", "Common farm inputs")</f>
        <v>Common farm inputs</v>
      </c>
      <c r="D20" s="120" t="str">
        <v>1</v>
      </c>
      <c r="E20" s="125" t="str">
        <v>Scope 1</v>
      </c>
      <c r="F20" s="126"/>
      <c r="G20" s="120" t="str">
        <v/>
      </c>
      <c r="H20" s="128" t="str">
        <v>Constant</v>
      </c>
      <c r="I20" s="127"/>
      <c r="J20" s="192"/>
      <c r="L20" s="192"/>
      <c r="N20" s="192"/>
      <c r="O20" s="192"/>
      <c r="P20" s="192"/>
      <c r="Q20" s="192"/>
    </row>
    <row r="21" spans="1:17" ht="20.100000000000001" customHeight="1" x14ac:dyDescent="0.25">
      <c r="A21" s="5" t="str">
        <f>HYPERLINK("#'Input - Crop pasture farm input'!A1", "Crop pasture farm input")</f>
        <v>Crop pasture farm input</v>
      </c>
      <c r="O21" s="192"/>
      <c r="P21" s="192"/>
      <c r="Q21" s="192"/>
    </row>
    <row r="22" spans="1:17" ht="20.100000000000001" customHeight="1" x14ac:dyDescent="0.25">
      <c r="A22" s="5" t="str">
        <f>HYPERLINK("#'Input - Livestock farm Inputs'!A1", "Livestock farm Inputs")</f>
        <v>Livestock farm Inputs</v>
      </c>
      <c r="D22" s="122" t="s">
        <v>804</v>
      </c>
    </row>
    <row r="23" spans="1:17" ht="20.100000000000001" customHeight="1" x14ac:dyDescent="0.25">
      <c r="A23" s="5" t="str">
        <f>HYPERLINK("#'Input - Freight'!A1", "Freight")</f>
        <v>Freight</v>
      </c>
      <c r="D23" s="123" t="s">
        <v>826</v>
      </c>
    </row>
    <row r="24" spans="1:17" ht="20.100000000000001" customHeight="1" x14ac:dyDescent="0.25">
      <c r="A24" s="5" t="str">
        <f>HYPERLINK("#'Input - Manure sent off-site'!A1", "Manure sent off-site")</f>
        <v>Manure sent off-site</v>
      </c>
      <c r="D24" s="124" t="s">
        <v>806</v>
      </c>
      <c r="E24" s="124" t="s">
        <v>807</v>
      </c>
      <c r="F24" s="124" t="s">
        <v>808</v>
      </c>
      <c r="G24" s="124" t="s">
        <v>827</v>
      </c>
      <c r="H24" s="124" t="s">
        <v>828</v>
      </c>
      <c r="I24" s="124" t="s">
        <v>829</v>
      </c>
      <c r="J24" s="124" t="s">
        <v>830</v>
      </c>
      <c r="K24" s="124" t="s">
        <v>831</v>
      </c>
      <c r="L24" s="94" t="s">
        <v>832</v>
      </c>
      <c r="M24" s="124" t="s">
        <v>815</v>
      </c>
      <c r="N24" s="124" t="s">
        <v>816</v>
      </c>
      <c r="O24" s="124" t="s">
        <v>817</v>
      </c>
      <c r="P24" s="124" t="s">
        <v>818</v>
      </c>
      <c r="Q24" s="124" t="s">
        <v>833</v>
      </c>
    </row>
    <row r="25" spans="1:17" ht="20.100000000000001" customHeight="1" x14ac:dyDescent="0.25">
      <c r="A25" s="5" t="str">
        <f>HYPERLINK("#'Input - Solid waste'!A1", "Solid waste")</f>
        <v>Solid waste</v>
      </c>
      <c r="D25" s="34" t="str">
        <f>Table_FuelTypesPerUse[[#Headers],[Generators]]</f>
        <v>Generators</v>
      </c>
      <c r="E25" s="216" t="str">
        <f>'Constants - Fuel'!$D$58</f>
        <v>Automotive gasoline / petrol (other than for use as fuel in an aircraft)</v>
      </c>
      <c r="F25" s="216"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5" cm="1">
        <f t="array" ref="L25">Fuel_InputFunctions.Fuel_TotalConsumption(Table_Input_Fuel[Amount consumed], Table_Input_Fuel[Fuel use (select)], D25, Table_Input_Fuel[Fuel type (select)],F25)</f>
        <v>0</v>
      </c>
      <c r="M25" s="195" t="str" cm="1">
        <f t="array" ref="M25">Common_InputFunctions.Utility_LookupValueInTable(F25,Table_FuelTypes_Units[Fuel type],Table_FuelTypes_Units[Unit])</f>
        <v>kL</v>
      </c>
      <c r="N25" s="238" cm="1">
        <f t="array" ref="N25">Fuel_Equations.VEERG_8_2_1_1__1_FuelCombustionStationary($L25,$G25,H25)</f>
        <v>0</v>
      </c>
      <c r="O25" s="238" cm="1">
        <f t="array" ref="O25">Fuel_Equations.VEERG_8_2_1_1__1_FuelCombustionStationary($L25,$G25,I25)</f>
        <v>0</v>
      </c>
      <c r="P25" s="238" cm="1">
        <f t="array" ref="P25">Fuel_Equations.VEERG_8_2_1_1__1_FuelCombustionStationary($L25,$G25,J25)</f>
        <v>0</v>
      </c>
      <c r="Q25" s="238" cm="1">
        <f t="array" ref="Q25">Fuel_Equations.VEERG_8_2_1_1__1_FuelCombustionStationary($L25,$G25,IF(ISNUMBER(K25), K25, 0))</f>
        <v>0</v>
      </c>
    </row>
    <row r="26" spans="1:17" ht="20.100000000000001" customHeight="1" x14ac:dyDescent="0.25">
      <c r="A26" s="5" t="str">
        <f>HYPERLINK("#'Input - Data quality'!A1", "Data quality")</f>
        <v>Data quality</v>
      </c>
      <c r="D26" s="218" t="str">
        <f t="shared" ref="D26:D31" si="0">$D$25</f>
        <v>Generators</v>
      </c>
      <c r="E26" s="216" t="str">
        <f>'Constants - Fuel'!$D$63</f>
        <v>Diesel oil</v>
      </c>
      <c r="F26" s="216"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5" cm="1">
        <f t="array" ref="L26">Fuel_InputFunctions.Fuel_TotalConsumption(Table_Input_Fuel[Amount consumed], Table_Input_Fuel[Fuel use (select)], D26, Table_Input_Fuel[Fuel type (select)],F26)</f>
        <v>0</v>
      </c>
      <c r="M26" s="195" t="str" cm="1">
        <f t="array" ref="M26">Common_InputFunctions.Utility_LookupValueInTable(F26,Table_FuelTypes_Units[Fuel type],Table_FuelTypes_Units[Unit])</f>
        <v>kL</v>
      </c>
      <c r="N26" s="238" cm="1">
        <f t="array" ref="N26">Fuel_Equations.VEERG_8_2_1_1__1_FuelCombustionStationary($L26,$G26,H26)</f>
        <v>0</v>
      </c>
      <c r="O26" s="238" cm="1">
        <f t="array" ref="O26">Fuel_Equations.VEERG_8_2_1_1__1_FuelCombustionStationary($L26,$G26,I26)</f>
        <v>0</v>
      </c>
      <c r="P26" s="238" cm="1">
        <f t="array" ref="P26">Fuel_Equations.VEERG_8_2_1_1__1_FuelCombustionStationary($L26,$G26,J26)</f>
        <v>0</v>
      </c>
      <c r="Q26" s="238" cm="1">
        <f t="array" ref="Q26">Fuel_Equations.VEERG_8_2_1_1__1_FuelCombustionStationary($L26,$G26,IF(ISNUMBER(K26), K26, 0))</f>
        <v>0</v>
      </c>
    </row>
    <row r="27" spans="1:17" ht="20.100000000000001" customHeight="1" x14ac:dyDescent="0.25">
      <c r="D27" s="218" t="str">
        <f t="shared" si="0"/>
        <v>Generators</v>
      </c>
      <c r="E27" s="216" t="str">
        <f>'Constants - Fuel'!$D$67</f>
        <v>Liquefied petroleum gas (LPG)</v>
      </c>
      <c r="F27" s="216"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5" cm="1">
        <f t="array" ref="L27">Fuel_InputFunctions.Fuel_TotalConsumption(Table_Input_Fuel[Amount consumed], Table_Input_Fuel[Fuel use (select)], D27, Table_Input_Fuel[Fuel type (select)],F27)</f>
        <v>0</v>
      </c>
      <c r="M27" s="195" t="str" cm="1">
        <f t="array" ref="M27">Common_InputFunctions.Utility_LookupValueInTable(F27,Table_FuelTypes_Units[Fuel type],Table_FuelTypes_Units[Unit])</f>
        <v>kL</v>
      </c>
      <c r="N27" s="238" cm="1">
        <f t="array" ref="N27">Fuel_Equations.VEERG_8_2_1_1__1_FuelCombustionStationary($L27,$G27,H27)</f>
        <v>0</v>
      </c>
      <c r="O27" s="238" cm="1">
        <f t="array" ref="O27">Fuel_Equations.VEERG_8_2_1_1__1_FuelCombustionStationary($L27,$G27,I27)</f>
        <v>0</v>
      </c>
      <c r="P27" s="238" cm="1">
        <f t="array" ref="P27">Fuel_Equations.VEERG_8_2_1_1__1_FuelCombustionStationary($L27,$G27,J27)</f>
        <v>0</v>
      </c>
      <c r="Q27" s="238" cm="1">
        <f t="array" ref="Q27">Fuel_Equations.VEERG_8_2_1_1__1_FuelCombustionStationary($L27,$G27,IF(ISNUMBER(K27), K27, 0))</f>
        <v>0</v>
      </c>
    </row>
    <row r="28" spans="1:17" ht="20.100000000000001" customHeight="1" x14ac:dyDescent="0.25">
      <c r="D28" s="218" t="str">
        <f t="shared" si="0"/>
        <v>Generators</v>
      </c>
      <c r="E28" s="216" t="str">
        <f>'Constants - Fuel'!$D$73</f>
        <v>Biodiesel</v>
      </c>
      <c r="F28" s="216"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5" cm="1">
        <f t="array" ref="L28">Fuel_InputFunctions.Fuel_TotalConsumption(Table_Input_Fuel[Amount consumed], Table_Input_Fuel[Fuel use (select)], D28, Table_Input_Fuel[Fuel type (select)],F28)</f>
        <v>0</v>
      </c>
      <c r="M28" s="195" t="str" cm="1">
        <f t="array" ref="M28">Common_InputFunctions.Utility_LookupValueInTable(F28,Table_FuelTypes_Units[Fuel type],Table_FuelTypes_Units[Unit])</f>
        <v>kL</v>
      </c>
      <c r="N28" s="238" cm="1">
        <f t="array" ref="N28">Fuel_Equations.VEERG_8_2_1_1__1_FuelCombustionStationary($L28,$G28,H28)</f>
        <v>0</v>
      </c>
      <c r="O28" s="238" cm="1">
        <f t="array" ref="O28">Fuel_Equations.VEERG_8_2_1_1__1_FuelCombustionStationary($L28,$G28,I28)</f>
        <v>0</v>
      </c>
      <c r="P28" s="238" cm="1">
        <f t="array" ref="P28">Fuel_Equations.VEERG_8_2_1_1__1_FuelCombustionStationary($L28,$G28,J28)</f>
        <v>0</v>
      </c>
      <c r="Q28" s="238" cm="1">
        <f t="array" ref="Q28">Fuel_Equations.VEERG_8_2_1_1__1_FuelCombustionStationary($L28,$G28,IF(ISNUMBER(K28), K28, 0))</f>
        <v>0</v>
      </c>
    </row>
    <row r="29" spans="1:17" ht="20.100000000000001" customHeight="1" x14ac:dyDescent="0.25">
      <c r="A29" s="6" t="s">
        <v>2</v>
      </c>
      <c r="D29" s="218" t="str">
        <f t="shared" si="0"/>
        <v>Generators</v>
      </c>
      <c r="E29" s="216" t="str">
        <f>'Constants - Fuel'!$D$74</f>
        <v>Ethanol for use as a fuel in an internal combustion engine</v>
      </c>
      <c r="F29" s="216"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5" cm="1">
        <f t="array" ref="L29">Fuel_InputFunctions.Fuel_TotalConsumption(Table_Input_Fuel[Amount consumed], Table_Input_Fuel[Fuel use (select)], D29, Table_Input_Fuel[Fuel type (select)],F29)</f>
        <v>0</v>
      </c>
      <c r="M29" s="195" t="str" cm="1">
        <f t="array" ref="M29">Common_InputFunctions.Utility_LookupValueInTable(F29,Table_FuelTypes_Units[Fuel type],Table_FuelTypes_Units[Unit])</f>
        <v>kL</v>
      </c>
      <c r="N29" s="238" cm="1">
        <f t="array" ref="N29">Fuel_Equations.VEERG_8_2_1_1__1_FuelCombustionStationary($L29,$G29,H29)</f>
        <v>0</v>
      </c>
      <c r="O29" s="238" cm="1">
        <f t="array" ref="O29">Fuel_Equations.VEERG_8_2_1_1__1_FuelCombustionStationary($L29,$G29,I29)</f>
        <v>0</v>
      </c>
      <c r="P29" s="238" cm="1">
        <f t="array" ref="P29">Fuel_Equations.VEERG_8_2_1_1__1_FuelCombustionStationary($L29,$G29,J29)</f>
        <v>0</v>
      </c>
      <c r="Q29" s="238" cm="1">
        <f t="array" ref="Q29">Fuel_Equations.VEERG_8_2_1_1__1_FuelCombustionStationary($L29,$G29,IF(ISNUMBER(K29), K29, 0))</f>
        <v>0</v>
      </c>
    </row>
    <row r="30" spans="1:17" ht="20.100000000000001" customHeight="1" x14ac:dyDescent="0.25">
      <c r="A30" s="5" t="str">
        <f>HYPERLINK("#'5.1.1.1-2 Inorganic fert N2O'!A1", "5.1.1.1-2 Inorganic fert N2O")</f>
        <v>5.1.1.1-2 Inorganic fert N2O</v>
      </c>
      <c r="D30" s="218" t="str">
        <f t="shared" si="0"/>
        <v>Generators</v>
      </c>
      <c r="E30" s="216" t="str">
        <f>'Constants - Fuel'!$D$75</f>
        <v>Biofuels other than those mentioned in the items above and below</v>
      </c>
      <c r="F30" s="216"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5" cm="1">
        <f t="array" ref="L30">Fuel_InputFunctions.Fuel_TotalConsumption(Table_Input_Fuel[Amount consumed], Table_Input_Fuel[Fuel use (select)], D30, Table_Input_Fuel[Fuel type (select)],F30)</f>
        <v>0</v>
      </c>
      <c r="M30" s="195" t="str" cm="1">
        <f t="array" ref="M30">Common_InputFunctions.Utility_LookupValueInTable(F30,Table_FuelTypes_Units[Fuel type],Table_FuelTypes_Units[Unit])</f>
        <v>kL</v>
      </c>
      <c r="N30" s="238" cm="1">
        <f t="array" ref="N30">Fuel_Equations.VEERG_8_2_1_1__1_FuelCombustionStationary($L30,$G30,H30)</f>
        <v>0</v>
      </c>
      <c r="O30" s="238" cm="1">
        <f t="array" ref="O30">Fuel_Equations.VEERG_8_2_1_1__1_FuelCombustionStationary($L30,$G30,I30)</f>
        <v>0</v>
      </c>
      <c r="P30" s="238" cm="1">
        <f t="array" ref="P30">Fuel_Equations.VEERG_8_2_1_1__1_FuelCombustionStationary($L30,$G30,J30)</f>
        <v>0</v>
      </c>
      <c r="Q30" s="238" cm="1">
        <f t="array" ref="Q30">Fuel_Equations.VEERG_8_2_1_1__1_FuelCombustionStationary($L30,$G30,IF(ISNUMBER(K30), K30, 0))</f>
        <v>0</v>
      </c>
    </row>
    <row r="31" spans="1:17" ht="20.100000000000001" customHeight="1" x14ac:dyDescent="0.25">
      <c r="A31" s="5" t="str">
        <f>HYPERLINK("#'5.1.1.3-4 Inorganic fert CO2'!A1", "5.1.1.3-4 Inorganic fert CO2")</f>
        <v>5.1.1.3-4 Inorganic fert CO2</v>
      </c>
      <c r="D31" s="218" t="str">
        <f t="shared" si="0"/>
        <v>Generators</v>
      </c>
      <c r="E31" s="216" t="str">
        <f>'Constants - Fuel'!$D$77</f>
        <v>Renewable diesel</v>
      </c>
      <c r="F31" s="216" t="str">
        <f>'Constants - Fuel'!D137</f>
        <v>Renewable diesel</v>
      </c>
      <c r="G31" s="214">
        <f>IFERROR(_xlfn.XLOOKUP($E31, Table_Fuel_EFs_StationaryLiquid[Fuel combusted], Table_Fuel_EFs_StationaryLiquid[Energy Content Factor (GJ per unit of fuel)]),0)</f>
        <v>38.6</v>
      </c>
      <c r="H31" s="214">
        <f>IFERROR(_xlfn.XLOOKUP($E31, Table_Fuel_EFs_StationaryLiquid[Fuel combusted], Table_Fuel_EFs_StationaryLiquid[Scope 1 Emission Factor (kg CO2 - e / GJ) CO2]),0)</f>
        <v>0</v>
      </c>
      <c r="I31" s="214">
        <f>IFERROR(_xlfn.XLOOKUP($E31, Table_Fuel_EFs_StationaryLiquid[Fuel combusted], Table_Fuel_EFs_StationaryLiquid[Scope 1 Emission Factor (kg CO2 - e / GJ) CH4]),0)</f>
        <v>0.1</v>
      </c>
      <c r="J31" s="214">
        <f>IFERROR(_xlfn.XLOOKUP($E31, Table_Fuel_EFs_StationaryLiquid[Fuel combusted], Table_Fuel_EFs_StationaryLiquid[Scope 1 Emission Factor (kg CO2 - e / GJ) N2O]),0)</f>
        <v>0.2</v>
      </c>
      <c r="K31" s="214" t="str">
        <f>IFERROR(_xlfn.XLOOKUP($E31, Table_Fuel_EFs_StationaryLiquid[Fuel combusted], Table_Fuel_EFs_StationaryLiquid[Scope 3 Emission Factor (kg CO2 - e / GJ)]),0)</f>
        <v>NE</v>
      </c>
      <c r="L31" s="219" cm="1">
        <f t="array" ref="L31">Fuel_InputFunctions.Fuel_TotalConsumption(Table_Input_Fuel[Amount consumed], Table_Input_Fuel[Fuel use (select)], D31, Table_Input_Fuel[Fuel type (select)],F31)</f>
        <v>0</v>
      </c>
      <c r="M31" s="219" t="str" cm="1">
        <f t="array" ref="M31">Common_InputFunctions.Utility_LookupValueInTable(F31,Table_FuelTypes_Units[Fuel type],Table_FuelTypes_Units[Unit])</f>
        <v>kL</v>
      </c>
      <c r="N31" s="239" cm="1">
        <f t="array" ref="N31">Fuel_Equations.VEERG_8_2_1_1__1_FuelCombustionStationary($L31,$G31,H31)</f>
        <v>0</v>
      </c>
      <c r="O31" s="239" cm="1">
        <f t="array" ref="O31">Fuel_Equations.VEERG_8_2_1_1__1_FuelCombustionStationary($L31,$G31,I31)</f>
        <v>0</v>
      </c>
      <c r="P31" s="239" cm="1">
        <f t="array" ref="P31">Fuel_Equations.VEERG_8_2_1_1__1_FuelCombustionStationary($L31,$G31,J31)</f>
        <v>0</v>
      </c>
      <c r="Q31" s="239" cm="1">
        <f t="array" ref="Q31">Fuel_Equations.VEERG_8_2_1_1__1_FuelCombustionStationary($L31,$G31,IF(ISNUMBER(K31), K31, 0))</f>
        <v>0</v>
      </c>
    </row>
    <row r="32" spans="1:17" ht="20.100000000000001" customHeight="1" x14ac:dyDescent="0.25">
      <c r="A32" s="5" t="str">
        <f>HYPERLINK("#'5.2.1.1-2 Organic Fert N2O'!A1", "5.2.1.1-2 Organic fert N2O")</f>
        <v>5.2.1.1-2 Organic fert N2O</v>
      </c>
      <c r="D32" s="221" t="str">
        <f>Table_FuelTypesPerUse[[#Headers],[Power standalone machinery or heating]]</f>
        <v>Power standalone machinery or heating</v>
      </c>
      <c r="E32" s="222" t="str">
        <f>'Constants - Fuel'!$D$58</f>
        <v>Automotive gasoline / petrol (other than for use as fuel in an aircraft)</v>
      </c>
      <c r="F32" s="222" t="str">
        <f>'Constants - Fuel'!E131</f>
        <v>Petrol</v>
      </c>
      <c r="G32" s="229">
        <f>IFERROR(_xlfn.XLOOKUP($E32, Table_Fuel_EFs_StationaryLiquid[Fuel combusted], Table_Fuel_EFs_StationaryLiquid[Energy Content Factor (GJ per unit of fuel)]),0)</f>
        <v>34.200000000000003</v>
      </c>
      <c r="H32" s="229">
        <f>IFERROR(_xlfn.XLOOKUP($E32, Table_Fuel_EFs_StationaryLiquid[Fuel combusted], Table_Fuel_EFs_StationaryLiquid[Scope 1 Emission Factor (kg CO2 - e / GJ) CO2]),0)</f>
        <v>67.400000000000006</v>
      </c>
      <c r="I32" s="229">
        <f>IFERROR(_xlfn.XLOOKUP($E32, Table_Fuel_EFs_StationaryLiquid[Fuel combusted], Table_Fuel_EFs_StationaryLiquid[Scope 1 Emission Factor (kg CO2 - e / GJ) CH4]),0)</f>
        <v>0.2</v>
      </c>
      <c r="J32" s="229">
        <f>IFERROR(_xlfn.XLOOKUP($E32, Table_Fuel_EFs_StationaryLiquid[Fuel combusted], Table_Fuel_EFs_StationaryLiquid[Scope 1 Emission Factor (kg CO2 - e / GJ) N2O]),0)</f>
        <v>0.2</v>
      </c>
      <c r="K32" s="229">
        <f>IFERROR(_xlfn.XLOOKUP($E32, Table_Fuel_EFs_StationaryLiquid[Fuel combusted], Table_Fuel_EFs_StationaryLiquid[Scope 3 Emission Factor (kg CO2 - e / GJ)]),0)</f>
        <v>17.2</v>
      </c>
      <c r="L32" s="225" cm="1">
        <f t="array" ref="L32">Fuel_InputFunctions.Fuel_TotalConsumption(Table_Input_Fuel[Amount consumed], Table_Input_Fuel[Fuel use (select)], D32, Table_Input_Fuel[Fuel type (select)],F32)</f>
        <v>10</v>
      </c>
      <c r="M32" s="226" t="str" cm="1">
        <f t="array" ref="M32">Common_InputFunctions.Utility_LookupValueInTable(F32,Table_FuelTypes_Units[Fuel type],Table_FuelTypes_Units[Unit])</f>
        <v>kL</v>
      </c>
      <c r="N32" s="240" cm="1">
        <f t="array" ref="N32">Fuel_Equations.VEERG_8_2_1_1__1_FuelCombustionStationary($L32,$G32,H32)</f>
        <v>23.050800000000002</v>
      </c>
      <c r="O32" s="240" cm="1">
        <f t="array" ref="O32">Fuel_Equations.VEERG_8_2_1_1__1_FuelCombustionStationary($L32,$G32,I32)</f>
        <v>6.8400000000000002E-2</v>
      </c>
      <c r="P32" s="240" cm="1">
        <f t="array" ref="P32">Fuel_Equations.VEERG_8_2_1_1__1_FuelCombustionStationary($L32,$G32,J32)</f>
        <v>6.8400000000000002E-2</v>
      </c>
      <c r="Q32" s="240" cm="1">
        <f t="array" ref="Q32">Fuel_Equations.VEERG_8_2_1_1__1_FuelCombustionStationary($L32,$G32,IF(ISNUMBER(K32), K32, 0))</f>
        <v>5.8823999999999996</v>
      </c>
    </row>
    <row r="33" spans="1:17" ht="20.100000000000001" customHeight="1" x14ac:dyDescent="0.25">
      <c r="A33" s="5" t="str">
        <f>HYPERLINK("#'5.3.1.1-2 Lime CO2'!A1", "5.3.1.1-2 Lime CO2")</f>
        <v>5.3.1.1-2 Lime CO2</v>
      </c>
      <c r="D33" s="218" t="str">
        <f t="shared" ref="D33:D40" si="1">$D$32</f>
        <v>Power standalone machinery or heating</v>
      </c>
      <c r="E33" s="216" t="str">
        <f>'Constants - Fuel'!$D$63</f>
        <v>Diesel oil</v>
      </c>
      <c r="F33" s="216"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8" cm="1">
        <f t="array" ref="N33">Fuel_Equations.VEERG_8_2_1_1__1_FuelCombustionStationary($L33,$G33,H33)</f>
        <v>0</v>
      </c>
      <c r="O33" s="238" cm="1">
        <f t="array" ref="O33">Fuel_Equations.VEERG_8_2_1_1__1_FuelCombustionStationary($L33,$G33,I33)</f>
        <v>0</v>
      </c>
      <c r="P33" s="238" cm="1">
        <f t="array" ref="P33">Fuel_Equations.VEERG_8_2_1_1__1_FuelCombustionStationary($L33,$G33,J33)</f>
        <v>0</v>
      </c>
      <c r="Q33" s="238" cm="1">
        <f t="array" ref="Q33">Fuel_Equations.VEERG_8_2_1_1__1_FuelCombustionStationary($L33,$G33,IF(ISNUMBER(K33), K33, 0))</f>
        <v>0</v>
      </c>
    </row>
    <row r="34" spans="1:17" ht="20.100000000000001" customHeight="1" x14ac:dyDescent="0.25">
      <c r="A34" s="5" t="str">
        <f>HYPERLINK("#'5.4.1.1-4 Atmos deposition'!A1", "5.4.1.1-4 Atmos. deposition")</f>
        <v>5.4.1.1-4 Atmos. deposition</v>
      </c>
      <c r="D34" s="218" t="str">
        <f t="shared" si="1"/>
        <v>Power standalone machinery or heating</v>
      </c>
      <c r="E34" s="216" t="str">
        <f>'Constants - Fuel'!$D$67</f>
        <v>Liquefied petroleum gas (LPG)</v>
      </c>
      <c r="F34" s="216"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8" cm="1">
        <f t="array" ref="N34">Fuel_Equations.VEERG_8_2_1_1__1_FuelCombustionStationary($L34,$G34,H34)</f>
        <v>0</v>
      </c>
      <c r="O34" s="238" cm="1">
        <f t="array" ref="O34">Fuel_Equations.VEERG_8_2_1_1__1_FuelCombustionStationary($L34,$G34,I34)</f>
        <v>0</v>
      </c>
      <c r="P34" s="238" cm="1">
        <f t="array" ref="P34">Fuel_Equations.VEERG_8_2_1_1__1_FuelCombustionStationary($L34,$G34,J34)</f>
        <v>0</v>
      </c>
      <c r="Q34" s="238" cm="1">
        <f t="array" ref="Q34">Fuel_Equations.VEERG_8_2_1_1__1_FuelCombustionStationary($L34,$G34,IF(ISNUMBER(K34), K34, 0))</f>
        <v>0</v>
      </c>
    </row>
    <row r="35" spans="1:17" ht="20.100000000000001" customHeight="1" x14ac:dyDescent="0.25">
      <c r="A35" s="5" t="str">
        <f>HYPERLINK("#'5.5.1.1-2 Leaching and runoff'!A1", "5.5.1.1-2 Leaching &amp; runoff")</f>
        <v>5.5.1.1-2 Leaching &amp; runoff</v>
      </c>
      <c r="D35" s="218" t="str">
        <f t="shared" si="1"/>
        <v>Power standalone machinery or heating</v>
      </c>
      <c r="E35" s="216" t="str">
        <f>'Constants - Fuel'!$D$73</f>
        <v>Biodiesel</v>
      </c>
      <c r="F35" s="216"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8" cm="1">
        <f t="array" ref="N35">Fuel_Equations.VEERG_8_2_1_1__1_FuelCombustionStationary($L35,$G35,H35)</f>
        <v>0</v>
      </c>
      <c r="O35" s="238" cm="1">
        <f t="array" ref="O35">Fuel_Equations.VEERG_8_2_1_1__1_FuelCombustionStationary($L35,$G35,I35)</f>
        <v>0</v>
      </c>
      <c r="P35" s="238" cm="1">
        <f t="array" ref="P35">Fuel_Equations.VEERG_8_2_1_1__1_FuelCombustionStationary($L35,$G35,J35)</f>
        <v>0</v>
      </c>
      <c r="Q35" s="238" cm="1">
        <f t="array" ref="Q35">Fuel_Equations.VEERG_8_2_1_1__1_FuelCombustionStationary($L35,$G35,IF(ISNUMBER(K35), K35, 0))</f>
        <v>0</v>
      </c>
    </row>
    <row r="36" spans="1:17" ht="20.100000000000001" customHeight="1" x14ac:dyDescent="0.25">
      <c r="A36" s="5" t="str">
        <f>HYPERLINK("#'6.2.1.1-2 Pasture residue N2O'!A1", "6.2.1.1-2 Pasture residue N2O")</f>
        <v>6.2.1.1-2 Pasture residue N2O</v>
      </c>
      <c r="D36" s="218" t="str">
        <f t="shared" si="1"/>
        <v>Power standalone machinery or heating</v>
      </c>
      <c r="E36" s="216" t="str">
        <f>'Constants - Fuel'!$D$74</f>
        <v>Ethanol for use as a fuel in an internal combustion engine</v>
      </c>
      <c r="F36" s="216"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8" cm="1">
        <f t="array" ref="N36">Fuel_Equations.VEERG_8_2_1_1__1_FuelCombustionStationary($L36,$G36,H36)</f>
        <v>0</v>
      </c>
      <c r="O36" s="238" cm="1">
        <f t="array" ref="O36">Fuel_Equations.VEERG_8_2_1_1__1_FuelCombustionStationary($L36,$G36,I36)</f>
        <v>0</v>
      </c>
      <c r="P36" s="238" cm="1">
        <f t="array" ref="P36">Fuel_Equations.VEERG_8_2_1_1__1_FuelCombustionStationary($L36,$G36,J36)</f>
        <v>0</v>
      </c>
      <c r="Q36" s="238" cm="1">
        <f t="array" ref="Q36">Fuel_Equations.VEERG_8_2_1_1__1_FuelCombustionStationary($L36,$G36,IF(ISNUMBER(K36), K36, 0))</f>
        <v>0</v>
      </c>
    </row>
    <row r="37" spans="1:17" ht="20.100000000000001" customHeight="1" x14ac:dyDescent="0.25">
      <c r="A37" s="5" t="str">
        <f>HYPERLINK("#'6.3.1.1-2 Leach runoff pasture'!A1", "6.3.1.1-2 Leach &amp; runoff (pasture)")</f>
        <v>6.3.1.1-2 Leach &amp; runoff (pasture)</v>
      </c>
      <c r="D37" s="218" t="str">
        <f t="shared" si="1"/>
        <v>Power standalone machinery or heating</v>
      </c>
      <c r="E37" s="216" t="str">
        <f>'Constants - Fuel'!$D$75</f>
        <v>Biofuels other than those mentioned in the items above and below</v>
      </c>
      <c r="F37" s="216"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8" cm="1">
        <f t="array" ref="N37">Fuel_Equations.VEERG_8_2_1_1__1_FuelCombustionStationary($L37,$G37,H37)</f>
        <v>0</v>
      </c>
      <c r="O37" s="238" cm="1">
        <f t="array" ref="O37">Fuel_Equations.VEERG_8_2_1_1__1_FuelCombustionStationary($L37,$G37,I37)</f>
        <v>0</v>
      </c>
      <c r="P37" s="238" cm="1">
        <f t="array" ref="P37">Fuel_Equations.VEERG_8_2_1_1__1_FuelCombustionStationary($L37,$G37,J37)</f>
        <v>0</v>
      </c>
      <c r="Q37" s="238" cm="1">
        <f t="array" ref="Q37">Fuel_Equations.VEERG_8_2_1_1__1_FuelCombustionStationary($L37,$G37,IF(ISNUMBER(K37), K37, 0))</f>
        <v>0</v>
      </c>
    </row>
    <row r="38" spans="1:17" ht="20.100000000000001" customHeight="1" x14ac:dyDescent="0.25">
      <c r="A38" s="5" t="str">
        <f>HYPERLINK("#'8.1.1.1-2 Transport fuel'!A1", "8.1.1.1-2 Transport fuel")</f>
        <v>8.1.1.1-2 Transport fuel</v>
      </c>
      <c r="D38" s="218" t="str">
        <f t="shared" si="1"/>
        <v>Power standalone machinery or heating</v>
      </c>
      <c r="E38" s="216" t="str">
        <f>'Constants - Fuel'!$D$77</f>
        <v>Renewable diesel</v>
      </c>
      <c r="F38" s="216"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8" cm="1">
        <f t="array" ref="N38">Fuel_Equations.VEERG_8_2_1_1__1_FuelCombustionStationary($L38,$G38,H38)</f>
        <v>0</v>
      </c>
      <c r="O38" s="238" cm="1">
        <f t="array" ref="O38">Fuel_Equations.VEERG_8_2_1_1__1_FuelCombustionStationary($L38,$G38,I38)</f>
        <v>0</v>
      </c>
      <c r="P38" s="238" cm="1">
        <f t="array" ref="P38">Fuel_Equations.VEERG_8_2_1_1__1_FuelCombustionStationary($L38,$G38,J38)</f>
        <v>0</v>
      </c>
      <c r="Q38" s="238" cm="1">
        <f t="array" ref="Q38">Fuel_Equations.VEERG_8_2_1_1__1_FuelCombustionStationary($L38,$G38,IF(ISNUMBER(K38), K38, 0))</f>
        <v>0</v>
      </c>
    </row>
    <row r="39" spans="1:17" ht="20.100000000000001" customHeight="1" x14ac:dyDescent="0.25">
      <c r="A39" s="119" t="str">
        <f>HYPERLINK("#'8.2.1.1-2 Stationary fuel'!A1", "8.2.1.1-2 Stationary fuel")</f>
        <v>8.2.1.1-2 Stationary fuel</v>
      </c>
      <c r="D39" s="218" t="str">
        <f t="shared" si="1"/>
        <v>Power standalone machinery or heating</v>
      </c>
      <c r="E39" s="216" t="str">
        <f>'Constants - Fuel'!$D$103</f>
        <v>Natural gas distributed in a pipeline - Gigajoules</v>
      </c>
      <c r="F39" s="216"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5" cm="1">
        <f t="array" ref="L39">Fuel_InputFunctions.Fuel_TotalConsumption(Table_Input_Fuel[Amount consumed], Table_Input_Fuel[Fuel use (select)], D39, Table_Input_Fuel[Fuel type (select)],F39)</f>
        <v>0</v>
      </c>
      <c r="M39" s="195" t="str" cm="1">
        <f t="array" ref="M39">Common_InputFunctions.Utility_LookupValueInTable(F39,Table_FuelTypes_Units[Fuel type],Table_FuelTypes_Units[Unit])</f>
        <v>GJ</v>
      </c>
      <c r="N39" s="238" cm="1">
        <f t="array" ref="N39">Fuel_Equations.VEERG_8_2_1_1__1_FuelCombustionStationary($L39,$G39,H39)</f>
        <v>0</v>
      </c>
      <c r="O39" s="238" cm="1">
        <f t="array" ref="O39">Fuel_Equations.VEERG_8_2_1_1__1_FuelCombustionStationary($L39,$G39,I39)</f>
        <v>0</v>
      </c>
      <c r="P39" s="238" cm="1">
        <f t="array" ref="P39">Fuel_Equations.VEERG_8_2_1_1__1_FuelCombustionStationary($L39,$G39,J39)</f>
        <v>0</v>
      </c>
      <c r="Q39" s="238" cm="1">
        <f t="array" ref="Q39">Fuel_Equations.VEERG_8_2_1_1__1_FuelCombustionStationary($L39,$G39,IF(ISNUMBER(K39), K39, 0))</f>
        <v>0</v>
      </c>
    </row>
    <row r="40" spans="1:17" ht="20.100000000000001" customHeight="1" x14ac:dyDescent="0.25">
      <c r="A40" s="5" t="str">
        <f>HYPERLINK("#'14.1.1-2 Purchased electricity'!A1", "14.1.1-2 Purchased electricity")</f>
        <v>14.1.1-2 Purchased electricity</v>
      </c>
      <c r="D40" s="218" t="str">
        <f t="shared" si="1"/>
        <v>Power standalone machinery or heating</v>
      </c>
      <c r="E40" s="216" t="str">
        <f>'Constants - Fuel'!$D$104</f>
        <v>Town gas - Gigajoules</v>
      </c>
      <c r="F40" s="216"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5" cm="1">
        <f t="array" ref="L40">Fuel_InputFunctions.Fuel_TotalConsumption(Table_Input_Fuel[Amount consumed], Table_Input_Fuel[Fuel use (select)], D40, Table_Input_Fuel[Fuel type (select)],F40)</f>
        <v>100</v>
      </c>
      <c r="M40" s="195" t="str" cm="1">
        <f t="array" ref="M40">Common_InputFunctions.Utility_LookupValueInTable(F40,Table_FuelTypes_Units[Fuel type],Table_FuelTypes_Units[Unit])</f>
        <v>GJ</v>
      </c>
      <c r="N40" s="238" cm="1">
        <f t="array" ref="N40">Fuel_Equations.VEERG_8_2_1_1__1_FuelCombustionStationary($L40,$G40,H40)</f>
        <v>6.0200000000000005</v>
      </c>
      <c r="O40" s="238" cm="1">
        <f t="array" ref="O40">Fuel_Equations.VEERG_8_2_1_1__1_FuelCombustionStationary($L40,$G40,I40)</f>
        <v>4.0000000000000001E-3</v>
      </c>
      <c r="P40" s="238" cm="1">
        <f t="array" ref="P40">Fuel_Equations.VEERG_8_2_1_1__1_FuelCombustionStationary($L40,$G40,J40)</f>
        <v>3.0000000000000001E-3</v>
      </c>
      <c r="Q40" s="238" cm="1">
        <f t="array" ref="Q40">Fuel_Equations.VEERG_8_2_1_1__1_FuelCombustionStationary($L40,$G40,IF(ISNUMBER(K40), K40, 0))</f>
        <v>0.41</v>
      </c>
    </row>
    <row r="41" spans="1:17" ht="20.100000000000001" customHeight="1" x14ac:dyDescent="0.25">
      <c r="A41" s="5" t="str">
        <f>HYPERLINK("#'15 Scope 3'!A1", "15 Scope 3")</f>
        <v>15 Scope 3</v>
      </c>
    </row>
    <row r="42" spans="1:17" ht="20.100000000000001" customHeight="1" x14ac:dyDescent="0.25">
      <c r="A42" s="5" t="str">
        <f>HYPERLINK("#'Calcs - Manure sent off-site'!A1", "Calcs - Manure sent off-site")</f>
        <v>Calcs - Manure sent off-site</v>
      </c>
      <c r="D42" s="231" t="str">
        <f>"Total scope 1 - " &amp; D25</f>
        <v>Total scope 1 - Generators</v>
      </c>
      <c r="E42" s="232"/>
      <c r="F42" s="233"/>
    </row>
    <row r="43" spans="1:17" ht="20.100000000000001" customHeight="1" x14ac:dyDescent="0.25">
      <c r="A43" s="5" t="str">
        <f>HYPERLINK("#'4.3.1.1-2 Methane'!A1", "4.3.1.1-2 Methane")</f>
        <v>4.3.1.1-2 Methane</v>
      </c>
      <c r="D43" s="34" t="s">
        <v>820</v>
      </c>
      <c r="E43" s="234">
        <f>SUM(N25:N31)+N("Partial sum")</f>
        <v>0</v>
      </c>
      <c r="F43" s="26" t="str">
        <f>$E$12</f>
        <v>t CO2-e</v>
      </c>
    </row>
    <row r="44" spans="1:17" ht="20.100000000000001" customHeight="1" x14ac:dyDescent="0.25">
      <c r="A44" s="5" t="str">
        <f>HYPERLINK("#'4.3.1.3-4 Direct N20'!A1", "4.3.1.3-4 Direct N20")</f>
        <v>4.3.1.3-4 Direct N20</v>
      </c>
      <c r="D44" s="34" t="s">
        <v>821</v>
      </c>
      <c r="E44" s="234">
        <f>SUM(O25:O31)+N("Partial sum")</f>
        <v>0</v>
      </c>
      <c r="F44" s="26" t="str">
        <f t="shared" ref="F44:F46" si="2">$E$12</f>
        <v>t CO2-e</v>
      </c>
    </row>
    <row r="45" spans="1:17" ht="20.100000000000001" customHeight="1" x14ac:dyDescent="0.25">
      <c r="A45" s="5" t="str">
        <f>HYPERLINK("#'4.3.1.5 Atmos deposition'!A1", "4.3.1.5 Atmos deposition")</f>
        <v>4.3.1.5 Atmos deposition</v>
      </c>
      <c r="D45" s="34" t="s">
        <v>822</v>
      </c>
      <c r="E45" s="234">
        <f>SUM(P25:P31)+N("Partial sum")</f>
        <v>0</v>
      </c>
      <c r="F45" s="26" t="str">
        <f t="shared" si="2"/>
        <v>t CO2-e</v>
      </c>
    </row>
    <row r="46" spans="1:17" ht="20.100000000000001" customHeight="1" x14ac:dyDescent="0.25">
      <c r="A46" s="5" t="str">
        <f>HYPERLINK("#'4.3.1.6-7 Leaching and runoff'!A1", "4.3.1.6-7 Leaching and runoff")</f>
        <v>4.3.1.6-7 Leaching and runoff</v>
      </c>
      <c r="D46" s="34" t="s">
        <v>823</v>
      </c>
      <c r="E46" s="234">
        <f>SUM(Q25:Q31)+N("Partial sum")</f>
        <v>0</v>
      </c>
      <c r="F46" s="26" t="str">
        <f t="shared" si="2"/>
        <v>t CO2-e</v>
      </c>
    </row>
    <row r="47" spans="1:17" ht="20.100000000000001" customHeight="1" x14ac:dyDescent="0.25">
      <c r="A47" s="5" t="str">
        <f>HYPERLINK("#'4.3.1.8 Manure applied to soils'!A1", "4.3.1.8 Manure applied to soils")</f>
        <v>4.3.1.8 Manure applied to soils</v>
      </c>
      <c r="H47" s="192"/>
      <c r="I47" s="192"/>
      <c r="J47" s="192"/>
      <c r="L47" s="192"/>
      <c r="N47" s="192"/>
      <c r="O47" s="192"/>
      <c r="P47" s="192"/>
      <c r="Q47" s="192"/>
    </row>
    <row r="48" spans="1:17" ht="20.100000000000001" customHeight="1" x14ac:dyDescent="0.25">
      <c r="A48" s="5" t="str">
        <f>HYPERLINK("#'4.3.1.9 Soil direct N2O'!A1", "4.3.1.9 Soil direct N2O")</f>
        <v>4.3.1.9 Soil direct N2O</v>
      </c>
      <c r="D48" s="231" t="str">
        <f>"Total scope 1 - " &amp; D32</f>
        <v>Total scope 1 - Power standalone machinery or heating</v>
      </c>
      <c r="E48" s="235"/>
      <c r="F48" s="233"/>
      <c r="H48" s="192"/>
      <c r="I48" s="192"/>
      <c r="J48" s="192"/>
      <c r="L48" s="192"/>
      <c r="N48" s="192"/>
      <c r="O48" s="192"/>
      <c r="P48" s="192"/>
      <c r="Q48" s="192"/>
    </row>
    <row r="49" spans="1:17" ht="20.100000000000001" customHeight="1" x14ac:dyDescent="0.25">
      <c r="A49" s="5" t="str">
        <f>HYPERLINK("#'4.3.1.10-11 Soil Atmos Dep'!A1", "4.3.1.10-11 Soil Atmos Dep")</f>
        <v>4.3.1.10-11 Soil Atmos Dep</v>
      </c>
      <c r="D49" s="34" t="s">
        <v>820</v>
      </c>
      <c r="E49" s="234">
        <f>SUM(N32:N40)+N("Partial sum")</f>
        <v>29.070800000000002</v>
      </c>
      <c r="F49" s="26" t="str">
        <f t="shared" ref="F49:F52" si="3">$E$12</f>
        <v>t CO2-e</v>
      </c>
      <c r="H49" s="192"/>
      <c r="I49" s="192"/>
      <c r="J49" s="192"/>
      <c r="L49" s="192"/>
      <c r="N49" s="192"/>
      <c r="O49" s="192"/>
      <c r="P49" s="192"/>
      <c r="Q49" s="192"/>
    </row>
    <row r="50" spans="1:17" ht="20.100000000000001" customHeight="1" x14ac:dyDescent="0.25">
      <c r="A50" s="5" t="str">
        <f>HYPERLINK("#'4.3.1.12-13 Soil leach runoff'!A1", "4.3.1.12-13 Soil leach runoff")</f>
        <v>4.3.1.12-13 Soil leach runoff</v>
      </c>
      <c r="D50" s="34" t="s">
        <v>821</v>
      </c>
      <c r="E50" s="234">
        <f>SUM(O32:O40)+N("Partial sum")</f>
        <v>7.2400000000000006E-2</v>
      </c>
      <c r="F50" s="26" t="str">
        <f t="shared" si="3"/>
        <v>t CO2-e</v>
      </c>
      <c r="H50" s="192"/>
      <c r="I50" s="192"/>
      <c r="J50" s="192"/>
      <c r="L50" s="192"/>
      <c r="N50" s="192"/>
      <c r="O50" s="192"/>
      <c r="P50" s="192"/>
      <c r="Q50" s="192"/>
    </row>
    <row r="51" spans="1:17" ht="20.100000000000001" customHeight="1" x14ac:dyDescent="0.25">
      <c r="A51" s="5" t="str">
        <f>HYPERLINK("#'3.3.1.1-2 Enteric Methane'!A1", "3.3.1.1-2 Enteric Methane")</f>
        <v>3.3.1.1-2 Enteric Methane</v>
      </c>
      <c r="D51" s="34" t="s">
        <v>822</v>
      </c>
      <c r="E51" s="234">
        <f>SUM(P32:P40)+N("Partial sum")</f>
        <v>7.1400000000000005E-2</v>
      </c>
      <c r="F51" s="26" t="str">
        <f t="shared" si="3"/>
        <v>t CO2-e</v>
      </c>
      <c r="H51" s="192"/>
      <c r="I51" s="192"/>
      <c r="J51" s="192"/>
      <c r="L51" s="192"/>
      <c r="N51" s="192"/>
      <c r="O51" s="192"/>
      <c r="P51" s="192"/>
      <c r="Q51" s="192"/>
    </row>
    <row r="52" spans="1:17" ht="20.100000000000001" customHeight="1" x14ac:dyDescent="0.25">
      <c r="A52" s="5" t="str">
        <f>HYPERLINK("#'10.1.1-2 Solid waste treatment'!A1", "10.1.1-2 Solid waste treatment")</f>
        <v>10.1.1-2 Solid waste treatment</v>
      </c>
      <c r="D52" s="34" t="s">
        <v>823</v>
      </c>
      <c r="E52" s="234">
        <f>SUM(Q32:Q40)+N("Partial sum")</f>
        <v>6.2923999999999998</v>
      </c>
      <c r="F52" s="26" t="str">
        <f t="shared" si="3"/>
        <v>t CO2-e</v>
      </c>
      <c r="G52" s="192"/>
      <c r="H52" s="192"/>
      <c r="I52" s="192"/>
      <c r="J52" s="192"/>
      <c r="L52" s="192"/>
      <c r="N52" s="192"/>
      <c r="O52" s="192"/>
      <c r="P52" s="192"/>
      <c r="Q52" s="192"/>
    </row>
    <row r="53" spans="1:17" ht="20.100000000000001" customHeight="1" x14ac:dyDescent="0.25">
      <c r="G53" s="192"/>
      <c r="H53" s="192"/>
      <c r="I53" s="192"/>
      <c r="J53" s="192"/>
      <c r="L53" s="192"/>
      <c r="N53" s="192"/>
      <c r="O53" s="192"/>
      <c r="P53" s="192"/>
      <c r="Q53" s="192"/>
    </row>
    <row r="54" spans="1:17" ht="20.100000000000001" customHeight="1" x14ac:dyDescent="0.25">
      <c r="D54" s="231" t="s">
        <v>834</v>
      </c>
      <c r="E54" s="235"/>
      <c r="F54" s="233"/>
      <c r="G54" s="192"/>
      <c r="H54" s="192"/>
      <c r="I54" s="192"/>
      <c r="J54" s="192"/>
      <c r="L54" s="192"/>
      <c r="N54" s="192"/>
      <c r="O54" s="192"/>
      <c r="P54" s="192"/>
      <c r="Q54" s="192"/>
    </row>
    <row r="55" spans="1:17" ht="20.100000000000001" customHeight="1" x14ac:dyDescent="0.25">
      <c r="A55" s="100" t="s">
        <v>1</v>
      </c>
      <c r="D55" s="34" t="s">
        <v>820</v>
      </c>
      <c r="E55" s="234">
        <f>E43+E49</f>
        <v>29.070800000000002</v>
      </c>
      <c r="F55" s="26" t="str">
        <f t="shared" ref="F55:F58" si="4">$E$12</f>
        <v>t CO2-e</v>
      </c>
      <c r="G55" s="192"/>
      <c r="H55" s="192"/>
      <c r="I55" s="192"/>
      <c r="J55" s="192"/>
      <c r="L55" s="192"/>
      <c r="N55" s="192"/>
      <c r="O55" s="192"/>
      <c r="P55" s="192"/>
      <c r="Q55" s="192"/>
    </row>
    <row r="56" spans="1:17" ht="20.100000000000001" customHeight="1" x14ac:dyDescent="0.25">
      <c r="A56" s="5" t="str">
        <f>HYPERLINK("#'Constants - Dairy'!A1", "Constants - Dairy")</f>
        <v>Constants - Dairy</v>
      </c>
      <c r="D56" s="34" t="s">
        <v>821</v>
      </c>
      <c r="E56" s="234">
        <f>E44+E50</f>
        <v>7.2400000000000006E-2</v>
      </c>
      <c r="F56" s="26" t="str">
        <f t="shared" si="4"/>
        <v>t CO2-e</v>
      </c>
      <c r="H56" s="192"/>
    </row>
    <row r="57" spans="1:17" ht="20.100000000000001" customHeight="1" x14ac:dyDescent="0.25">
      <c r="A57" s="5" t="str">
        <f>HYPERLINK("#'Constants - Ag Residue'!A1", "Constants - Ag residue")</f>
        <v>Constants - Ag residue</v>
      </c>
      <c r="D57" s="34" t="s">
        <v>822</v>
      </c>
      <c r="E57" s="234">
        <f>E45+E51</f>
        <v>7.1400000000000005E-2</v>
      </c>
      <c r="F57" s="26" t="str">
        <f t="shared" si="4"/>
        <v>t CO2-e</v>
      </c>
      <c r="G57" s="192"/>
      <c r="H57" s="192"/>
      <c r="I57" s="192"/>
      <c r="J57" s="192"/>
      <c r="L57" s="192"/>
      <c r="N57" s="192"/>
      <c r="O57" s="192"/>
      <c r="P57" s="192"/>
      <c r="Q57" s="192"/>
    </row>
    <row r="58" spans="1:17" ht="20.100000000000001" customHeight="1" x14ac:dyDescent="0.25">
      <c r="A58" s="5" t="str">
        <f>HYPERLINK("#'Constants - Common Livestock'!A1", "Constants - Common Livestock")</f>
        <v>Constants - Common Livestock</v>
      </c>
      <c r="D58" s="34" t="s">
        <v>823</v>
      </c>
      <c r="E58" s="234">
        <f>E46+E52</f>
        <v>6.2923999999999998</v>
      </c>
      <c r="F58" s="26" t="str">
        <f t="shared" si="4"/>
        <v>t CO2-e</v>
      </c>
      <c r="G58" s="192"/>
      <c r="H58" s="192"/>
      <c r="I58" s="192"/>
      <c r="J58" s="192"/>
      <c r="L58" s="192"/>
      <c r="N58" s="192"/>
      <c r="O58" s="192"/>
      <c r="P58" s="192"/>
      <c r="Q58" s="192"/>
    </row>
    <row r="59" spans="1:17" ht="20.100000000000001" customHeight="1" x14ac:dyDescent="0.25">
      <c r="A59" s="5" t="str">
        <f>HYPERLINK("#'Constants - Electricity'!A1", "Constants - Electricity")</f>
        <v>Constants - Electricity</v>
      </c>
      <c r="G59" s="192"/>
      <c r="H59" s="192"/>
      <c r="I59" s="192"/>
      <c r="J59" s="192"/>
      <c r="L59" s="192"/>
      <c r="N59" s="192"/>
      <c r="O59" s="192"/>
      <c r="P59" s="192"/>
      <c r="Q59" s="192"/>
    </row>
    <row r="60" spans="1:17" ht="20.100000000000001" customHeight="1" x14ac:dyDescent="0.25">
      <c r="A60" s="5" t="str">
        <f>HYPERLINK("#'Constants - Fertiliser'!A1", "Constants - Fertiliser")</f>
        <v>Constants - Fertiliser</v>
      </c>
      <c r="G60" s="192"/>
      <c r="H60" s="192"/>
      <c r="I60" s="192"/>
      <c r="J60" s="192"/>
      <c r="L60" s="192"/>
      <c r="N60" s="192"/>
      <c r="O60" s="192"/>
      <c r="P60" s="192"/>
      <c r="Q60" s="192"/>
    </row>
    <row r="61" spans="1:17" ht="20.100000000000001" customHeight="1" x14ac:dyDescent="0.25">
      <c r="A61" s="5" t="str">
        <f>HYPERLINK("#'Constants - Fuel'!A1", "Constants - Fuel")</f>
        <v>Constants - Fuel</v>
      </c>
      <c r="G61" s="192"/>
      <c r="H61" s="192"/>
      <c r="I61" s="192"/>
      <c r="J61" s="192"/>
      <c r="L61" s="192"/>
      <c r="N61" s="192"/>
      <c r="O61" s="192"/>
      <c r="P61" s="192"/>
      <c r="Q61" s="192"/>
    </row>
    <row r="62" spans="1:17" ht="20.100000000000001" customHeight="1" x14ac:dyDescent="0.25">
      <c r="A62" s="5" t="str">
        <f>HYPERLINK("#'Constants - Scope 3'!A1", "Constants - Scope 3")</f>
        <v>Constants - Scope 3</v>
      </c>
      <c r="G62" s="192"/>
      <c r="H62" s="192"/>
      <c r="I62" s="192"/>
      <c r="J62" s="192"/>
      <c r="L62" s="192"/>
      <c r="N62" s="192"/>
      <c r="O62" s="192"/>
      <c r="P62" s="192"/>
      <c r="Q62" s="192"/>
    </row>
    <row r="63" spans="1:17" ht="20.100000000000001" customHeight="1" x14ac:dyDescent="0.25">
      <c r="A63" s="5" t="str">
        <f>HYPERLINK("#'Constants - Common'!A1", "Constants - Common")</f>
        <v>Constants - Common</v>
      </c>
      <c r="G63" s="192"/>
      <c r="H63" s="192"/>
      <c r="I63" s="192"/>
      <c r="J63" s="192"/>
      <c r="L63" s="192"/>
      <c r="N63" s="192"/>
      <c r="O63" s="192"/>
      <c r="P63" s="192"/>
      <c r="Q63" s="192"/>
    </row>
    <row r="64" spans="1:17" ht="20.100000000000001" customHeight="1" x14ac:dyDescent="0.25">
      <c r="A64" s="5" t="str">
        <f>HYPERLINK("#'Acknowledgements'!A1", "Acknowledgements")</f>
        <v>Acknowledgements</v>
      </c>
      <c r="G64" s="192"/>
      <c r="H64" s="192"/>
      <c r="I64" s="192"/>
      <c r="J64" s="192"/>
      <c r="L64" s="192"/>
      <c r="N64" s="192"/>
      <c r="O64" s="192"/>
      <c r="P64" s="192"/>
      <c r="Q64" s="192"/>
    </row>
    <row r="65" spans="1:17" ht="20.100000000000001" customHeight="1" x14ac:dyDescent="0.25">
      <c r="A65" s="5" t="str">
        <f>HYPERLINK("#'Constants - Solid Waste'!A1", "Constants - Solid Waste")</f>
        <v>Constants - Solid Waste</v>
      </c>
      <c r="G65" s="192"/>
      <c r="H65" s="192"/>
      <c r="I65" s="192"/>
      <c r="J65" s="192"/>
      <c r="L65" s="192"/>
      <c r="N65" s="192"/>
      <c r="O65" s="192"/>
      <c r="P65" s="192"/>
      <c r="Q65" s="192"/>
    </row>
    <row r="66" spans="1:17" ht="20.100000000000001" customHeight="1" x14ac:dyDescent="0.25">
      <c r="G66" s="192"/>
      <c r="H66" s="192"/>
      <c r="I66" s="192"/>
      <c r="J66" s="192"/>
      <c r="L66" s="192"/>
      <c r="N66" s="192"/>
      <c r="O66" s="192"/>
      <c r="P66" s="192"/>
      <c r="Q66" s="192"/>
    </row>
    <row r="67" spans="1:17" ht="20.100000000000001" customHeight="1" x14ac:dyDescent="0.25">
      <c r="G67" s="192"/>
    </row>
    <row r="68" spans="1:17" ht="20.100000000000001" customHeight="1" x14ac:dyDescent="0.25">
      <c r="G68" s="192"/>
    </row>
    <row r="69" spans="1:17" ht="20.100000000000001" customHeight="1" x14ac:dyDescent="0.25">
      <c r="G69" s="192"/>
    </row>
    <row r="70" spans="1:17" ht="20.100000000000001" customHeight="1" x14ac:dyDescent="0.25">
      <c r="G70" s="192"/>
    </row>
    <row r="71" spans="1:17" ht="20.100000000000001" customHeight="1" x14ac:dyDescent="0.25">
      <c r="G71" s="19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3342A-2CE2-4156-BF3A-024F414FE246}">
  <dimension ref="A1:K342"/>
  <sheetViews>
    <sheetView showGridLines="0" topLeftCell="C1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0" customFormat="1" ht="30" customHeight="1" x14ac:dyDescent="0.35">
      <c r="A1" s="16" t="e" vm="1">
        <v>#VALUE!</v>
      </c>
      <c r="C1" s="30" t="s">
        <v>770</v>
      </c>
    </row>
    <row r="2" spans="1:11" s="3" customFormat="1" ht="20.100000000000001" customHeight="1" x14ac:dyDescent="0.25">
      <c r="A2"/>
    </row>
    <row r="3" spans="1:11" ht="20.100000000000001" customHeight="1" x14ac:dyDescent="0.25">
      <c r="A3" s="5" t="str">
        <f>HYPERLINK("#'Home'!A1", "Home")</f>
        <v>Home</v>
      </c>
      <c r="C3" s="32"/>
      <c r="D3" s="32" t="s">
        <v>136</v>
      </c>
      <c r="E3" s="32"/>
      <c r="F3" s="32"/>
      <c r="G3" s="32"/>
      <c r="H3" s="32"/>
      <c r="I3" s="32"/>
      <c r="J3" s="32"/>
      <c r="K3" s="32"/>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8" t="s">
        <v>262</v>
      </c>
      <c r="E8" s="118"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7" t="s">
        <v>263</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7" t="s">
        <v>122</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20" t="str" cm="1">
        <f t="array" ref="D14:E16">_xlfn.CHOOSECOLS(Electricity_Equations.VEERG_14_1_1__1_LocationBasedScopeElectricityEmissions_Arguments(),1,2)</f>
        <v>Q_elec</v>
      </c>
      <c r="E14" s="125" t="str">
        <v>amount of electricity purchased from the grid</v>
      </c>
      <c r="F14" s="126"/>
      <c r="G14" s="120" t="str" cm="1">
        <f t="array" ref="G14:H16">_xlfn.CHOOSECOLS(Electricity_Equations.VEERG_14_1_1__1_LocationBasedScopeElectricityEmissions_Arguments(),3,4)</f>
        <v>kWh</v>
      </c>
      <c r="H14" s="121" t="str">
        <v>Input</v>
      </c>
      <c r="I14" s="125">
        <f>X_Cell_Electricity_Location_AmountPurchasedInkWh</f>
        <v>30000</v>
      </c>
      <c r="J14" s="126"/>
    </row>
    <row r="15" spans="1:11" ht="20.100000000000001" customHeight="1" x14ac:dyDescent="0.25">
      <c r="A15" s="5" t="str">
        <f>HYPERLINK("#'Input - Pasture'!A1", "Pasture")</f>
        <v>Pasture</v>
      </c>
      <c r="D15" s="120" t="str">
        <v>EF_2elec</v>
      </c>
      <c r="E15" s="125" t="str">
        <v>location-based Scope 2 emission factor for electricity</v>
      </c>
      <c r="F15" s="126"/>
      <c r="G15" s="120" t="str">
        <v>kg CO2e/kWh</v>
      </c>
      <c r="H15" s="128" t="str">
        <v>Constant</v>
      </c>
      <c r="I15" s="125" cm="1">
        <f t="array" ref="I15">Common_InputFunctions.Utility_LookupValueInTableNumber(I16,Table_SourceData_ElectricityEFs[State, Territory or grid description],Table_SourceData_ElectricityEFs[Scope 2 Emission Factors (kg CO2-e/kWh)])</f>
        <v>0.56000000000000005</v>
      </c>
      <c r="J15" s="126"/>
    </row>
    <row r="16" spans="1:11" ht="20.100000000000001" customHeight="1" x14ac:dyDescent="0.25">
      <c r="A16" s="5" t="str">
        <f>HYPERLINK("#'Input - Fert Prod System'!A1", "Fert Prod System")</f>
        <v>Fert Prod System</v>
      </c>
      <c r="D16" s="120" t="str">
        <v>g</v>
      </c>
      <c r="E16" s="125" t="str">
        <v>Grid electricity was purchased from</v>
      </c>
      <c r="F16" s="126"/>
      <c r="G16" s="120" t="str">
        <v/>
      </c>
      <c r="H16" s="121" t="str">
        <v>Input</v>
      </c>
      <c r="I16" s="125" t="str">
        <f>X_Cell_Electricity_Location_GridElectricityPurchasedFrom</f>
        <v>Western Australia - North Western Interconnected System (NWIS)</v>
      </c>
      <c r="J16" s="126"/>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5" t="s">
        <v>771</v>
      </c>
      <c r="E18" s="136" cm="1">
        <f t="array" ref="E18">Electricity_Equations.VEERG_14_1_1__1_LocationBasedScopeElectricityEmissions(I14,I15)</f>
        <v>16.8</v>
      </c>
      <c r="F18" s="137" t="str">
        <f>$E$12</f>
        <v>t CO2e</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c r="C21" s="101"/>
      <c r="D21" s="101"/>
      <c r="E21" s="101"/>
      <c r="F21" s="101"/>
      <c r="G21" s="101"/>
      <c r="H21" s="101"/>
      <c r="I21" s="101"/>
      <c r="J21" s="101"/>
      <c r="K21" s="101"/>
    </row>
    <row r="22" spans="1:11" ht="20.100000000000001"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Freight'!A1", "Freight")</f>
        <v>Freight</v>
      </c>
      <c r="D23" s="2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3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Solid waste'!A1", "Solid waste")</f>
        <v>Solid waste</v>
      </c>
      <c r="D25" s="118" t="s">
        <v>262</v>
      </c>
      <c r="E25" s="118"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HYPERLINK("#'Input - Data quality'!A1", "Data quality")</f>
        <v>Data quality</v>
      </c>
    </row>
    <row r="27" spans="1:11" ht="20.100000000000001" customHeight="1" x14ac:dyDescent="0.25"/>
    <row r="28" spans="1:11" ht="20.100000000000001" customHeight="1" x14ac:dyDescent="0.25">
      <c r="D28" s="87" t="s">
        <v>263</v>
      </c>
      <c r="E28" s="1" t="str" cm="1">
        <f t="array" ref="E28">Electricity_Equations.VEERG_14_1_2__1_MarketBasedScopeElectricityEmissions_Variable()</f>
        <v>E_2elec</v>
      </c>
    </row>
    <row r="29" spans="1:11" ht="20.100000000000001" customHeight="1" x14ac:dyDescent="0.25">
      <c r="A29" s="6" t="s">
        <v>2</v>
      </c>
      <c r="D29" s="87" t="s">
        <v>122</v>
      </c>
      <c r="E29" s="15" t="str" cm="1">
        <f t="array" ref="E29">Electricity_Equations.VEERG_14_1_2__1_MarketBasedScopeElectricityEmissions_Unit()</f>
        <v>t CO2e</v>
      </c>
    </row>
    <row r="30" spans="1:11" ht="20.100000000000001" customHeight="1" x14ac:dyDescent="0.25">
      <c r="A30" s="5" t="str">
        <f>HYPERLINK("#'5.1.1.1-2 Inorganic fert N2O'!A1", "5.1.1.1-2 Inorganic fert N2O")</f>
        <v>5.1.1.1-2 Inorganic fert N2O</v>
      </c>
    </row>
    <row r="31" spans="1:11" ht="20.100000000000001" customHeight="1" x14ac:dyDescent="0.25">
      <c r="A31" s="5" t="str">
        <f>HYPERLINK("#'5.1.1.3-4 Inorganic fert CO2'!A1", "5.1.1.3-4 Inorganic fert CO2")</f>
        <v>5.1.1.3-4 Inorganic fert CO2</v>
      </c>
      <c r="D31" s="120" t="str" cm="1">
        <f t="array" ref="D31:E37">_xlfn.CHOOSECOLS(Electricity_Equations.VEERG_14_1_2__1_MarketBasedScopeElectricityEmissions_Arguments(),1,2)</f>
        <v>Q_elec</v>
      </c>
      <c r="E31" s="125" t="str">
        <v>amount of electricity purchased from the grid</v>
      </c>
      <c r="F31" s="133"/>
      <c r="G31" s="133"/>
      <c r="H31" s="120" t="str" cm="1">
        <f t="array" ref="H31:I37">_xlfn.CHOOSECOLS(Electricity_Equations.VEERG_14_1_2__1_MarketBasedScopeElectricityEmissions_Arguments(),3,4)</f>
        <v>kWh</v>
      </c>
      <c r="I31" s="121" t="str">
        <v>Input</v>
      </c>
      <c r="J31" s="120">
        <f>X_Cell_Electricity_Market_AmountPurchasedExcludingGreenPower</f>
        <v>30000</v>
      </c>
    </row>
    <row r="32" spans="1:11" ht="20.100000000000001" customHeight="1" x14ac:dyDescent="0.25">
      <c r="A32" s="5" t="str">
        <f>HYPERLINK("#'5.2.1.1-2 Organic Fert N2O'!A1", "5.2.1.1-2 Organic fert N2O")</f>
        <v>5.2.1.1-2 Organic fert N2O</v>
      </c>
      <c r="D32" s="120" t="str">
        <v>RPP</v>
      </c>
      <c r="E32" s="125" t="str">
        <v>Renewable Power Percentage under the Large-scale Renewable Energy Target (LRET)</v>
      </c>
      <c r="F32" s="133"/>
      <c r="G32" s="133"/>
      <c r="H32" s="120" t="str">
        <v>per cent</v>
      </c>
      <c r="I32" s="121" t="str">
        <v>Input</v>
      </c>
      <c r="J32" s="208">
        <f>X_Cell_Electricity_Market_RenewablePowerPercentage</f>
        <v>0.1</v>
      </c>
    </row>
    <row r="33" spans="1:10" ht="20.100000000000001" customHeight="1" x14ac:dyDescent="0.25">
      <c r="A33" s="5" t="str">
        <f>HYPERLINK("#'5.3.1.1-2 Lime CO2'!A1", "5.3.1.1-2 Lime CO2")</f>
        <v>5.3.1.1-2 Lime CO2</v>
      </c>
      <c r="D33" s="120" t="str">
        <v>JRPP</v>
      </c>
      <c r="E33" s="125" t="str">
        <v>jurisdictional renewable power percentage for the applicable period (ACT only)</v>
      </c>
      <c r="F33" s="133"/>
      <c r="G33" s="133"/>
      <c r="H33" s="120" t="str">
        <v>per cent</v>
      </c>
      <c r="I33" s="121" t="str">
        <v>Input</v>
      </c>
      <c r="J33" s="208" t="str">
        <f>IF(J37="ACT", X_Cell_Electricity_Market_JurisdictionalRenewablePowerPercentage, "N/A")</f>
        <v>N/A</v>
      </c>
    </row>
    <row r="34" spans="1:10" ht="20.100000000000001" customHeight="1" x14ac:dyDescent="0.25">
      <c r="A34" s="5" t="str">
        <f>HYPERLINK("#'5.4.1.1-4 Atmos deposition'!A1", "5.4.1.1-4 Atmos. deposition")</f>
        <v>5.4.1.1-4 Atmos. deposition</v>
      </c>
      <c r="D34" s="120" t="str">
        <v>REC_surrendered</v>
      </c>
      <c r="E34" s="125" t="str">
        <v>Renewable Energy Certificates voluntarily surrendered in the reporting year</v>
      </c>
      <c r="F34" s="133"/>
      <c r="G34" s="133"/>
      <c r="H34" s="120" t="str">
        <v>MWh</v>
      </c>
      <c r="I34" s="121" t="str">
        <v>Input</v>
      </c>
      <c r="J34" s="120">
        <f>(X_Cell_Electricity_Market_AmountPurchasedGreenPower*10^-3)+X_Cell_TotalElegibleVoluntarilySurrenderedRECs</f>
        <v>20</v>
      </c>
    </row>
    <row r="35" spans="1:10" ht="20.100000000000001" customHeight="1" x14ac:dyDescent="0.25">
      <c r="A35" s="5" t="str">
        <f>HYPERLINK("#'5.5.1.1-2 Leaching and runoff'!A1", "5.5.1.1-2 Leaching &amp; runoff")</f>
        <v>5.5.1.1-2 Leaching &amp; runoff</v>
      </c>
      <c r="D35" s="120" t="str">
        <v>REC_onsite</v>
      </c>
      <c r="E35" s="125" t="str">
        <v>Renewable Energy Certificates issued for electricity produced on-site during the year and consumed by the entity</v>
      </c>
      <c r="F35" s="133"/>
      <c r="G35" s="133"/>
      <c r="H35" s="120" t="str">
        <v>MWh</v>
      </c>
      <c r="I35" s="121" t="str">
        <v>Input</v>
      </c>
      <c r="J35" s="120">
        <f>X_Cell_TotalElegibleRECsForElectricityProducedOnSite</f>
        <v>11</v>
      </c>
    </row>
    <row r="36" spans="1:10" ht="20.100000000000001" customHeight="1" x14ac:dyDescent="0.25">
      <c r="A36" s="5" t="str">
        <f>HYPERLINK("#'6.2.1.1-2 Pasture residue N2O'!A1", "6.2.1.1-2 Pasture residue N2O")</f>
        <v>6.2.1.1-2 Pasture residue N2O</v>
      </c>
      <c r="D36" s="120" t="str">
        <v>EF_RMF2elec</v>
      </c>
      <c r="E36" s="125" t="str">
        <v>Scope 2 residual mix emission factor for electricity</v>
      </c>
      <c r="F36" s="133"/>
      <c r="G36" s="133"/>
      <c r="H36" s="120" t="str">
        <v>kg CO2e/kWh</v>
      </c>
      <c r="I36" s="128" t="str">
        <v>Constant</v>
      </c>
      <c r="J36" s="120" cm="1">
        <f t="array" ref="J36">Table_SourceData_ElectricityEFsMarketBased[Scope 2 EF (kg CO2-e/kWh)]</f>
        <v>0.81</v>
      </c>
    </row>
    <row r="37" spans="1:10" ht="20.100000000000001" customHeight="1" x14ac:dyDescent="0.25">
      <c r="A37" s="5" t="str">
        <f>HYPERLINK("#'6.3.1.1-2 Leach runoff pasture'!A1", "6.3.1.1-2 Leach &amp; runoff (pasture)")</f>
        <v>6.3.1.1-2 Leach &amp; runoff (pasture)</v>
      </c>
      <c r="D37" s="120" t="str">
        <v>i</v>
      </c>
      <c r="E37" s="125" t="str">
        <v>state</v>
      </c>
      <c r="F37" s="133"/>
      <c r="G37" s="126"/>
      <c r="H37" s="120" t="str">
        <v/>
      </c>
      <c r="I37" s="121" t="str">
        <v>Input</v>
      </c>
      <c r="J37" s="120" t="str">
        <f>X_Cell_Site_State</f>
        <v>Western Australia</v>
      </c>
    </row>
    <row r="38" spans="1:10" ht="20.100000000000001" customHeight="1" x14ac:dyDescent="0.25">
      <c r="A38" s="5" t="str">
        <f>HYPERLINK("#'8.1.1.1-2 Transport fuel'!A1", "8.1.1.1-2 Transport fuel")</f>
        <v>8.1.1.1-2 Transport fuel</v>
      </c>
    </row>
    <row r="39" spans="1:10" ht="20.100000000000001" customHeight="1" x14ac:dyDescent="0.25">
      <c r="A39" s="5" t="str">
        <f>HYPERLINK("#'8.2.1.1-2 Stationary fuel'!A1", "8.2.1.1-2 Stationary fuel")</f>
        <v>8.2.1.1-2 Stationary fuel</v>
      </c>
      <c r="D39" s="135" t="s">
        <v>771</v>
      </c>
      <c r="E39" s="136" cm="1">
        <f t="array" ref="E39">Electricity_Equations.VEERG_14_1_2__1_MarketBasedScopeElectricityEmissionsVariation(J31,J32,IF(ISNUMBER(J33), J33, 0),J34,J35,J36)</f>
        <v>14.580000000000002</v>
      </c>
      <c r="F39" s="137" t="str">
        <f>E29</f>
        <v>t CO2e</v>
      </c>
    </row>
    <row r="40" spans="1:10" ht="20.100000000000001" customHeight="1" x14ac:dyDescent="0.25">
      <c r="A40" s="119" t="str">
        <f>HYPERLINK("#'14.1.1-2 Purchased electricity'!A1", "14.1.1-2 Purchased electricity")</f>
        <v>14.1.1-2 Purchased electricity</v>
      </c>
      <c r="H40" s="1" t="s">
        <v>487</v>
      </c>
    </row>
    <row r="41" spans="1:10" ht="20.100000000000001" customHeight="1" x14ac:dyDescent="0.25">
      <c r="A41" s="5" t="str">
        <f>HYPERLINK("#'15 Scope 3'!A1", "15 Scope 3")</f>
        <v>15 Scope 3</v>
      </c>
    </row>
    <row r="42" spans="1:10" ht="20.100000000000001" customHeight="1" x14ac:dyDescent="0.25">
      <c r="A42" s="5" t="str">
        <f>HYPERLINK("#'Calcs - Manure sent off-site'!A1", "Calcs - Manure sent off-site")</f>
        <v>Calcs - Manure sent off-site</v>
      </c>
    </row>
    <row r="43" spans="1:10" ht="20.100000000000001" customHeight="1" x14ac:dyDescent="0.25">
      <c r="A43" s="5" t="str">
        <f>HYPERLINK("#'4.3.1.1-2 Methane'!A1", "4.3.1.1-2 Methane")</f>
        <v>4.3.1.1-2 Methane</v>
      </c>
    </row>
    <row r="44" spans="1:10" ht="20.100000000000001" customHeight="1" x14ac:dyDescent="0.25">
      <c r="A44" s="5" t="str">
        <f>HYPERLINK("#'4.3.1.3-4 Direct N20'!A1", "4.3.1.3-4 Direct N20")</f>
        <v>4.3.1.3-4 Direct N20</v>
      </c>
      <c r="E44" s="168"/>
    </row>
    <row r="45" spans="1:10" ht="20.100000000000001" customHeight="1" x14ac:dyDescent="0.25">
      <c r="A45" s="5" t="str">
        <f>HYPERLINK("#'4.3.1.5 Atmos deposition'!A1", "4.3.1.5 Atmos deposition")</f>
        <v>4.3.1.5 Atmos deposition</v>
      </c>
    </row>
    <row r="46" spans="1:10" ht="20.100000000000001" customHeight="1" x14ac:dyDescent="0.25">
      <c r="A46" s="5" t="str">
        <f>HYPERLINK("#'4.3.1.6-7 Leaching and runoff'!A1", "4.3.1.6-7 Leaching and runoff")</f>
        <v>4.3.1.6-7 Leaching and runoff</v>
      </c>
    </row>
    <row r="47" spans="1:10" ht="20.100000000000001" customHeight="1" x14ac:dyDescent="0.25">
      <c r="A47" s="5" t="str">
        <f>HYPERLINK("#'4.3.1.8 Manure applied to soils'!A1", "4.3.1.8 Manure applied to soils")</f>
        <v>4.3.1.8 Manure applied to soils</v>
      </c>
    </row>
    <row r="48" spans="1:10"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68664222-212F-4286-93CE-CA485B8F6A6F}"/>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5B029-87A0-4F91-9739-6FF3487EB1E1}">
  <sheetPr>
    <tabColor theme="9" tint="-0.249977111117893"/>
  </sheetPr>
  <dimension ref="A1:AO642"/>
  <sheetViews>
    <sheetView showGridLines="0" topLeftCell="L208"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40" width="35" style="1" customWidth="1"/>
    <col min="41" max="41" width="5.28515625" style="1" customWidth="1"/>
    <col min="42" max="16384" width="9.140625" style="261"/>
  </cols>
  <sheetData>
    <row r="1" spans="1:41" s="30" customFormat="1" ht="30" customHeight="1" x14ac:dyDescent="0.35">
      <c r="A1" s="16" t="e" vm="1">
        <v>#VALUE!</v>
      </c>
      <c r="C1" s="30" t="s">
        <v>1130</v>
      </c>
    </row>
    <row r="2" spans="1:41" s="3" customFormat="1" ht="20.100000000000001" customHeight="1" x14ac:dyDescent="0.25">
      <c r="A2"/>
    </row>
    <row r="3" spans="1:4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8" t="s">
        <v>262</v>
      </c>
      <c r="E7" s="118"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8"/>
    </row>
    <row r="10" spans="1:41" ht="20.100000000000001" customHeight="1" x14ac:dyDescent="0.25">
      <c r="A10" s="5" t="str">
        <f>HYPERLINK("#'Input - Site'!A1", "Site")</f>
        <v>Site</v>
      </c>
      <c r="D10" s="87" t="s">
        <v>263</v>
      </c>
      <c r="E10" s="1" t="str" cm="1">
        <f t="array" ref="E10">Scope3_Equations.VEERG_15_1_1_1__1_EmissionsFromPurchasedLivestock_Variable()</f>
        <v>E</v>
      </c>
    </row>
    <row r="11" spans="1:41" ht="20.100000000000001" customHeight="1" x14ac:dyDescent="0.25">
      <c r="A11" s="5" t="str">
        <f>HYPERLINK("#'Input - Dairy'!A1", "Dairy")</f>
        <v>Dairy</v>
      </c>
      <c r="D11" s="87" t="s">
        <v>122</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20" t="str" cm="1">
        <f t="array" ref="D13:E17">_xlfn.CHOOSECOLS(Scope3_Equations.VEERG_15_1_1_1__1_EmissionsFromPurchasedLivestock_Arguments(),1,2)</f>
        <v>N_co</v>
      </c>
      <c r="E13" s="125" t="str">
        <v>number of animals purchased in livestock type c from origin o</v>
      </c>
      <c r="F13" s="126"/>
      <c r="G13" s="120" t="str" cm="1">
        <f t="array" ref="G13:H17">_xlfn.CHOOSECOLS(Scope3_Equations.VEERG_15_1_1_1__1_EmissionsFromPurchasedLivestock_Arguments(),3,4)</f>
        <v>head</v>
      </c>
      <c r="H13" s="275" t="str">
        <v>Input</v>
      </c>
    </row>
    <row r="14" spans="1:41" ht="20.100000000000001" customHeight="1" x14ac:dyDescent="0.25">
      <c r="A14" s="5" t="str">
        <f>HYPERLINK("#'Input - Dairy cattle purchases'!A1", "Dairy cattle purchases")</f>
        <v>Dairy cattle purchases</v>
      </c>
      <c r="D14" s="120" t="str">
        <v>W_co</v>
      </c>
      <c r="E14" s="125" t="str">
        <v>average liveweight of purchased livestock at point of purchase</v>
      </c>
      <c r="F14" s="126"/>
      <c r="G14" s="120" t="str">
        <v>kg/head</v>
      </c>
      <c r="H14" s="275" t="str">
        <v>Input</v>
      </c>
    </row>
    <row r="15" spans="1:41" ht="20.100000000000001" customHeight="1" x14ac:dyDescent="0.25">
      <c r="A15" s="5" t="str">
        <f>HYPERLINK("#'Input - Pasture'!A1", "Pasture")</f>
        <v>Pasture</v>
      </c>
      <c r="D15" s="120" t="str">
        <v>EF_co</v>
      </c>
      <c r="E15" s="125" t="str">
        <v>emission factor per livestock type and origin</v>
      </c>
      <c r="F15" s="126"/>
      <c r="G15" s="120" t="str">
        <v>kg CO2e/kg</v>
      </c>
      <c r="H15" s="128" t="str">
        <v>Constant</v>
      </c>
    </row>
    <row r="16" spans="1:41" ht="20.100000000000001" customHeight="1" x14ac:dyDescent="0.25">
      <c r="A16" s="5" t="str">
        <f>HYPERLINK("#'Input - Fert Prod System'!A1", "Fert Prod System")</f>
        <v>Fert Prod System</v>
      </c>
      <c r="D16" s="120" t="str">
        <v>c</v>
      </c>
      <c r="E16" s="125" t="str">
        <v>livestock type</v>
      </c>
      <c r="F16" s="126"/>
      <c r="G16" s="120" t="str">
        <v/>
      </c>
      <c r="H16" s="275" t="str">
        <v>Input</v>
      </c>
    </row>
    <row r="17" spans="1:16" ht="20.100000000000001" customHeight="1" x14ac:dyDescent="0.25">
      <c r="A17" s="5" t="str">
        <f>HYPERLINK("#'Input - Fertiliser'!A1", "Fertiliser")</f>
        <v>Fertiliser</v>
      </c>
      <c r="D17" s="120" t="str">
        <v>o</v>
      </c>
      <c r="E17" s="125" t="str">
        <v>origin</v>
      </c>
      <c r="F17" s="126"/>
      <c r="G17" s="120" t="str">
        <v/>
      </c>
      <c r="H17" s="275"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5" t="s">
        <v>1131</v>
      </c>
      <c r="E19" s="47"/>
      <c r="F19" s="48"/>
    </row>
    <row r="20" spans="1:16" ht="20.100000000000001" customHeight="1" x14ac:dyDescent="0.25">
      <c r="A20" s="5" t="str">
        <f>HYPERLINK("#'Input - Common farm inputs'!A1", "Common farm inputs")</f>
        <v>Common farm inputs</v>
      </c>
    </row>
    <row r="21" spans="1:16" ht="20.100000000000001" customHeight="1" x14ac:dyDescent="0.25">
      <c r="A21" s="5" t="str">
        <f>HYPERLINK("#'Input - Crop pasture farm input'!A1", "Crop pasture farm input")</f>
        <v>Crop pasture farm input</v>
      </c>
      <c r="D21" s="267" t="s">
        <v>1132</v>
      </c>
    </row>
    <row r="22" spans="1:16" ht="20.100000000000001" customHeight="1" x14ac:dyDescent="0.25">
      <c r="A22" s="5" t="str">
        <f>HYPERLINK("#'Input - Livestock farm Inputs'!A1", "Livestock farm Inputs")</f>
        <v>Livestock farm Inputs</v>
      </c>
      <c r="D22" s="94" t="s">
        <v>1133</v>
      </c>
      <c r="E22" s="276" t="s">
        <v>1134</v>
      </c>
      <c r="F22" s="276" t="s">
        <v>1135</v>
      </c>
      <c r="G22" s="276" t="s">
        <v>1136</v>
      </c>
      <c r="H22" s="276" t="s">
        <v>1137</v>
      </c>
      <c r="I22" s="124" t="s">
        <v>1138</v>
      </c>
      <c r="J22" s="124" t="s">
        <v>1139</v>
      </c>
      <c r="K22" s="276" t="s">
        <v>1140</v>
      </c>
      <c r="L22" s="94" t="s">
        <v>1141</v>
      </c>
      <c r="M22" s="124" t="s">
        <v>1142</v>
      </c>
      <c r="N22" s="94" t="s">
        <v>1143</v>
      </c>
      <c r="O22" s="94" t="s">
        <v>1144</v>
      </c>
      <c r="P22" s="94" t="s">
        <v>1145</v>
      </c>
    </row>
    <row r="23" spans="1:16" ht="20.100000000000001" customHeight="1" x14ac:dyDescent="0.25">
      <c r="A23" s="5" t="str">
        <f>HYPERLINK("#'Input - Freight'!A1", "Freight")</f>
        <v>Freight</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7" cm="1">
        <f t="array" ref="J23">Scope3_Equations.VEERG_15_1_1_1__1_EmissionsFromPurchasedLivestock(G23,H23,I23)</f>
        <v>0</v>
      </c>
      <c r="K23" s="25"/>
      <c r="L23" s="85">
        <v>20</v>
      </c>
      <c r="M23" s="277" cm="1">
        <f t="array" ref="M23">Scope3_Equations.VEERG_15_1_1_1__1_EmissionsFromPurchasedLivestock(G23,K23,IF(L23, L23, I23))</f>
        <v>0</v>
      </c>
      <c r="N23" s="43" t="s">
        <v>1146</v>
      </c>
      <c r="O23" s="23" t="s">
        <v>1147</v>
      </c>
      <c r="P23" s="261" t="s">
        <v>1148</v>
      </c>
    </row>
    <row r="24" spans="1:16" ht="20.100000000000001" customHeight="1" x14ac:dyDescent="0.25">
      <c r="A24" s="5" t="str">
        <f>HYPERLINK("#'Input - Manure sent off-site'!A1", "Manure sent off-site")</f>
        <v>Manure sent off-site</v>
      </c>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7" cm="1">
        <f t="array" ref="J24">Scope3_Equations.VEERG_15_1_1_1__1_EmissionsFromPurchasedLivestock(G24,H24,I24)</f>
        <v>0</v>
      </c>
      <c r="K24" s="25"/>
      <c r="L24" s="85">
        <v>13</v>
      </c>
      <c r="M24" s="277" cm="1">
        <f t="array" ref="M24">Scope3_Equations.VEERG_15_1_1_1__1_EmissionsFromPurchasedLivestock(G24,K24,IF(L24, L24, I24))</f>
        <v>0</v>
      </c>
      <c r="N24" s="43"/>
      <c r="O24" s="23"/>
      <c r="P24" s="43"/>
    </row>
    <row r="25" spans="1:16" ht="20.100000000000001" customHeight="1" x14ac:dyDescent="0.25">
      <c r="A25" s="5" t="str">
        <f>HYPERLINK("#'Input - Solid waste'!A1", "Solid waste")</f>
        <v>Solid waste</v>
      </c>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7" cm="1">
        <f t="array" ref="J25">Scope3_Equations.VEERG_15_1_1_1__1_EmissionsFromPurchasedLivestock(G25,H25,I25)</f>
        <v>0</v>
      </c>
      <c r="K25" s="25"/>
      <c r="L25" s="85"/>
      <c r="M25" s="277" cm="1">
        <f t="array" ref="M25">Scope3_Equations.VEERG_15_1_1_1__1_EmissionsFromPurchasedLivestock(G25,K25,IF(L25, L25, I25))</f>
        <v>0</v>
      </c>
      <c r="N25" s="43"/>
      <c r="O25" s="23"/>
      <c r="P25" s="43"/>
    </row>
    <row r="26" spans="1:16" ht="20.100000000000001" customHeight="1" x14ac:dyDescent="0.25">
      <c r="A26" s="5" t="str">
        <f>HYPERLINK("#'Input - Data quality'!A1", "Data quality")</f>
        <v>Data quality</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7" cm="1">
        <f t="array" ref="J26">Scope3_Equations.VEERG_15_1_1_1__1_EmissionsFromPurchasedLivestock(G26,H26,I26)</f>
        <v>0</v>
      </c>
      <c r="K26" s="25"/>
      <c r="L26" s="85"/>
      <c r="M26" s="277" cm="1">
        <f t="array" ref="M26">Scope3_Equations.VEERG_15_1_1_1__1_EmissionsFromPurchasedLivestock(G26,K26,IF(L26, L26, I26))</f>
        <v>0</v>
      </c>
      <c r="N26" s="43"/>
      <c r="O26" s="23"/>
      <c r="P26" s="43"/>
    </row>
    <row r="27" spans="1:16" ht="20.100000000000001" customHeight="1" x14ac:dyDescent="0.25">
      <c r="A27"/>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7" cm="1">
        <f t="array" ref="J27">Scope3_Equations.VEERG_15_1_1_1__1_EmissionsFromPurchasedLivestock(G27,H27,I27)</f>
        <v>0</v>
      </c>
      <c r="K27" s="25"/>
      <c r="L27" s="85"/>
      <c r="M27" s="277" cm="1">
        <f t="array" ref="M27">Scope3_Equations.VEERG_15_1_1_1__1_EmissionsFromPurchasedLivestock(G27,K27,IF(L27, L27, I27))</f>
        <v>0</v>
      </c>
      <c r="N27" s="43"/>
      <c r="O27" s="23"/>
      <c r="P27" s="43"/>
    </row>
    <row r="28" spans="1:16" ht="20.100000000000001" customHeight="1" x14ac:dyDescent="0.25">
      <c r="A28"/>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7" cm="1">
        <f t="array" ref="J28">Scope3_Equations.VEERG_15_1_1_1__1_EmissionsFromPurchasedLivestock(G28,H28,I28)</f>
        <v>0</v>
      </c>
      <c r="K28" s="25"/>
      <c r="L28" s="85"/>
      <c r="M28" s="277" cm="1">
        <f t="array" ref="M28">Scope3_Equations.VEERG_15_1_1_1__1_EmissionsFromPurchasedLivestock(G28,K28,IF(L28, L28, I28))</f>
        <v>0</v>
      </c>
      <c r="N28" s="43"/>
      <c r="O28" s="23"/>
      <c r="P28" s="43"/>
    </row>
    <row r="29" spans="1:16" ht="20.100000000000001" customHeight="1" x14ac:dyDescent="0.25">
      <c r="A29" s="6" t="s">
        <v>2</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7" cm="1">
        <f t="array" ref="J29">Scope3_Equations.VEERG_15_1_1_1__1_EmissionsFromPurchasedLivestock(G29,H29,I29)</f>
        <v>0</v>
      </c>
      <c r="K29" s="25"/>
      <c r="L29" s="85"/>
      <c r="M29" s="277" cm="1">
        <f t="array" ref="M29">Scope3_Equations.VEERG_15_1_1_1__1_EmissionsFromPurchasedLivestock(G29,K29,IF(L29, L29, I29))</f>
        <v>0</v>
      </c>
      <c r="N29" s="43"/>
      <c r="O29" s="23"/>
      <c r="P29" s="43"/>
    </row>
    <row r="30" spans="1:16" ht="20.100000000000001" customHeight="1" x14ac:dyDescent="0.25">
      <c r="A30" s="5" t="str">
        <f>HYPERLINK("#'5.1.1.1-2 Inorganic fert N2O'!A1", "5.1.1.1-2 Inorganic fert N2O")</f>
        <v>5.1.1.1-2 Inorganic fert N2O</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7" cm="1">
        <f t="array" ref="J30">Scope3_Equations.VEERG_15_1_1_1__1_EmissionsFromPurchasedLivestock(G30,H30,I30)</f>
        <v>0</v>
      </c>
      <c r="K30" s="25"/>
      <c r="L30" s="85"/>
      <c r="M30" s="277" cm="1">
        <f t="array" ref="M30">Scope3_Equations.VEERG_15_1_1_1__1_EmissionsFromPurchasedLivestock(G30,K30,IF(L30, L30, I30))</f>
        <v>0</v>
      </c>
      <c r="N30" s="43"/>
      <c r="O30" s="23"/>
      <c r="P30" s="43"/>
    </row>
    <row r="31" spans="1:16" ht="20.100000000000001" customHeight="1" x14ac:dyDescent="0.25">
      <c r="A31" s="5" t="str">
        <f>HYPERLINK("#'5.1.1.3-4 Inorganic fert CO2'!A1", "5.1.1.3-4 Inorganic fert CO2")</f>
        <v>5.1.1.3-4 Inorganic fert CO2</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7" cm="1">
        <f t="array" ref="J31">Scope3_Equations.VEERG_15_1_1_1__1_EmissionsFromPurchasedLivestock(G31,H31,I31)</f>
        <v>0</v>
      </c>
      <c r="K31" s="25"/>
      <c r="L31" s="85"/>
      <c r="M31" s="277" cm="1">
        <f t="array" ref="M31">Scope3_Equations.VEERG_15_1_1_1__1_EmissionsFromPurchasedLivestock(G31,K31,IF(L31, L31, I31))</f>
        <v>0</v>
      </c>
      <c r="N31" s="43"/>
      <c r="O31" s="23"/>
      <c r="P31" s="43"/>
    </row>
    <row r="32" spans="1:16" ht="20.100000000000001" customHeight="1" x14ac:dyDescent="0.25">
      <c r="A32" s="5" t="str">
        <f>HYPERLINK("#'5.2.1.1-2 Organic Fert N2O'!A1", "5.2.1.1-2 Organic fert N2O")</f>
        <v>5.2.1.1-2 Organic fert N2O</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7" cm="1">
        <f t="array" ref="J32">Scope3_Equations.VEERG_15_1_1_1__1_EmissionsFromPurchasedLivestock(G32,H32,I32)</f>
        <v>0</v>
      </c>
      <c r="K32" s="25"/>
      <c r="L32" s="85"/>
      <c r="M32" s="277" cm="1">
        <f t="array" ref="M32">Scope3_Equations.VEERG_15_1_1_1__1_EmissionsFromPurchasedLivestock(G32,K32,IF(L32, L32, I32))</f>
        <v>0</v>
      </c>
      <c r="N32" s="43"/>
      <c r="O32" s="23"/>
      <c r="P32" s="43"/>
    </row>
    <row r="33" spans="1:13" ht="20.100000000000001" customHeight="1" x14ac:dyDescent="0.25">
      <c r="A33" s="5" t="str">
        <f>HYPERLINK("#'5.3.1.1-2 Lime CO2'!A1", "5.3.1.1-2 Lime CO2")</f>
        <v>5.3.1.1-2 Lime CO2</v>
      </c>
    </row>
    <row r="34" spans="1:13" ht="20.100000000000001" customHeight="1" x14ac:dyDescent="0.25">
      <c r="A34" s="5" t="str">
        <f>HYPERLINK("#'5.4.1.1-4 Atmos deposition'!A1", "5.4.1.1-4 Atmos. deposition")</f>
        <v>5.4.1.1-4 Atmos. deposition</v>
      </c>
      <c r="D34" s="142" t="s">
        <v>1149</v>
      </c>
      <c r="E34" s="101">
        <f>SUM(J23:J32)</f>
        <v>0</v>
      </c>
      <c r="F34" s="140" t="str">
        <f>$E$11</f>
        <v>t CO2e</v>
      </c>
    </row>
    <row r="35" spans="1:13" ht="20.100000000000001" customHeight="1" x14ac:dyDescent="0.25">
      <c r="A35" s="5" t="str">
        <f>HYPERLINK("#'5.5.1.1-2 Leaching and runoff'!A1", "5.5.1.1-2 Leaching &amp; runoff")</f>
        <v>5.5.1.1-2 Leaching &amp; runoff</v>
      </c>
      <c r="D35" s="142" t="s">
        <v>1150</v>
      </c>
      <c r="E35" s="101">
        <f>SUM(M23:M32)</f>
        <v>0</v>
      </c>
      <c r="F35" s="140" t="str">
        <f>$E$11</f>
        <v>t CO2e</v>
      </c>
    </row>
    <row r="36" spans="1:13" ht="20.100000000000001" customHeight="1" x14ac:dyDescent="0.25">
      <c r="A36" s="5" t="str">
        <f>HYPERLINK("#'6.2.1.1-2 Pasture residue N2O'!A1", "6.2.1.1-2 Pasture residue N2O")</f>
        <v>6.2.1.1-2 Pasture residue N2O</v>
      </c>
    </row>
    <row r="37" spans="1:13" ht="20.100000000000001" customHeight="1" x14ac:dyDescent="0.25">
      <c r="A37" s="5" t="str">
        <f>HYPERLINK("#'6.3.1.1-2 Leach runoff pasture'!A1", "6.3.1.1-2 Leach &amp; runoff (pasture)")</f>
        <v>6.3.1.1-2 Leach &amp; runoff (pasture)</v>
      </c>
    </row>
    <row r="38" spans="1:13" ht="20.100000000000001" customHeight="1" x14ac:dyDescent="0.25">
      <c r="A38" s="5" t="str">
        <f>HYPERLINK("#'8.1.1.1-2 Transport fuel'!A1", "8.1.1.1-2 Transport fuel")</f>
        <v>8.1.1.1-2 Transport fuel</v>
      </c>
      <c r="D38" s="267" t="s">
        <v>1151</v>
      </c>
    </row>
    <row r="39" spans="1:13" ht="20.100000000000001" customHeight="1" x14ac:dyDescent="0.25">
      <c r="A39" s="5" t="str">
        <f>HYPERLINK("#'8.2.1.1-2 Stationary fuel'!A1", "8.2.1.1-2 Stationary fuel")</f>
        <v>8.2.1.1-2 Stationary fuel</v>
      </c>
      <c r="D39" s="120" t="s">
        <v>1152</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HYPERLINK("#'14.1.1-2 Purchased electricity'!A1", "14.1.1-2 Purchased electricity")</f>
        <v>14.1.1-2 Purchased electricity</v>
      </c>
    </row>
    <row r="41" spans="1:13" ht="20.100000000000001" customHeight="1" x14ac:dyDescent="0.25">
      <c r="A41" s="119" t="str">
        <f>HYPERLINK("#'15 Scope 3'!A1", "15 Scope 3")</f>
        <v>15 Scope 3</v>
      </c>
      <c r="D41" s="94" t="s">
        <v>1133</v>
      </c>
      <c r="E41" s="276" t="s">
        <v>1136</v>
      </c>
      <c r="F41" s="276" t="s">
        <v>1137</v>
      </c>
      <c r="G41" s="124" t="s">
        <v>1139</v>
      </c>
      <c r="H41" s="276" t="s">
        <v>1140</v>
      </c>
      <c r="I41" s="94" t="s">
        <v>1141</v>
      </c>
      <c r="J41" s="124" t="s">
        <v>1142</v>
      </c>
      <c r="K41" s="94" t="s">
        <v>1143</v>
      </c>
      <c r="L41" s="94" t="s">
        <v>1144</v>
      </c>
      <c r="M41" s="94" t="s">
        <v>1145</v>
      </c>
    </row>
    <row r="42" spans="1:13" ht="20.100000000000001" customHeight="1" x14ac:dyDescent="0.25">
      <c r="A42" s="5" t="str">
        <f>HYPERLINK("#'Calcs - Manure sent off-site'!A1", "Calcs - Manure sent off-site")</f>
        <v>Calcs - Manure sent off-site</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7" cm="1">
        <f t="array" ref="G42">Scope3_Equations.VEERG_15_1_1_1__1_EmissionsFromPurchasedLivestock(E42,F42,$E$39)</f>
        <v>57.33</v>
      </c>
      <c r="H42" s="25" cm="1">
        <f t="array" ref="H42:H51">IFERROR(INDEX(Table_Input_LivestockPurchases_Dairy[Liveweight (kg/head) Method 2], _xlfn.SEQUENCE(10)), "")</f>
        <v>350</v>
      </c>
      <c r="I42" s="85">
        <v>4</v>
      </c>
      <c r="J42" s="277" cm="1">
        <f t="array" ref="J42">Scope3_Equations.VEERG_15_1_1_1__1_EmissionsFromPurchasedLivestock(E42,H42,IF(I42,I42,$E$39))</f>
        <v>140</v>
      </c>
      <c r="K42" s="43" t="s">
        <v>1146</v>
      </c>
      <c r="L42" s="23" t="s">
        <v>1147</v>
      </c>
      <c r="M42" s="261" t="s">
        <v>1148</v>
      </c>
    </row>
    <row r="43" spans="1:13" ht="20.100000000000001" customHeight="1" x14ac:dyDescent="0.25">
      <c r="A43" s="5" t="str">
        <f>HYPERLINK("#'4.3.1.1-2 Methane'!A1", "4.3.1.1-2 Methane")</f>
        <v>4.3.1.1-2 Methane</v>
      </c>
      <c r="D43" s="25">
        <v>0</v>
      </c>
      <c r="E43" s="25">
        <v>100</v>
      </c>
      <c r="F43" s="25">
        <v>540</v>
      </c>
      <c r="G43" s="277" cm="1">
        <f t="array" ref="G43">Scope3_Equations.VEERG_15_1_1_1__1_EmissionsFromPurchasedLivestock(E43,F43,$E$39)</f>
        <v>238.14000000000001</v>
      </c>
      <c r="H43" s="25">
        <v>625</v>
      </c>
      <c r="I43" s="85"/>
      <c r="J43" s="277" cm="1">
        <f t="array" ref="J43">Scope3_Equations.VEERG_15_1_1_1__1_EmissionsFromPurchasedLivestock(E43,H43,IF(I43,I43,$E$39))</f>
        <v>275.625</v>
      </c>
      <c r="K43" s="43"/>
      <c r="L43" s="23"/>
      <c r="M43" s="43"/>
    </row>
    <row r="44" spans="1:13" ht="20.100000000000001" customHeight="1" x14ac:dyDescent="0.25">
      <c r="A44" s="5" t="str">
        <f>HYPERLINK("#'4.3.1.3-4 Direct N20'!A1", "4.3.1.3-4 Direct N20")</f>
        <v>4.3.1.3-4 Direct N20</v>
      </c>
      <c r="D44" s="25">
        <v>0</v>
      </c>
      <c r="E44" s="25">
        <v>0</v>
      </c>
      <c r="F44" s="25">
        <v>315</v>
      </c>
      <c r="G44" s="277" cm="1">
        <f t="array" ref="G44">Scope3_Equations.VEERG_15_1_1_1__1_EmissionsFromPurchasedLivestock(E44,F44,$E$39)</f>
        <v>0</v>
      </c>
      <c r="H44" s="25">
        <v>0</v>
      </c>
      <c r="I44" s="85"/>
      <c r="J44" s="277" cm="1">
        <f t="array" ref="J44">Scope3_Equations.VEERG_15_1_1_1__1_EmissionsFromPurchasedLivestock(E44,H44,IF(I44,I44,$E$39))</f>
        <v>0</v>
      </c>
      <c r="K44" s="43"/>
      <c r="L44" s="23"/>
      <c r="M44" s="43"/>
    </row>
    <row r="45" spans="1:13" ht="20.100000000000001" customHeight="1" x14ac:dyDescent="0.25">
      <c r="A45" s="5" t="str">
        <f>HYPERLINK("#'4.3.1.5 Atmos deposition'!A1", "4.3.1.5 Atmos deposition")</f>
        <v>4.3.1.5 Atmos deposition</v>
      </c>
      <c r="D45" s="25">
        <v>0</v>
      </c>
      <c r="E45" s="25">
        <v>0</v>
      </c>
      <c r="F45" s="25">
        <v>0</v>
      </c>
      <c r="G45" s="277" cm="1">
        <f t="array" ref="G45">Scope3_Equations.VEERG_15_1_1_1__1_EmissionsFromPurchasedLivestock(E45,F45,$E$39)</f>
        <v>0</v>
      </c>
      <c r="H45" s="25">
        <v>0</v>
      </c>
      <c r="I45" s="85"/>
      <c r="J45" s="277" cm="1">
        <f t="array" ref="J45">Scope3_Equations.VEERG_15_1_1_1__1_EmissionsFromPurchasedLivestock(E45,H45,IF(I45,I45,$E$39))</f>
        <v>0</v>
      </c>
      <c r="K45" s="43"/>
      <c r="L45" s="23"/>
      <c r="M45" s="43"/>
    </row>
    <row r="46" spans="1:13" ht="20.100000000000001" customHeight="1" x14ac:dyDescent="0.25">
      <c r="A46" s="5" t="str">
        <f>HYPERLINK("#'4.3.1.6-7 Leaching and runoff'!A1", "4.3.1.6-7 Leaching and runoff")</f>
        <v>4.3.1.6-7 Leaching and runoff</v>
      </c>
      <c r="D46" s="25">
        <v>0</v>
      </c>
      <c r="E46" s="25">
        <v>0</v>
      </c>
      <c r="F46" s="25">
        <v>0</v>
      </c>
      <c r="G46" s="277" cm="1">
        <f t="array" ref="G46">Scope3_Equations.VEERG_15_1_1_1__1_EmissionsFromPurchasedLivestock(E46,F46,$E$39)</f>
        <v>0</v>
      </c>
      <c r="H46" s="25">
        <v>0</v>
      </c>
      <c r="I46" s="85"/>
      <c r="J46" s="277" cm="1">
        <f t="array" ref="J46">Scope3_Equations.VEERG_15_1_1_1__1_EmissionsFromPurchasedLivestock(E46,H46,IF(I46,I46,$E$39))</f>
        <v>0</v>
      </c>
      <c r="K46" s="43"/>
      <c r="L46" s="23"/>
      <c r="M46" s="43"/>
    </row>
    <row r="47" spans="1:13" ht="20.100000000000001" customHeight="1" x14ac:dyDescent="0.25">
      <c r="A47" s="5" t="str">
        <f>HYPERLINK("#'4.3.1.8 Manure applied to soils'!A1", "4.3.1.8 Manure applied to soils")</f>
        <v>4.3.1.8 Manure applied to soils</v>
      </c>
      <c r="D47" s="25">
        <v>0</v>
      </c>
      <c r="E47" s="25">
        <v>0</v>
      </c>
      <c r="F47" s="25">
        <v>0</v>
      </c>
      <c r="G47" s="277" cm="1">
        <f t="array" ref="G47">Scope3_Equations.VEERG_15_1_1_1__1_EmissionsFromPurchasedLivestock(E47,F47,$E$39)</f>
        <v>0</v>
      </c>
      <c r="H47" s="25">
        <v>0</v>
      </c>
      <c r="I47" s="85"/>
      <c r="J47" s="277" cm="1">
        <f t="array" ref="J47">Scope3_Equations.VEERG_15_1_1_1__1_EmissionsFromPurchasedLivestock(E47,H47,IF(I47,I47,$E$39))</f>
        <v>0</v>
      </c>
      <c r="K47" s="43"/>
      <c r="L47" s="23"/>
      <c r="M47" s="43"/>
    </row>
    <row r="48" spans="1:13" ht="20.100000000000001" customHeight="1" x14ac:dyDescent="0.25">
      <c r="A48" s="5" t="str">
        <f>HYPERLINK("#'4.3.1.9 Soil direct N2O'!A1", "4.3.1.9 Soil direct N2O")</f>
        <v>4.3.1.9 Soil direct N2O</v>
      </c>
      <c r="D48" s="25">
        <v>0</v>
      </c>
      <c r="E48" s="25">
        <v>0</v>
      </c>
      <c r="F48" s="25">
        <v>0</v>
      </c>
      <c r="G48" s="277" cm="1">
        <f t="array" ref="G48">Scope3_Equations.VEERG_15_1_1_1__1_EmissionsFromPurchasedLivestock(E48,F48,$E$39)</f>
        <v>0</v>
      </c>
      <c r="H48" s="25">
        <v>0</v>
      </c>
      <c r="I48" s="85"/>
      <c r="J48" s="277" cm="1">
        <f t="array" ref="J48">Scope3_Equations.VEERG_15_1_1_1__1_EmissionsFromPurchasedLivestock(E48,H48,IF(I48,I48,$E$39))</f>
        <v>0</v>
      </c>
      <c r="K48" s="43"/>
      <c r="L48" s="23"/>
      <c r="M48" s="43"/>
    </row>
    <row r="49" spans="1:13" ht="20.100000000000001" customHeight="1" x14ac:dyDescent="0.25">
      <c r="A49" s="5" t="str">
        <f>HYPERLINK("#'4.3.1.10-11 Soil Atmos Dep'!A1", "4.3.1.10-11 Soil Atmos Dep")</f>
        <v>4.3.1.10-11 Soil Atmos Dep</v>
      </c>
      <c r="D49" s="25">
        <v>0</v>
      </c>
      <c r="E49" s="25">
        <v>0</v>
      </c>
      <c r="F49" s="25">
        <v>0</v>
      </c>
      <c r="G49" s="277" cm="1">
        <f t="array" ref="G49">Scope3_Equations.VEERG_15_1_1_1__1_EmissionsFromPurchasedLivestock(E49,F49,$E$39)</f>
        <v>0</v>
      </c>
      <c r="H49" s="25">
        <v>0</v>
      </c>
      <c r="I49" s="85"/>
      <c r="J49" s="277" cm="1">
        <f t="array" ref="J49">Scope3_Equations.VEERG_15_1_1_1__1_EmissionsFromPurchasedLivestock(E49,H49,IF(I49,I49,$E$39))</f>
        <v>0</v>
      </c>
      <c r="K49" s="43"/>
      <c r="L49" s="23"/>
      <c r="M49" s="43"/>
    </row>
    <row r="50" spans="1:13" ht="20.100000000000001" customHeight="1" x14ac:dyDescent="0.25">
      <c r="A50" s="5" t="str">
        <f>HYPERLINK("#'4.3.1.12-13 Soil leach runoff'!A1", "4.3.1.12-13 Soil leach runoff")</f>
        <v>4.3.1.12-13 Soil leach runoff</v>
      </c>
      <c r="D50" s="25">
        <v>0</v>
      </c>
      <c r="E50" s="25">
        <v>0</v>
      </c>
      <c r="F50" s="25">
        <v>0</v>
      </c>
      <c r="G50" s="277" cm="1">
        <f t="array" ref="G50">Scope3_Equations.VEERG_15_1_1_1__1_EmissionsFromPurchasedLivestock(E50,F50,$E$39)</f>
        <v>0</v>
      </c>
      <c r="H50" s="25">
        <v>0</v>
      </c>
      <c r="I50" s="85"/>
      <c r="J50" s="277" cm="1">
        <f t="array" ref="J50">Scope3_Equations.VEERG_15_1_1_1__1_EmissionsFromPurchasedLivestock(E50,H50,IF(I50,I50,$E$39))</f>
        <v>0</v>
      </c>
      <c r="K50" s="43"/>
      <c r="L50" s="23"/>
      <c r="M50" s="43"/>
    </row>
    <row r="51" spans="1:13" ht="20.100000000000001" customHeight="1" x14ac:dyDescent="0.25">
      <c r="A51" s="5" t="str">
        <f>HYPERLINK("#'3.3.1.1-2 Enteric Methane'!A1", "3.3.1.1-2 Enteric Methane")</f>
        <v>3.3.1.1-2 Enteric Methane</v>
      </c>
      <c r="D51" s="25">
        <v>0</v>
      </c>
      <c r="E51" s="25">
        <v>0</v>
      </c>
      <c r="F51" s="25">
        <v>0</v>
      </c>
      <c r="G51" s="277" cm="1">
        <f t="array" ref="G51">Scope3_Equations.VEERG_15_1_1_1__1_EmissionsFromPurchasedLivestock(E51,F51,$E$39)</f>
        <v>0</v>
      </c>
      <c r="H51" s="25">
        <v>0</v>
      </c>
      <c r="I51" s="85"/>
      <c r="J51" s="277" cm="1">
        <f t="array" ref="J51">Scope3_Equations.VEERG_15_1_1_1__1_EmissionsFromPurchasedLivestock(E51,H51,IF(I51,I51,$E$39))</f>
        <v>0</v>
      </c>
      <c r="K51" s="43"/>
      <c r="L51" s="23"/>
      <c r="M51" s="43"/>
    </row>
    <row r="52" spans="1:13" ht="20.100000000000001" customHeight="1" x14ac:dyDescent="0.25">
      <c r="A52" s="5" t="str">
        <f>HYPERLINK("#'10.1.1-2 Solid waste treatment'!A1", "10.1.1-2 Solid waste treatment")</f>
        <v>10.1.1-2 Solid waste treatment</v>
      </c>
    </row>
    <row r="53" spans="1:13" ht="20.100000000000001" customHeight="1" x14ac:dyDescent="0.25">
      <c r="A53"/>
      <c r="D53" s="142" t="s">
        <v>1153</v>
      </c>
      <c r="E53" s="101">
        <f>SUM(G42:G51)</f>
        <v>295.47000000000003</v>
      </c>
      <c r="F53" s="140" t="str">
        <f>$E$11</f>
        <v>t CO2e</v>
      </c>
    </row>
    <row r="54" spans="1:13" ht="20.100000000000001" customHeight="1" x14ac:dyDescent="0.25">
      <c r="A54"/>
      <c r="D54" s="142" t="s">
        <v>1154</v>
      </c>
      <c r="E54" s="101">
        <f>SUM(J42:J51)</f>
        <v>415.625</v>
      </c>
      <c r="F54" s="140" t="str">
        <f>$E$11</f>
        <v>t CO2e</v>
      </c>
    </row>
    <row r="55" spans="1:13" ht="20.100000000000001" customHeight="1" x14ac:dyDescent="0.25">
      <c r="A55" s="100" t="s">
        <v>1</v>
      </c>
    </row>
    <row r="56" spans="1:13" ht="20.100000000000001" customHeight="1" x14ac:dyDescent="0.25">
      <c r="A56" s="5" t="str">
        <f>HYPERLINK("#'Constants - Dairy'!A1", "Constants - Dairy")</f>
        <v>Constants - Dairy</v>
      </c>
    </row>
    <row r="57" spans="1:13" ht="20.100000000000001" customHeight="1" x14ac:dyDescent="0.25">
      <c r="A57" s="5" t="str">
        <f>HYPERLINK("#'Constants - Ag Residue'!A1", "Constants - Ag residue")</f>
        <v>Constants - Ag residue</v>
      </c>
      <c r="D57" s="267" t="s">
        <v>1155</v>
      </c>
    </row>
    <row r="58" spans="1:13" ht="20.100000000000001" customHeight="1" x14ac:dyDescent="0.25">
      <c r="A58" s="5" t="str">
        <f>HYPERLINK("#'Constants - Common Livestock'!A1", "Constants - Common Livestock")</f>
        <v>Constants - Common Livestock</v>
      </c>
      <c r="D58" s="120" t="s">
        <v>1152</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Electricity'!A1", "Constants - Electricity")</f>
        <v>Constants - Electricity</v>
      </c>
    </row>
    <row r="60" spans="1:13" ht="20.100000000000001" customHeight="1" x14ac:dyDescent="0.25">
      <c r="A60" s="5" t="str">
        <f>HYPERLINK("#'Constants - Fertiliser'!A1", "Constants - Fertiliser")</f>
        <v>Constants - Fertiliser</v>
      </c>
      <c r="D60" s="94" t="s">
        <v>1133</v>
      </c>
      <c r="E60" s="276" t="s">
        <v>1136</v>
      </c>
      <c r="F60" s="276" t="s">
        <v>1137</v>
      </c>
      <c r="G60" s="124" t="s">
        <v>1139</v>
      </c>
      <c r="H60" s="276" t="s">
        <v>1140</v>
      </c>
      <c r="I60" s="94" t="s">
        <v>1141</v>
      </c>
      <c r="J60" s="124" t="s">
        <v>1142</v>
      </c>
      <c r="K60" s="94" t="s">
        <v>1143</v>
      </c>
      <c r="L60" s="94" t="s">
        <v>1144</v>
      </c>
      <c r="M60" s="94" t="s">
        <v>1145</v>
      </c>
    </row>
    <row r="61" spans="1:13" ht="20.100000000000001" customHeight="1" x14ac:dyDescent="0.25">
      <c r="A61" s="5" t="str">
        <f>HYPERLINK("#'Constants - Fuel'!A1", "Constants - Fuel")</f>
        <v>Constants - Fuel</v>
      </c>
      <c r="D61" s="25"/>
      <c r="E61" s="25"/>
      <c r="F61" s="25"/>
      <c r="G61" s="277" cm="1">
        <f t="array" ref="G61">Scope3_Equations.VEERG_15_1_1_1__1_EmissionsFromPurchasedLivestock(E61,F61,$E$58)</f>
        <v>0</v>
      </c>
      <c r="H61" s="25"/>
      <c r="I61" s="85">
        <v>3.38</v>
      </c>
      <c r="J61" s="277" cm="1">
        <f t="array" ref="J61">Scope3_Equations.VEERG_15_1_1_1__1_EmissionsFromPurchasedLivestock(E61,H61,IF(I61, I61,$E$58))</f>
        <v>0</v>
      </c>
      <c r="K61" s="43"/>
      <c r="L61" s="23"/>
      <c r="M61" s="261"/>
    </row>
    <row r="62" spans="1:13" ht="20.100000000000001" customHeight="1" x14ac:dyDescent="0.25">
      <c r="A62" s="5" t="str">
        <f>HYPERLINK("#'Constants - Scope 3'!A1", "Constants - Scope 3")</f>
        <v>Constants - Scope 3</v>
      </c>
      <c r="D62" s="25"/>
      <c r="E62" s="25"/>
      <c r="F62" s="25"/>
      <c r="G62" s="277" cm="1">
        <f t="array" ref="G62">Scope3_Equations.VEERG_15_1_1_1__1_EmissionsFromPurchasedLivestock(E62,F62,$E$58)</f>
        <v>0</v>
      </c>
      <c r="H62" s="25"/>
      <c r="I62" s="85">
        <v>3.3</v>
      </c>
      <c r="J62" s="277" cm="1">
        <f t="array" ref="J62">Scope3_Equations.VEERG_15_1_1_1__1_EmissionsFromPurchasedLivestock(E62,H62,IF(I62, I62,$E$58))</f>
        <v>0</v>
      </c>
      <c r="K62" s="43"/>
      <c r="L62" s="23"/>
      <c r="M62" s="43"/>
    </row>
    <row r="63" spans="1:13" ht="20.100000000000001" customHeight="1" x14ac:dyDescent="0.25">
      <c r="A63" s="5" t="str">
        <f>HYPERLINK("#'Constants - Common'!A1", "Constants - Common")</f>
        <v>Constants - Common</v>
      </c>
      <c r="D63" s="25"/>
      <c r="E63" s="25"/>
      <c r="F63" s="25"/>
      <c r="G63" s="277" cm="1">
        <f t="array" ref="G63">Scope3_Equations.VEERG_15_1_1_1__1_EmissionsFromPurchasedLivestock(E63,F63,$E$58)</f>
        <v>0</v>
      </c>
      <c r="H63" s="25"/>
      <c r="I63" s="85"/>
      <c r="J63" s="277" cm="1">
        <f t="array" ref="J63">Scope3_Equations.VEERG_15_1_1_1__1_EmissionsFromPurchasedLivestock(E63,H63,IF(I63, I63,$E$58))</f>
        <v>0</v>
      </c>
      <c r="K63" s="43"/>
      <c r="L63" s="23"/>
      <c r="M63" s="43"/>
    </row>
    <row r="64" spans="1:13" ht="20.100000000000001" customHeight="1" x14ac:dyDescent="0.25">
      <c r="A64" s="5" t="str">
        <f>HYPERLINK("#'Acknowledgements'!A1", "Acknowledgements")</f>
        <v>Acknowledgements</v>
      </c>
      <c r="D64" s="25"/>
      <c r="E64" s="25"/>
      <c r="F64" s="25"/>
      <c r="G64" s="277" cm="1">
        <f t="array" ref="G64">Scope3_Equations.VEERG_15_1_1_1__1_EmissionsFromPurchasedLivestock(E64,F64,$E$58)</f>
        <v>0</v>
      </c>
      <c r="H64" s="25"/>
      <c r="I64" s="85"/>
      <c r="J64" s="277" cm="1">
        <f t="array" ref="J64">Scope3_Equations.VEERG_15_1_1_1__1_EmissionsFromPurchasedLivestock(E64,H64,IF(I64, I64,$E$58))</f>
        <v>0</v>
      </c>
      <c r="K64" s="43"/>
      <c r="L64" s="23"/>
      <c r="M64" s="43"/>
    </row>
    <row r="65" spans="1:13" ht="20.100000000000001" customHeight="1" x14ac:dyDescent="0.25">
      <c r="A65" s="5" t="str">
        <f>HYPERLINK("#'Constants - Solid Waste'!A1", "Constants - Solid Waste")</f>
        <v>Constants - Solid Waste</v>
      </c>
      <c r="D65" s="25"/>
      <c r="E65" s="25"/>
      <c r="F65" s="25"/>
      <c r="G65" s="277" cm="1">
        <f t="array" ref="G65">Scope3_Equations.VEERG_15_1_1_1__1_EmissionsFromPurchasedLivestock(E65,F65,$E$58)</f>
        <v>0</v>
      </c>
      <c r="H65" s="25"/>
      <c r="I65" s="85"/>
      <c r="J65" s="277" cm="1">
        <f t="array" ref="J65">Scope3_Equations.VEERG_15_1_1_1__1_EmissionsFromPurchasedLivestock(E65,H65,IF(I65, I65,$E$58))</f>
        <v>0</v>
      </c>
      <c r="K65" s="43"/>
      <c r="L65" s="23"/>
      <c r="M65" s="43"/>
    </row>
    <row r="66" spans="1:13" ht="20.100000000000001" customHeight="1" x14ac:dyDescent="0.25">
      <c r="A66"/>
      <c r="D66" s="25"/>
      <c r="E66" s="25"/>
      <c r="F66" s="25"/>
      <c r="G66" s="277" cm="1">
        <f t="array" ref="G66">Scope3_Equations.VEERG_15_1_1_1__1_EmissionsFromPurchasedLivestock(E66,F66,$E$58)</f>
        <v>0</v>
      </c>
      <c r="H66" s="25"/>
      <c r="I66" s="85"/>
      <c r="J66" s="277" cm="1">
        <f t="array" ref="J66">Scope3_Equations.VEERG_15_1_1_1__1_EmissionsFromPurchasedLivestock(E66,H66,IF(I66, I66,$E$58))</f>
        <v>0</v>
      </c>
      <c r="K66" s="43"/>
      <c r="L66" s="23"/>
      <c r="M66" s="43"/>
    </row>
    <row r="67" spans="1:13" ht="20.100000000000001" customHeight="1" x14ac:dyDescent="0.25">
      <c r="A67"/>
      <c r="D67" s="25"/>
      <c r="E67" s="25"/>
      <c r="F67" s="25"/>
      <c r="G67" s="277" cm="1">
        <f t="array" ref="G67">Scope3_Equations.VEERG_15_1_1_1__1_EmissionsFromPurchasedLivestock(E67,F67,$E$58)</f>
        <v>0</v>
      </c>
      <c r="H67" s="25"/>
      <c r="I67" s="85"/>
      <c r="J67" s="277" cm="1">
        <f t="array" ref="J67">Scope3_Equations.VEERG_15_1_1_1__1_EmissionsFromPurchasedLivestock(E67,H67,IF(I67, I67,$E$58))</f>
        <v>0</v>
      </c>
      <c r="K67" s="43"/>
      <c r="L67" s="23"/>
      <c r="M67" s="43"/>
    </row>
    <row r="68" spans="1:13" ht="20.100000000000001" customHeight="1" x14ac:dyDescent="0.25">
      <c r="A68"/>
      <c r="D68" s="25"/>
      <c r="E68" s="25"/>
      <c r="F68" s="25"/>
      <c r="G68" s="277" cm="1">
        <f t="array" ref="G68">Scope3_Equations.VEERG_15_1_1_1__1_EmissionsFromPurchasedLivestock(E68,F68,$E$58)</f>
        <v>0</v>
      </c>
      <c r="H68" s="25"/>
      <c r="I68" s="85"/>
      <c r="J68" s="277" cm="1">
        <f t="array" ref="J68">Scope3_Equations.VEERG_15_1_1_1__1_EmissionsFromPurchasedLivestock(E68,H68,IF(I68, I68,$E$58))</f>
        <v>0</v>
      </c>
      <c r="K68" s="43"/>
      <c r="L68" s="23"/>
      <c r="M68" s="43"/>
    </row>
    <row r="69" spans="1:13" ht="20.100000000000001" customHeight="1" x14ac:dyDescent="0.25">
      <c r="A69"/>
      <c r="D69" s="25"/>
      <c r="E69" s="25"/>
      <c r="F69" s="25"/>
      <c r="G69" s="277" cm="1">
        <f t="array" ref="G69">Scope3_Equations.VEERG_15_1_1_1__1_EmissionsFromPurchasedLivestock(E69,F69,$E$58)</f>
        <v>0</v>
      </c>
      <c r="H69" s="25"/>
      <c r="I69" s="85"/>
      <c r="J69" s="277" cm="1">
        <f t="array" ref="J69">Scope3_Equations.VEERG_15_1_1_1__1_EmissionsFromPurchasedLivestock(E69,H69,IF(I69, I69,$E$58))</f>
        <v>0</v>
      </c>
      <c r="K69" s="43"/>
      <c r="L69" s="23"/>
      <c r="M69" s="43"/>
    </row>
    <row r="70" spans="1:13" ht="20.100000000000001" customHeight="1" x14ac:dyDescent="0.25">
      <c r="A70"/>
      <c r="D70" s="25"/>
      <c r="E70" s="25"/>
      <c r="F70" s="25"/>
      <c r="G70" s="277" cm="1">
        <f t="array" ref="G70">Scope3_Equations.VEERG_15_1_1_1__1_EmissionsFromPurchasedLivestock(E70,F70,$E$58)</f>
        <v>0</v>
      </c>
      <c r="H70" s="25"/>
      <c r="I70" s="85"/>
      <c r="J70" s="277" cm="1">
        <f t="array" ref="J70">Scope3_Equations.VEERG_15_1_1_1__1_EmissionsFromPurchasedLivestock(E70,H70,IF(I70, I70,$E$58))</f>
        <v>0</v>
      </c>
      <c r="K70" s="43"/>
      <c r="L70" s="23"/>
      <c r="M70" s="43"/>
    </row>
    <row r="71" spans="1:13" ht="20.100000000000001" customHeight="1" x14ac:dyDescent="0.25">
      <c r="A71"/>
    </row>
    <row r="72" spans="1:13" ht="20.100000000000001" customHeight="1" x14ac:dyDescent="0.25">
      <c r="A72"/>
      <c r="D72" s="142" t="s">
        <v>1156</v>
      </c>
      <c r="E72" s="101">
        <f>SUM(G61:G70)</f>
        <v>0</v>
      </c>
      <c r="F72" s="140" t="str">
        <f>$E$11</f>
        <v>t CO2e</v>
      </c>
    </row>
    <row r="73" spans="1:13" ht="20.100000000000001" customHeight="1" x14ac:dyDescent="0.25">
      <c r="A73"/>
      <c r="D73" s="142" t="s">
        <v>1157</v>
      </c>
      <c r="E73" s="101">
        <f>SUM(J61:J70)</f>
        <v>0</v>
      </c>
      <c r="F73" s="140" t="str">
        <f>$E$11</f>
        <v>t CO2e</v>
      </c>
    </row>
    <row r="74" spans="1:13" ht="20.100000000000001" customHeight="1" x14ac:dyDescent="0.25">
      <c r="A74"/>
    </row>
    <row r="75" spans="1:13" ht="20.100000000000001" customHeight="1" x14ac:dyDescent="0.25">
      <c r="A75"/>
      <c r="D75" s="267" t="s">
        <v>1158</v>
      </c>
    </row>
    <row r="76" spans="1:13" ht="20.100000000000001" customHeight="1" x14ac:dyDescent="0.25">
      <c r="A76"/>
      <c r="D76" s="120" t="s">
        <v>1152</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1133</v>
      </c>
      <c r="E78" s="276" t="s">
        <v>1136</v>
      </c>
      <c r="F78" s="276" t="s">
        <v>1137</v>
      </c>
      <c r="G78" s="124" t="s">
        <v>1139</v>
      </c>
      <c r="H78" s="276" t="s">
        <v>1140</v>
      </c>
      <c r="I78" s="94" t="s">
        <v>1141</v>
      </c>
      <c r="J78" s="124" t="s">
        <v>1142</v>
      </c>
      <c r="K78" s="94" t="s">
        <v>1143</v>
      </c>
      <c r="L78" s="94" t="s">
        <v>1144</v>
      </c>
      <c r="M78" s="94" t="s">
        <v>1145</v>
      </c>
    </row>
    <row r="79" spans="1:13" ht="20.100000000000001" customHeight="1" x14ac:dyDescent="0.25">
      <c r="A79"/>
      <c r="D79" s="25"/>
      <c r="E79" s="25"/>
      <c r="F79" s="25"/>
      <c r="G79" s="277" cm="1">
        <f t="array" ref="G79">Scope3_Equations.VEERG_15_1_1_1__1_EmissionsFromPurchasedLivestock(E79,F79,$E$76)</f>
        <v>0</v>
      </c>
      <c r="H79" s="25"/>
      <c r="I79" s="85">
        <v>1.3</v>
      </c>
      <c r="J79" s="277" cm="1">
        <f t="array" ref="J79">Scope3_Equations.VEERG_15_1_1_1__1_EmissionsFromPurchasedLivestock(E79,H79,IF(I79, I79,$E$76))</f>
        <v>0</v>
      </c>
      <c r="K79" s="43"/>
      <c r="L79" s="23"/>
      <c r="M79" s="261"/>
    </row>
    <row r="80" spans="1:13" ht="20.100000000000001" customHeight="1" x14ac:dyDescent="0.25">
      <c r="A80"/>
      <c r="D80" s="25"/>
      <c r="E80" s="25"/>
      <c r="F80" s="25"/>
      <c r="G80" s="277" cm="1">
        <f t="array" ref="G80">Scope3_Equations.VEERG_15_1_1_1__1_EmissionsFromPurchasedLivestock(E80,F80,$E$76)</f>
        <v>0</v>
      </c>
      <c r="H80" s="25"/>
      <c r="I80" s="85"/>
      <c r="J80" s="277" cm="1">
        <f t="array" ref="J80">Scope3_Equations.VEERG_15_1_1_1__1_EmissionsFromPurchasedLivestock(E80,H80,IF(I80, I80,$E$76))</f>
        <v>0</v>
      </c>
      <c r="K80" s="43"/>
      <c r="L80" s="23"/>
      <c r="M80" s="43"/>
    </row>
    <row r="81" spans="1:13" ht="20.100000000000001" customHeight="1" x14ac:dyDescent="0.25">
      <c r="A81"/>
      <c r="D81" s="25"/>
      <c r="E81" s="25"/>
      <c r="F81" s="25"/>
      <c r="G81" s="277" cm="1">
        <f t="array" ref="G81">Scope3_Equations.VEERG_15_1_1_1__1_EmissionsFromPurchasedLivestock(E81,F81,$E$76)</f>
        <v>0</v>
      </c>
      <c r="H81" s="25"/>
      <c r="I81" s="85"/>
      <c r="J81" s="277" cm="1">
        <f t="array" ref="J81">Scope3_Equations.VEERG_15_1_1_1__1_EmissionsFromPurchasedLivestock(E81,H81,IF(I81, I81,$E$76))</f>
        <v>0</v>
      </c>
      <c r="K81" s="43"/>
      <c r="L81" s="23"/>
      <c r="M81" s="43"/>
    </row>
    <row r="82" spans="1:13" ht="20.100000000000001" customHeight="1" x14ac:dyDescent="0.25">
      <c r="A82"/>
      <c r="D82" s="25"/>
      <c r="E82" s="25"/>
      <c r="F82" s="25"/>
      <c r="G82" s="277" cm="1">
        <f t="array" ref="G82">Scope3_Equations.VEERG_15_1_1_1__1_EmissionsFromPurchasedLivestock(E82,F82,$E$76)</f>
        <v>0</v>
      </c>
      <c r="H82" s="25"/>
      <c r="I82" s="85"/>
      <c r="J82" s="277" cm="1">
        <f t="array" ref="J82">Scope3_Equations.VEERG_15_1_1_1__1_EmissionsFromPurchasedLivestock(E82,H82,IF(I82, I82,$E$76))</f>
        <v>0</v>
      </c>
      <c r="K82" s="43"/>
      <c r="L82" s="23"/>
      <c r="M82" s="43"/>
    </row>
    <row r="83" spans="1:13" ht="20.100000000000001" customHeight="1" x14ac:dyDescent="0.25">
      <c r="A83"/>
      <c r="D83" s="25"/>
      <c r="E83" s="25"/>
      <c r="F83" s="25"/>
      <c r="G83" s="277" cm="1">
        <f t="array" ref="G83">Scope3_Equations.VEERG_15_1_1_1__1_EmissionsFromPurchasedLivestock(E83,F83,$E$76)</f>
        <v>0</v>
      </c>
      <c r="H83" s="25"/>
      <c r="I83" s="85"/>
      <c r="J83" s="277" cm="1">
        <f t="array" ref="J83">Scope3_Equations.VEERG_15_1_1_1__1_EmissionsFromPurchasedLivestock(E83,H83,IF(I83, I83,$E$76))</f>
        <v>0</v>
      </c>
      <c r="K83" s="43"/>
      <c r="L83" s="23"/>
      <c r="M83" s="43"/>
    </row>
    <row r="84" spans="1:13" ht="20.100000000000001" customHeight="1" x14ac:dyDescent="0.25">
      <c r="A84"/>
      <c r="D84" s="25"/>
      <c r="E84" s="25"/>
      <c r="F84" s="25"/>
      <c r="G84" s="277" cm="1">
        <f t="array" ref="G84">Scope3_Equations.VEERG_15_1_1_1__1_EmissionsFromPurchasedLivestock(E84,F84,$E$76)</f>
        <v>0</v>
      </c>
      <c r="H84" s="25"/>
      <c r="I84" s="85"/>
      <c r="J84" s="277" cm="1">
        <f t="array" ref="J84">Scope3_Equations.VEERG_15_1_1_1__1_EmissionsFromPurchasedLivestock(E84,H84,IF(I84, I84,$E$76))</f>
        <v>0</v>
      </c>
      <c r="K84" s="43"/>
      <c r="L84" s="23"/>
      <c r="M84" s="43"/>
    </row>
    <row r="85" spans="1:13" ht="20.100000000000001" customHeight="1" x14ac:dyDescent="0.25">
      <c r="A85"/>
      <c r="D85" s="25"/>
      <c r="E85" s="25"/>
      <c r="F85" s="25"/>
      <c r="G85" s="277" cm="1">
        <f t="array" ref="G85">Scope3_Equations.VEERG_15_1_1_1__1_EmissionsFromPurchasedLivestock(E85,F85,$E$76)</f>
        <v>0</v>
      </c>
      <c r="H85" s="25"/>
      <c r="I85" s="85"/>
      <c r="J85" s="277" cm="1">
        <f t="array" ref="J85">Scope3_Equations.VEERG_15_1_1_1__1_EmissionsFromPurchasedLivestock(E85,H85,IF(I85, I85,$E$76))</f>
        <v>0</v>
      </c>
      <c r="K85" s="43"/>
      <c r="L85" s="23"/>
      <c r="M85" s="43"/>
    </row>
    <row r="86" spans="1:13" ht="20.100000000000001" customHeight="1" x14ac:dyDescent="0.25">
      <c r="A86"/>
      <c r="D86" s="25"/>
      <c r="E86" s="25"/>
      <c r="F86" s="25"/>
      <c r="G86" s="277" cm="1">
        <f t="array" ref="G86">Scope3_Equations.VEERG_15_1_1_1__1_EmissionsFromPurchasedLivestock(E86,F86,$E$76)</f>
        <v>0</v>
      </c>
      <c r="H86" s="25"/>
      <c r="I86" s="85"/>
      <c r="J86" s="277" cm="1">
        <f t="array" ref="J86">Scope3_Equations.VEERG_15_1_1_1__1_EmissionsFromPurchasedLivestock(E86,H86,IF(I86, I86,$E$76))</f>
        <v>0</v>
      </c>
      <c r="K86" s="43"/>
      <c r="L86" s="23"/>
      <c r="M86" s="43"/>
    </row>
    <row r="87" spans="1:13" ht="20.100000000000001" customHeight="1" x14ac:dyDescent="0.25">
      <c r="A87"/>
      <c r="D87" s="25"/>
      <c r="E87" s="25"/>
      <c r="F87" s="25"/>
      <c r="G87" s="277" cm="1">
        <f t="array" ref="G87">Scope3_Equations.VEERG_15_1_1_1__1_EmissionsFromPurchasedLivestock(E87,F87,$E$76)</f>
        <v>0</v>
      </c>
      <c r="H87" s="25"/>
      <c r="I87" s="85"/>
      <c r="J87" s="277" cm="1">
        <f t="array" ref="J87">Scope3_Equations.VEERG_15_1_1_1__1_EmissionsFromPurchasedLivestock(E87,H87,IF(I87, I87,$E$76))</f>
        <v>0</v>
      </c>
      <c r="K87" s="43"/>
      <c r="L87" s="23"/>
      <c r="M87" s="43"/>
    </row>
    <row r="88" spans="1:13" ht="20.100000000000001" customHeight="1" x14ac:dyDescent="0.25">
      <c r="A88"/>
      <c r="D88" s="25"/>
      <c r="E88" s="25"/>
      <c r="F88" s="25"/>
      <c r="G88" s="277" cm="1">
        <f t="array" ref="G88">Scope3_Equations.VEERG_15_1_1_1__1_EmissionsFromPurchasedLivestock(E88,F88,$E$76)</f>
        <v>0</v>
      </c>
      <c r="H88" s="25"/>
      <c r="I88" s="85"/>
      <c r="J88" s="277" cm="1">
        <f t="array" ref="J88">Scope3_Equations.VEERG_15_1_1_1__1_EmissionsFromPurchasedLivestock(E88,H88,IF(I88, I88,$E$76))</f>
        <v>0</v>
      </c>
      <c r="K88" s="43"/>
      <c r="L88" s="23"/>
      <c r="M88" s="43"/>
    </row>
    <row r="89" spans="1:13" ht="20.100000000000001" customHeight="1" x14ac:dyDescent="0.25">
      <c r="A89"/>
    </row>
    <row r="90" spans="1:13" ht="20.100000000000001" customHeight="1" x14ac:dyDescent="0.25">
      <c r="A90"/>
      <c r="D90" s="142" t="s">
        <v>1159</v>
      </c>
      <c r="E90" s="101">
        <f>SUM(G79:G88)</f>
        <v>0</v>
      </c>
      <c r="F90" s="140" t="str">
        <f>$E$11</f>
        <v>t CO2e</v>
      </c>
    </row>
    <row r="91" spans="1:13" ht="20.100000000000001" customHeight="1" x14ac:dyDescent="0.25">
      <c r="A91"/>
      <c r="D91" s="142" t="s">
        <v>1160</v>
      </c>
      <c r="E91" s="101">
        <f>SUM(J79:J88)</f>
        <v>0</v>
      </c>
      <c r="F91" s="140" t="str">
        <f>$E$11</f>
        <v>t CO2e</v>
      </c>
    </row>
    <row r="92" spans="1:13" ht="20.100000000000001" customHeight="1" x14ac:dyDescent="0.25">
      <c r="A92"/>
    </row>
    <row r="93" spans="1:13" ht="20.100000000000001" customHeight="1" x14ac:dyDescent="0.25">
      <c r="A93"/>
      <c r="D93" s="135" t="s">
        <v>1139</v>
      </c>
      <c r="E93" s="13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7" t="str">
        <f>$E$11</f>
        <v>t CO2e</v>
      </c>
    </row>
    <row r="94" spans="1:13" ht="20.100000000000001" customHeight="1" x14ac:dyDescent="0.25">
      <c r="A94"/>
      <c r="D94" s="135" t="s">
        <v>1142</v>
      </c>
      <c r="E94" s="13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7" t="str">
        <f>$E$11</f>
        <v>t CO2e</v>
      </c>
    </row>
    <row r="95" spans="1:13" ht="20.100000000000001" customHeight="1" x14ac:dyDescent="0.25">
      <c r="A95"/>
    </row>
    <row r="96" spans="1:13" ht="20.100000000000001" customHeight="1" x14ac:dyDescent="0.25">
      <c r="A96"/>
    </row>
    <row r="97" spans="1:41" ht="20.100000000000001" customHeight="1" x14ac:dyDescent="0.25">
      <c r="A97"/>
      <c r="C97" s="101"/>
      <c r="D97" s="101"/>
      <c r="E97" s="101"/>
      <c r="F97" s="101"/>
      <c r="G97" s="101"/>
      <c r="H97" s="101"/>
      <c r="I97" s="101"/>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8" t="s">
        <v>262</v>
      </c>
      <c r="E100" s="118"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8"/>
    </row>
    <row r="103" spans="1:41" ht="20.100000000000001" customHeight="1" x14ac:dyDescent="0.25">
      <c r="A103"/>
      <c r="D103" s="87" t="s">
        <v>263</v>
      </c>
      <c r="E103" s="1" t="str" cm="1">
        <f t="array" ref="E103">Scope3_Equations.VEERG_15_2_1_1__1_EmissionsFromPurchasedFeed_Variable()</f>
        <v>E</v>
      </c>
    </row>
    <row r="104" spans="1:41" ht="20.100000000000001" customHeight="1" x14ac:dyDescent="0.25">
      <c r="A104"/>
      <c r="D104" s="87" t="s">
        <v>122</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20" t="str" cm="1">
        <f t="array" ref="D106:E108">_xlfn.CHOOSECOLS(Scope3_Equations.VEERG_15_2_1_1__1_EmissionsFromPurchasedFeed_Arguments(),1,2)</f>
        <v>Q_j</v>
      </c>
      <c r="E106" s="125" t="str">
        <v>quantity of feed type j purchased</v>
      </c>
      <c r="F106" s="126"/>
      <c r="G106" s="120" t="str" cm="1">
        <f t="array" ref="G106:H108">_xlfn.CHOOSECOLS(Scope3_Equations.VEERG_15_2_1_1__1_EmissionsFromPurchasedFeed_Arguments(),3,4)</f>
        <v>t</v>
      </c>
      <c r="H106" s="275" t="str">
        <v>Input</v>
      </c>
    </row>
    <row r="107" spans="1:41" ht="20.100000000000001" customHeight="1" x14ac:dyDescent="0.25">
      <c r="A107"/>
      <c r="D107" s="120" t="str">
        <v>EF_j</v>
      </c>
      <c r="E107" s="125" t="str">
        <v>emission factor of purchased feed</v>
      </c>
      <c r="F107" s="126"/>
      <c r="G107" s="120" t="str">
        <v>kg CO2e/kg</v>
      </c>
      <c r="H107" s="275" t="str">
        <v>Constant</v>
      </c>
    </row>
    <row r="108" spans="1:41" ht="20.100000000000001" customHeight="1" x14ac:dyDescent="0.25">
      <c r="A108"/>
      <c r="D108" s="120" t="str">
        <v>j</v>
      </c>
      <c r="E108" s="125" t="str">
        <v>feed type</v>
      </c>
      <c r="F108" s="126"/>
      <c r="G108" s="120" t="str">
        <v/>
      </c>
      <c r="H108" s="128" t="str">
        <v>Input</v>
      </c>
    </row>
    <row r="109" spans="1:41" ht="20.100000000000001" customHeight="1" x14ac:dyDescent="0.25">
      <c r="A109"/>
    </row>
    <row r="110" spans="1:41" ht="20.100000000000001" customHeight="1" x14ac:dyDescent="0.25">
      <c r="A110"/>
      <c r="D110" s="267" t="s">
        <v>1161</v>
      </c>
    </row>
    <row r="111" spans="1:41" ht="20.100000000000001" customHeight="1" x14ac:dyDescent="0.25">
      <c r="A111"/>
    </row>
    <row r="112" spans="1:41" ht="20.100000000000001" customHeight="1" x14ac:dyDescent="0.25">
      <c r="A112"/>
      <c r="D112" s="145" t="s">
        <v>1162</v>
      </c>
      <c r="E112" s="54"/>
      <c r="F112" s="145"/>
      <c r="G112" s="53"/>
      <c r="H112" s="54"/>
    </row>
    <row r="113" spans="1:28" ht="20.100000000000001" customHeight="1" x14ac:dyDescent="0.25">
      <c r="A113"/>
      <c r="D113" s="177" t="s">
        <v>1163</v>
      </c>
      <c r="E113" s="179"/>
      <c r="F113" s="177"/>
      <c r="G113" s="178"/>
      <c r="H113" s="179"/>
    </row>
    <row r="114" spans="1:28" ht="20.100000000000001" customHeight="1" x14ac:dyDescent="0.25">
      <c r="A114"/>
      <c r="D114" s="55" t="s">
        <v>1164</v>
      </c>
      <c r="E114" s="57"/>
      <c r="F114" s="55"/>
      <c r="G114" s="56"/>
      <c r="H114" s="57"/>
    </row>
    <row r="115" spans="1:28" ht="20.100000000000001" customHeight="1" x14ac:dyDescent="0.25">
      <c r="A115"/>
    </row>
    <row r="116" spans="1:28" ht="20.100000000000001" customHeight="1" x14ac:dyDescent="0.25">
      <c r="A116"/>
      <c r="D116" s="45" t="s">
        <v>1165</v>
      </c>
      <c r="E116" s="47"/>
      <c r="F116" s="48"/>
    </row>
    <row r="117" spans="1:28" ht="20.100000000000001" customHeight="1" x14ac:dyDescent="0.25">
      <c r="A117"/>
    </row>
    <row r="118" spans="1:28" ht="20.100000000000001" customHeight="1" x14ac:dyDescent="0.25">
      <c r="A118"/>
      <c r="D118" s="94" t="s">
        <v>1166</v>
      </c>
      <c r="E118" s="94" t="s">
        <v>1167</v>
      </c>
      <c r="F118" s="124" t="s">
        <v>1168</v>
      </c>
      <c r="G118" s="124" t="s">
        <v>1139</v>
      </c>
      <c r="H118" s="94" t="s">
        <v>1169</v>
      </c>
      <c r="I118" s="124" t="s">
        <v>1142</v>
      </c>
      <c r="J118" s="94" t="s">
        <v>1143</v>
      </c>
      <c r="K118" s="94" t="s">
        <v>1144</v>
      </c>
      <c r="L118" s="94" t="s">
        <v>1145</v>
      </c>
      <c r="M118" s="124" t="s">
        <v>560</v>
      </c>
      <c r="N118" s="124" t="s">
        <v>1170</v>
      </c>
      <c r="O118" s="124" t="s">
        <v>561</v>
      </c>
      <c r="P118" s="124" t="s">
        <v>1171</v>
      </c>
      <c r="Q118" s="124" t="s">
        <v>562</v>
      </c>
      <c r="R118" s="124" t="s">
        <v>1172</v>
      </c>
      <c r="S118" s="124" t="s">
        <v>563</v>
      </c>
      <c r="T118" s="124" t="s">
        <v>1173</v>
      </c>
      <c r="U118" s="124" t="s">
        <v>564</v>
      </c>
      <c r="V118" s="124" t="s">
        <v>1174</v>
      </c>
      <c r="W118" s="124" t="s">
        <v>565</v>
      </c>
      <c r="X118" s="124" t="s">
        <v>1175</v>
      </c>
      <c r="Y118" s="124" t="s">
        <v>566</v>
      </c>
      <c r="Z118" s="124" t="s">
        <v>1176</v>
      </c>
      <c r="AA118" s="124" t="s">
        <v>567</v>
      </c>
      <c r="AB118" s="124" t="s">
        <v>1177</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77" cm="1">
        <f t="array" ref="G119">Scope3_Equations.VEERG_15_2_1_1__1_EmissionsFromPurchasedFeed(E119,F119)</f>
        <v>195.27599999999998</v>
      </c>
      <c r="H119" s="85">
        <v>0.04</v>
      </c>
      <c r="I119" s="277" cm="1">
        <f t="array" ref="I119">Scope3_Equations.VEERG_15_2_1_1__1_EmissionsFromPurchasedFeed(E119,IF(H119,H119, F119))</f>
        <v>48</v>
      </c>
      <c r="J119" s="43"/>
      <c r="K119" s="23"/>
      <c r="L119" s="261"/>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77" cm="1">
        <f t="array" ref="G120">Scope3_Equations.VEERG_15_2_1_1__1_EmissionsFromPurchasedFeed(E120,F120)</f>
        <v>78.10560000000001</v>
      </c>
      <c r="H120" s="85">
        <v>0.03</v>
      </c>
      <c r="I120" s="277" cm="1">
        <f t="array" ref="I120">Scope3_Equations.VEERG_15_2_1_1__1_EmissionsFromPurchasedFeed(E120,IF(H120,H120, F120))</f>
        <v>103.67999999999999</v>
      </c>
      <c r="J120" s="43"/>
      <c r="K120" s="23"/>
      <c r="L120" s="43"/>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77" cm="1">
        <f t="array" ref="G121">Scope3_Equations.VEERG_15_2_1_1__1_EmissionsFromPurchasedFeed(E121,F121)</f>
        <v>25.56</v>
      </c>
      <c r="H121" s="85">
        <v>0.14000000000000001</v>
      </c>
      <c r="I121" s="277" cm="1">
        <f t="array" ref="I121">Scope3_Equations.VEERG_15_2_1_1__1_EmissionsFromPurchasedFeed(E121,IF(H121,H121, F121))</f>
        <v>42.000000000000007</v>
      </c>
      <c r="J121" s="43"/>
      <c r="K121" s="23"/>
      <c r="L121" s="43"/>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77" cm="1">
        <f t="array" ref="G122">Scope3_Equations.VEERG_15_2_1_1__1_EmissionsFromPurchasedFeed(E122,F122)</f>
        <v>172.5</v>
      </c>
      <c r="H122" s="85"/>
      <c r="I122" s="277" cm="1">
        <f t="array" ref="I122">Scope3_Equations.VEERG_15_2_1_1__1_EmissionsFromPurchasedFeed(E122,IF(H122,H122, F122))</f>
        <v>172.5</v>
      </c>
      <c r="J122" s="43"/>
      <c r="K122" s="23"/>
      <c r="L122" s="43"/>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77" cm="1">
        <f t="array" ref="G123">Scope3_Equations.VEERG_15_2_1_1__1_EmissionsFromPurchasedFeed(E123,F123)</f>
        <v>0</v>
      </c>
      <c r="H123" s="85"/>
      <c r="I123" s="277" cm="1">
        <f t="array" ref="I123">Scope3_Equations.VEERG_15_2_1_1__1_EmissionsFromPurchasedFeed(E123,IF(H123,H123, F123))</f>
        <v>0</v>
      </c>
      <c r="J123" s="43"/>
      <c r="K123" s="23"/>
      <c r="L123" s="43"/>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77" cm="1">
        <f t="array" ref="G124">Scope3_Equations.VEERG_15_2_1_1__1_EmissionsFromPurchasedFeed(E124,F124)</f>
        <v>0</v>
      </c>
      <c r="H124" s="85"/>
      <c r="I124" s="277" cm="1">
        <f t="array" ref="I124">Scope3_Equations.VEERG_15_2_1_1__1_EmissionsFromPurchasedFeed(E124,IF(H124,H124, F124))</f>
        <v>0</v>
      </c>
      <c r="J124" s="43"/>
      <c r="K124" s="23"/>
      <c r="L124" s="43"/>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77" cm="1">
        <f t="array" ref="G125">Scope3_Equations.VEERG_15_2_1_1__1_EmissionsFromPurchasedFeed(E125,F125)</f>
        <v>0</v>
      </c>
      <c r="H125" s="85"/>
      <c r="I125" s="277" cm="1">
        <f t="array" ref="I125">Scope3_Equations.VEERG_15_2_1_1__1_EmissionsFromPurchasedFeed(E125,IF(H125,H125, F125))</f>
        <v>0</v>
      </c>
      <c r="J125" s="43"/>
      <c r="K125" s="23"/>
      <c r="L125" s="43"/>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77" cm="1">
        <f t="array" ref="G126">Scope3_Equations.VEERG_15_2_1_1__1_EmissionsFromPurchasedFeed(E126,F126)</f>
        <v>0</v>
      </c>
      <c r="H126" s="85"/>
      <c r="I126" s="277" cm="1">
        <f t="array" ref="I126">Scope3_Equations.VEERG_15_2_1_1__1_EmissionsFromPurchasedFeed(E126,IF(H126,H126, F126))</f>
        <v>0</v>
      </c>
      <c r="J126" s="43"/>
      <c r="K126" s="23"/>
      <c r="L126" s="43"/>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77" cm="1">
        <f t="array" ref="G127">Scope3_Equations.VEERG_15_2_1_1__1_EmissionsFromPurchasedFeed(E127,F127)</f>
        <v>0</v>
      </c>
      <c r="H127" s="85"/>
      <c r="I127" s="277" cm="1">
        <f t="array" ref="I127">Scope3_Equations.VEERG_15_2_1_1__1_EmissionsFromPurchasedFeed(E127,IF(H127,H127, F127))</f>
        <v>0</v>
      </c>
      <c r="J127" s="43"/>
      <c r="K127" s="23"/>
      <c r="L127" s="43"/>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77" cm="1">
        <f t="array" ref="G128">Scope3_Equations.VEERG_15_2_1_1__1_EmissionsFromPurchasedFeed(E128,F128)</f>
        <v>0</v>
      </c>
      <c r="H128" s="85"/>
      <c r="I128" s="277" cm="1">
        <f t="array" ref="I128">Scope3_Equations.VEERG_15_2_1_1__1_EmissionsFromPurchasedFeed(E128,IF(H128,H128, F128))</f>
        <v>0</v>
      </c>
      <c r="J128" s="43"/>
      <c r="K128" s="23"/>
      <c r="L128" s="43"/>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42" t="s">
        <v>1139</v>
      </c>
      <c r="E130" s="101">
        <f>SUM(G119:G128)</f>
        <v>471.44159999999999</v>
      </c>
      <c r="F130" s="140" t="str">
        <f>$E$104</f>
        <v>t CO2e</v>
      </c>
    </row>
    <row r="131" spans="1:12" ht="20.100000000000001" customHeight="1" x14ac:dyDescent="0.25">
      <c r="A131"/>
      <c r="D131" s="142" t="s">
        <v>1142</v>
      </c>
      <c r="E131" s="101">
        <f>SUM(I119:I128)</f>
        <v>366.18</v>
      </c>
      <c r="F131" s="140"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67" t="s">
        <v>1073</v>
      </c>
    </row>
    <row r="135" spans="1:12" ht="20.100000000000001" customHeight="1" x14ac:dyDescent="0.25">
      <c r="A135"/>
      <c r="D135" s="94" t="s">
        <v>138</v>
      </c>
      <c r="E135" s="94" t="s">
        <v>1167</v>
      </c>
      <c r="F135" s="124" t="s">
        <v>1168</v>
      </c>
      <c r="G135" s="124" t="s">
        <v>1139</v>
      </c>
      <c r="H135" s="94" t="s">
        <v>1169</v>
      </c>
      <c r="I135" s="124" t="s">
        <v>1142</v>
      </c>
      <c r="J135" s="94" t="s">
        <v>1143</v>
      </c>
      <c r="K135" s="94" t="s">
        <v>1144</v>
      </c>
      <c r="L135" s="94" t="s">
        <v>1145</v>
      </c>
    </row>
    <row r="136" spans="1:12" ht="20.100000000000001" customHeight="1" x14ac:dyDescent="0.25">
      <c r="A136"/>
      <c r="D136" s="25" t="str">
        <f>'Input - Livestock farm Inputs'!D12</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7" cm="1">
        <f t="array" ref="G136">Scope3_Equations.VEERG_15_2_1_1__1_EmissionsFromPurchasedFeed(E136,F136)</f>
        <v>59.4</v>
      </c>
      <c r="H136" s="85">
        <v>0.5</v>
      </c>
      <c r="I136" s="277" cm="1">
        <f t="array" ref="I136">Scope3_Equations.VEERG_15_2_1_1__1_EmissionsFromPurchasedFeed(E136,IF(H136,H136, F136))</f>
        <v>50</v>
      </c>
      <c r="J136" s="43"/>
      <c r="K136" s="23"/>
      <c r="L136" s="261"/>
    </row>
    <row r="137" spans="1:12" ht="20.100000000000001" customHeight="1" x14ac:dyDescent="0.25">
      <c r="A137"/>
      <c r="D137" s="25" t="str">
        <f>'Input - Livestock farm Inputs'!D13</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7" cm="1">
        <f t="array" ref="G137">Scope3_Equations.VEERG_15_2_1_1__1_EmissionsFromPurchasedFeed(E137,F137)</f>
        <v>41.9</v>
      </c>
      <c r="H137" s="85">
        <v>0.4</v>
      </c>
      <c r="I137" s="277" cm="1">
        <f t="array" ref="I137">Scope3_Equations.VEERG_15_2_1_1__1_EmissionsFromPurchasedFeed(E137,IF(H137,H137, F137))</f>
        <v>40</v>
      </c>
      <c r="J137" s="43"/>
      <c r="K137" s="23"/>
      <c r="L137" s="43"/>
    </row>
    <row r="138" spans="1:12" ht="20.100000000000001" customHeight="1" x14ac:dyDescent="0.25">
      <c r="A138"/>
      <c r="D138" s="25" t="str">
        <f>'Input - Livestock farm Inputs'!D14</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7" cm="1">
        <f t="array" ref="G138">Scope3_Equations.VEERG_15_2_1_1__1_EmissionsFromPurchasedFeed(E138,F138)</f>
        <v>33.300000000000004</v>
      </c>
      <c r="H138" s="85">
        <v>0</v>
      </c>
      <c r="I138" s="277" cm="1">
        <f t="array" ref="I138">Scope3_Equations.VEERG_15_2_1_1__1_EmissionsFromPurchasedFeed(E138,IF(H138,H138, F138))</f>
        <v>33.300000000000004</v>
      </c>
      <c r="J138" s="43"/>
      <c r="K138" s="23"/>
      <c r="L138" s="43"/>
    </row>
    <row r="139" spans="1:12" ht="20.100000000000001" customHeight="1" x14ac:dyDescent="0.25">
      <c r="A139"/>
      <c r="D139" s="25" t="str">
        <f>'Input - Livestock farm Inputs'!D15</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7" cm="1">
        <f t="array" ref="G139">Scope3_Equations.VEERG_15_2_1_1__1_EmissionsFromPurchasedFeed(E139,F139)</f>
        <v>40.300000000000004</v>
      </c>
      <c r="H139" s="85">
        <v>0</v>
      </c>
      <c r="I139" s="277" cm="1">
        <f t="array" ref="I139">Scope3_Equations.VEERG_15_2_1_1__1_EmissionsFromPurchasedFeed(E139,IF(H139,H139, F139))</f>
        <v>40.300000000000004</v>
      </c>
      <c r="J139" s="43"/>
      <c r="K139" s="23"/>
      <c r="L139" s="43"/>
    </row>
    <row r="140" spans="1:12" ht="20.100000000000001" customHeight="1" x14ac:dyDescent="0.25">
      <c r="A140"/>
    </row>
    <row r="141" spans="1:12" ht="20.100000000000001" customHeight="1" x14ac:dyDescent="0.25">
      <c r="A141"/>
      <c r="D141" s="142" t="s">
        <v>1139</v>
      </c>
      <c r="E141" s="101">
        <f>SUM(G136:G139)</f>
        <v>174.9</v>
      </c>
      <c r="F141" s="140" t="str">
        <f>$E$104</f>
        <v>t CO2e</v>
      </c>
    </row>
    <row r="142" spans="1:12" ht="20.100000000000001" customHeight="1" x14ac:dyDescent="0.25">
      <c r="A142"/>
      <c r="D142" s="142" t="s">
        <v>1142</v>
      </c>
      <c r="E142" s="101">
        <f>SUM(I136:I139)</f>
        <v>163.60000000000002</v>
      </c>
      <c r="F142" s="140" t="str">
        <f>$E$104</f>
        <v>t CO2e</v>
      </c>
    </row>
    <row r="143" spans="1:12" ht="20.100000000000001" customHeight="1" x14ac:dyDescent="0.25">
      <c r="A143"/>
    </row>
    <row r="144" spans="1:12" ht="20.100000000000001" customHeight="1" x14ac:dyDescent="0.25">
      <c r="A144"/>
      <c r="D144" s="135" t="s">
        <v>1139</v>
      </c>
      <c r="E144" s="136">
        <f>E130+E141</f>
        <v>646.34159999999997</v>
      </c>
      <c r="F144" s="137" t="str">
        <f>$E$104</f>
        <v>t CO2e</v>
      </c>
    </row>
    <row r="145" spans="1:41" ht="20.100000000000001" customHeight="1" x14ac:dyDescent="0.25">
      <c r="A145"/>
      <c r="D145" s="135" t="s">
        <v>1142</v>
      </c>
      <c r="E145" s="136">
        <f>E131+E142</f>
        <v>529.78</v>
      </c>
      <c r="F145" s="137"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1"/>
      <c r="D148" s="101"/>
      <c r="E148" s="101"/>
      <c r="F148" s="101"/>
      <c r="G148" s="101"/>
      <c r="H148" s="101"/>
      <c r="I148" s="101"/>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8" t="s">
        <v>262</v>
      </c>
      <c r="E151" s="118"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8"/>
    </row>
    <row r="154" spans="1:41" ht="20.100000000000001" customHeight="1" x14ac:dyDescent="0.25">
      <c r="A154"/>
      <c r="D154" s="87" t="s">
        <v>263</v>
      </c>
      <c r="E154" s="1" t="str" cm="1">
        <f t="array" ref="E154">Scope3_Equations.VEERG_15_3_1_1__1_EmissionsFromPurchasedMineralSupplements_Variable()</f>
        <v>E</v>
      </c>
    </row>
    <row r="155" spans="1:41" ht="20.100000000000001" customHeight="1" x14ac:dyDescent="0.25">
      <c r="A155"/>
      <c r="D155" s="87" t="s">
        <v>122</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20" t="str" cm="1">
        <f t="array" ref="D157:E159">_xlfn.CHOOSECOLS(Scope3_Equations.VEERG_15_3_1_1__1_EmissionsFromPurchasedMineralSupplements_Arguments(),1,2)</f>
        <v>Q_m</v>
      </c>
      <c r="E157" s="125" t="str">
        <v>total quantity of mineral supplement type m used</v>
      </c>
      <c r="F157" s="126"/>
      <c r="G157" s="120" t="str" cm="1">
        <f t="array" ref="G157:H159">_xlfn.CHOOSECOLS(Scope3_Equations.VEERG_15_3_1_1__1_EmissionsFromPurchasedMineralSupplements_Arguments(),3,4)</f>
        <v>t</v>
      </c>
      <c r="H157" s="275" t="str">
        <v>Input</v>
      </c>
    </row>
    <row r="158" spans="1:41" ht="20.100000000000001" customHeight="1" x14ac:dyDescent="0.25">
      <c r="A158"/>
      <c r="D158" s="120" t="str">
        <v>EF_m</v>
      </c>
      <c r="E158" s="125" t="str">
        <v>emission factor of purchased mineral supplement</v>
      </c>
      <c r="F158" s="126"/>
      <c r="G158" s="120" t="str">
        <v>kg CO2e/kg</v>
      </c>
      <c r="H158" s="275" t="str">
        <v>Constant</v>
      </c>
    </row>
    <row r="159" spans="1:41" ht="20.100000000000001" customHeight="1" x14ac:dyDescent="0.25">
      <c r="A159"/>
      <c r="D159" s="120" t="str">
        <v>m</v>
      </c>
      <c r="E159" s="125" t="str">
        <v>mineral supplement type</v>
      </c>
      <c r="F159" s="126"/>
      <c r="G159" s="120" t="str">
        <v/>
      </c>
      <c r="H159" s="128" t="str">
        <v>Input</v>
      </c>
    </row>
    <row r="160" spans="1:41" ht="20.100000000000001" customHeight="1" x14ac:dyDescent="0.25">
      <c r="A160"/>
    </row>
    <row r="161" spans="3:41" ht="20.100000000000001" customHeight="1" x14ac:dyDescent="0.25">
      <c r="D161" s="94" t="s">
        <v>138</v>
      </c>
      <c r="E161" s="94" t="s">
        <v>1178</v>
      </c>
      <c r="F161" s="124" t="s">
        <v>1179</v>
      </c>
      <c r="G161" s="124" t="s">
        <v>1139</v>
      </c>
      <c r="H161" s="94" t="s">
        <v>1180</v>
      </c>
      <c r="I161" s="124" t="s">
        <v>1142</v>
      </c>
      <c r="J161" s="94" t="s">
        <v>1143</v>
      </c>
      <c r="K161" s="94" t="s">
        <v>1144</v>
      </c>
      <c r="L161" s="94" t="s">
        <v>1145</v>
      </c>
    </row>
    <row r="162" spans="3:41" ht="20.100000000000001" customHeight="1" x14ac:dyDescent="0.25">
      <c r="D162" s="25" t="str">
        <f>'Input - Livestock farm Inputs'!D7</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7" cm="1">
        <f t="array" ref="G162">Scope3_Equations.VEERG_15_3_1_1__1_EmissionsFromPurchasedMineralSupplements(E162,F162)</f>
        <v>88.1</v>
      </c>
      <c r="H162" s="85">
        <v>0.8</v>
      </c>
      <c r="I162" s="277" cm="1">
        <f t="array" ref="I162">Scope3_Equations.VEERG_15_3_1_1__1_EmissionsFromPurchasedMineralSupplements(E162,IF(H162, H162, F162))</f>
        <v>80</v>
      </c>
      <c r="J162" s="43"/>
      <c r="K162" s="23"/>
      <c r="L162" s="261"/>
    </row>
    <row r="163" spans="3:41" ht="20.100000000000001" customHeight="1" x14ac:dyDescent="0.25">
      <c r="D163" s="25" t="str">
        <f>'Input - Livestock farm Inputs'!D8</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7" cm="1">
        <f t="array" ref="G163">Scope3_Equations.VEERG_15_3_1_1__1_EmissionsFromPurchasedMineralSupplements(E163,F163)</f>
        <v>67.7</v>
      </c>
      <c r="H163" s="85">
        <v>0.6</v>
      </c>
      <c r="I163" s="277" cm="1">
        <f t="array" ref="I163">Scope3_Equations.VEERG_15_3_1_1__1_EmissionsFromPurchasedMineralSupplements(E163,IF(H163, H163, F163))</f>
        <v>60</v>
      </c>
      <c r="J163" s="43"/>
      <c r="K163" s="23"/>
      <c r="L163" s="43"/>
    </row>
    <row r="164" spans="3:41" ht="20.100000000000001" customHeight="1" x14ac:dyDescent="0.25">
      <c r="D164" s="25" t="str">
        <f>'Input - Livestock farm Inputs'!D9</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7" cm="1">
        <f t="array" ref="G164">Scope3_Equations.VEERG_15_3_1_1__1_EmissionsFromPurchasedMineralSupplements(E164,F164)</f>
        <v>23.1</v>
      </c>
      <c r="H164" s="85">
        <v>0.2</v>
      </c>
      <c r="I164" s="277" cm="1">
        <f t="array" ref="I164">Scope3_Equations.VEERG_15_3_1_1__1_EmissionsFromPurchasedMineralSupplements(E164,IF(H164, H164, F164))</f>
        <v>20</v>
      </c>
      <c r="J164" s="43"/>
      <c r="K164" s="23"/>
      <c r="L164" s="43"/>
    </row>
    <row r="165" spans="3:41" ht="20.100000000000001" customHeight="1" x14ac:dyDescent="0.25"/>
    <row r="166" spans="3:41" ht="20.100000000000001" customHeight="1" x14ac:dyDescent="0.25">
      <c r="D166" s="135" t="s">
        <v>1139</v>
      </c>
      <c r="E166" s="136">
        <f>SUM(G162:G164)</f>
        <v>178.9</v>
      </c>
      <c r="F166" s="137" t="str">
        <f>$E$155</f>
        <v>t CO2e</v>
      </c>
    </row>
    <row r="167" spans="3:41" ht="20.100000000000001" customHeight="1" x14ac:dyDescent="0.25">
      <c r="D167" s="135" t="s">
        <v>1142</v>
      </c>
      <c r="E167" s="136">
        <f>SUM(I162:I164)</f>
        <v>160</v>
      </c>
      <c r="F167" s="137" t="str">
        <f>$E$155</f>
        <v>t CO2e</v>
      </c>
    </row>
    <row r="168" spans="3:41" ht="20.100000000000001" customHeight="1" x14ac:dyDescent="0.25"/>
    <row r="169" spans="3:41" ht="20.100000000000001" customHeight="1" x14ac:dyDescent="0.25"/>
    <row r="170" spans="3:41" ht="20.100000000000001" customHeight="1" x14ac:dyDescent="0.25">
      <c r="C170" s="101"/>
      <c r="D170" s="101"/>
      <c r="E170" s="101"/>
      <c r="F170" s="101"/>
      <c r="G170" s="101"/>
      <c r="H170" s="101"/>
      <c r="I170" s="101"/>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5"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8" t="s">
        <v>262</v>
      </c>
      <c r="E174" s="118"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7" t="s">
        <v>263</v>
      </c>
      <c r="E177" s="1" t="str" cm="1">
        <f t="array" ref="E177">Scope3_Equations.VEERG_15_4_1_1__X_EmissionFactorFromPurchasedFertiliserComponents_Variable()</f>
        <v>EF_f</v>
      </c>
    </row>
    <row r="178" spans="4:8" ht="20.100000000000001" customHeight="1" x14ac:dyDescent="0.25">
      <c r="D178" s="87" t="s">
        <v>122</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20" t="str" cm="1">
        <f t="array" ref="D180:E183">_xlfn.CHOOSECOLS(Scope3_Equations.VEERG_15_4_1_1__X_EmissionFactorFromPurchasedFertiliserComponents_Arguments(),1,2)</f>
        <v>F_cf</v>
      </c>
      <c r="E180" s="125" t="str">
        <v>fraction of component c contained within the inorganic fertiliser f</v>
      </c>
      <c r="F180" s="126"/>
      <c r="G180" s="120" t="str" cm="1">
        <f t="array" ref="G180:H183">_xlfn.CHOOSECOLS(Scope3_Equations.VEERG_15_4_1_1__X_EmissionFactorFromPurchasedFertiliserComponents_Arguments(),3,4)</f>
        <v>wt%</v>
      </c>
      <c r="H180" s="275" t="str">
        <v>Input</v>
      </c>
    </row>
    <row r="181" spans="4:8" ht="20.100000000000001" customHeight="1" x14ac:dyDescent="0.25">
      <c r="D181" s="120" t="str">
        <v>EF_c</v>
      </c>
      <c r="E181" s="125" t="str">
        <v>emission factor for the production of component c</v>
      </c>
      <c r="F181" s="126"/>
      <c r="G181" s="120" t="str">
        <v>kg CO2e/kg component</v>
      </c>
      <c r="H181" s="128" t="str">
        <v>Constant</v>
      </c>
    </row>
    <row r="182" spans="4:8" ht="20.100000000000001" customHeight="1" x14ac:dyDescent="0.25">
      <c r="D182" s="120" t="str">
        <v>c</v>
      </c>
      <c r="E182" s="125" t="str">
        <v>fertiliser component</v>
      </c>
      <c r="F182" s="126"/>
      <c r="G182" s="120" t="str">
        <v/>
      </c>
      <c r="H182" s="275" t="str">
        <v>Input</v>
      </c>
    </row>
    <row r="183" spans="4:8" ht="20.100000000000001" customHeight="1" x14ac:dyDescent="0.25">
      <c r="D183" s="120" t="str">
        <v>f</v>
      </c>
      <c r="E183" s="125" t="str">
        <v>inorganic fertiliser type</v>
      </c>
      <c r="F183" s="126"/>
      <c r="G183" s="120" t="str">
        <v/>
      </c>
      <c r="H183" s="275"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8" t="s">
        <v>262</v>
      </c>
      <c r="E188" s="118"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7" t="s">
        <v>263</v>
      </c>
      <c r="E191" s="1" t="str" cm="1">
        <f t="array" ref="E191">Scope3_Equations.VEERG_15_4_1_1__1_EmissionsFromPurchasedFertiliser_Variable()</f>
        <v>E</v>
      </c>
    </row>
    <row r="192" spans="4:8" ht="20.100000000000001" customHeight="1" x14ac:dyDescent="0.25">
      <c r="D192" s="87" t="s">
        <v>122</v>
      </c>
      <c r="E192" s="15" t="str" cm="1">
        <f t="array" ref="E192">Scope3_Equations.VEERG_15_4_1_1__1_EmissionsFromPurchasedFertiliser_Unit()</f>
        <v>t CO2e</v>
      </c>
    </row>
    <row r="193" spans="4:8" ht="20.100000000000001" customHeight="1" x14ac:dyDescent="0.25"/>
    <row r="194" spans="4:8" ht="20.100000000000001" customHeight="1" x14ac:dyDescent="0.25">
      <c r="D194" s="120" t="str" cm="1">
        <f t="array" ref="D194:E197">_xlfn.CHOOSECOLS(Scope3_Equations.VEERG_15_4_1_1__1_EmissionsFromPurchasedFertiliser_Arguments(),1,2)</f>
        <v>TM_jf</v>
      </c>
      <c r="E194" s="120" t="str">
        <v>quantity of inorganic fertiliser type f purchased and applied to production system j</v>
      </c>
      <c r="F194" s="120"/>
      <c r="G194" s="120" t="str" cm="1">
        <f t="array" ref="G194:H197">_xlfn.CHOOSECOLS(Scope3_Equations.VEERG_15_4_1_1__1_EmissionsFromPurchasedFertiliser_Arguments(),3,4)</f>
        <v>kg</v>
      </c>
      <c r="H194" s="275" t="str">
        <v>Input</v>
      </c>
    </row>
    <row r="195" spans="4:8" ht="20.100000000000001" customHeight="1" x14ac:dyDescent="0.25">
      <c r="D195" s="120" t="str">
        <v>EF_f</v>
      </c>
      <c r="E195" s="120" t="str">
        <v>emission factor of purchased inorganic fertiliser</v>
      </c>
      <c r="F195" s="120"/>
      <c r="G195" s="120" t="str">
        <v>kg CO2e/kg</v>
      </c>
      <c r="H195" s="128" t="str">
        <v>Constant</v>
      </c>
    </row>
    <row r="196" spans="4:8" ht="20.100000000000001" customHeight="1" x14ac:dyDescent="0.25">
      <c r="D196" s="120" t="str">
        <v>j</v>
      </c>
      <c r="E196" s="120" t="str">
        <v>production system</v>
      </c>
      <c r="F196" s="120"/>
      <c r="G196" s="120" t="str">
        <v/>
      </c>
      <c r="H196" s="275" t="str">
        <v>Input</v>
      </c>
    </row>
    <row r="197" spans="4:8" ht="20.100000000000001" customHeight="1" x14ac:dyDescent="0.25">
      <c r="D197" s="120" t="str">
        <v>f</v>
      </c>
      <c r="E197" s="120" t="str">
        <v>inorganic fertiliser type</v>
      </c>
      <c r="F197" s="120"/>
      <c r="G197" s="120" t="str">
        <v/>
      </c>
      <c r="H197" s="275"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5"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8" t="s">
        <v>262</v>
      </c>
      <c r="E203" s="118"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7" t="s">
        <v>263</v>
      </c>
      <c r="E206" s="1" t="str" cm="1">
        <f t="array" ref="E206">Scope3_Equations.VEERG_15_4_1_1__2_EmissionsFromPurchasedFertiliserComponents_Variable()</f>
        <v>E</v>
      </c>
    </row>
    <row r="207" spans="4:8" ht="20.100000000000001" customHeight="1" x14ac:dyDescent="0.25">
      <c r="D207" s="87" t="s">
        <v>122</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20" t="str" cm="1">
        <f t="array" ref="D209:E214">_xlfn.CHOOSECOLS(Scope3_Equations.VEERG_15_4_1_1__2_EmissionsFromPurchasedFertiliserComponents_Arguments(),1,2)</f>
        <v>F_cf</v>
      </c>
      <c r="E209" s="125" t="str">
        <v>fraction of component c contained within the inorganic fertiliser f</v>
      </c>
      <c r="F209" s="126"/>
      <c r="G209" s="120" t="str" cm="1">
        <f t="array" ref="G209:H214">_xlfn.CHOOSECOLS(Scope3_Equations.VEERG_15_4_1_1__2_EmissionsFromPurchasedFertiliserComponents_Arguments(),3,4)</f>
        <v>wt%</v>
      </c>
      <c r="H209" s="275" t="str">
        <v>Input</v>
      </c>
    </row>
    <row r="210" spans="4:40" ht="20.100000000000001" customHeight="1" x14ac:dyDescent="0.25">
      <c r="D210" s="120" t="str">
        <v>TM_jf</v>
      </c>
      <c r="E210" s="125" t="str">
        <v>quantity of inorganic fertiliser type f purchased and applied to production system j</v>
      </c>
      <c r="F210" s="126"/>
      <c r="G210" s="120" t="str">
        <v>kg</v>
      </c>
      <c r="H210" s="128" t="str">
        <v>Input</v>
      </c>
    </row>
    <row r="211" spans="4:40" ht="20.100000000000001" customHeight="1" x14ac:dyDescent="0.25">
      <c r="D211" s="120" t="str">
        <v>EF_c</v>
      </c>
      <c r="E211" s="125" t="str">
        <v>emission factor for the production of component c</v>
      </c>
      <c r="F211" s="126"/>
      <c r="G211" s="120" t="str">
        <v>kg CO2e/kg component</v>
      </c>
      <c r="H211" s="128" t="str">
        <v>Constant</v>
      </c>
    </row>
    <row r="212" spans="4:40" ht="20.100000000000001" customHeight="1" x14ac:dyDescent="0.25">
      <c r="D212" s="120" t="str">
        <v>c</v>
      </c>
      <c r="E212" s="125" t="str">
        <v>fertiliser component</v>
      </c>
      <c r="F212" s="126"/>
      <c r="G212" s="120" t="str">
        <v/>
      </c>
      <c r="H212" s="275" t="str">
        <v>Input</v>
      </c>
    </row>
    <row r="213" spans="4:40" ht="20.100000000000001" customHeight="1" x14ac:dyDescent="0.25">
      <c r="D213" s="120" t="str">
        <v>f</v>
      </c>
      <c r="E213" s="125" t="str">
        <v>inorganic fertiliser type</v>
      </c>
      <c r="F213" s="126"/>
      <c r="G213" s="120" t="str">
        <v/>
      </c>
      <c r="H213" s="275" t="str">
        <v>Input</v>
      </c>
    </row>
    <row r="214" spans="4:40" ht="20.100000000000001" customHeight="1" x14ac:dyDescent="0.25">
      <c r="D214" s="120" t="str">
        <v>j</v>
      </c>
      <c r="E214" s="125" t="str">
        <v>production system</v>
      </c>
      <c r="F214" s="126"/>
      <c r="G214" s="120" t="str">
        <v/>
      </c>
      <c r="H214" s="275" t="str">
        <v>Input</v>
      </c>
    </row>
    <row r="215" spans="4:40" ht="20.100000000000001" customHeight="1" x14ac:dyDescent="0.25"/>
    <row r="216" spans="4:40" ht="20.100000000000001" customHeight="1" x14ac:dyDescent="0.25">
      <c r="D216" s="267" t="s">
        <v>1181</v>
      </c>
    </row>
    <row r="217" spans="4:40" ht="20.100000000000001" customHeight="1" x14ac:dyDescent="0.25"/>
    <row r="218" spans="4:40" ht="20.100000000000001" customHeight="1" x14ac:dyDescent="0.25">
      <c r="D218" s="45" t="s">
        <v>1182</v>
      </c>
      <c r="E218" s="47"/>
      <c r="F218" s="48"/>
    </row>
    <row r="219" spans="4:40" ht="20.100000000000001" customHeight="1" x14ac:dyDescent="0.25"/>
    <row r="220" spans="4:40" ht="20.100000000000001" customHeight="1" x14ac:dyDescent="0.25">
      <c r="D220" s="94" t="s">
        <v>138</v>
      </c>
      <c r="E220" s="94" t="s">
        <v>1183</v>
      </c>
      <c r="F220" s="124" t="s">
        <v>1184</v>
      </c>
      <c r="G220" s="124" t="s">
        <v>1185</v>
      </c>
      <c r="H220" s="124" t="s">
        <v>1186</v>
      </c>
      <c r="I220" s="94" t="s">
        <v>1187</v>
      </c>
      <c r="J220" s="124" t="s">
        <v>1188</v>
      </c>
      <c r="K220" s="124" t="s">
        <v>1189</v>
      </c>
      <c r="L220" s="94" t="s">
        <v>1143</v>
      </c>
      <c r="M220" s="94" t="s">
        <v>1144</v>
      </c>
      <c r="N220" s="94" t="s">
        <v>1145</v>
      </c>
      <c r="O220" s="124" t="s">
        <v>575</v>
      </c>
      <c r="P220" s="124" t="s">
        <v>576</v>
      </c>
      <c r="Q220" s="124" t="s">
        <v>560</v>
      </c>
      <c r="R220" s="124" t="s">
        <v>561</v>
      </c>
      <c r="S220" s="124" t="s">
        <v>1190</v>
      </c>
      <c r="T220" s="94" t="s">
        <v>1191</v>
      </c>
      <c r="U220" s="124" t="s">
        <v>562</v>
      </c>
      <c r="V220" s="124" t="s">
        <v>563</v>
      </c>
      <c r="W220" s="124" t="s">
        <v>1192</v>
      </c>
      <c r="X220" s="94" t="s">
        <v>1193</v>
      </c>
      <c r="Y220" s="124" t="s">
        <v>564</v>
      </c>
      <c r="Z220" s="124" t="s">
        <v>565</v>
      </c>
      <c r="AA220" s="124" t="s">
        <v>1194</v>
      </c>
      <c r="AB220" s="94" t="s">
        <v>1195</v>
      </c>
      <c r="AC220" s="124" t="s">
        <v>566</v>
      </c>
      <c r="AD220" s="124" t="s">
        <v>567</v>
      </c>
      <c r="AE220" s="124" t="s">
        <v>1196</v>
      </c>
      <c r="AF220" s="94" t="s">
        <v>1197</v>
      </c>
      <c r="AG220" s="124" t="s">
        <v>568</v>
      </c>
      <c r="AH220" s="124" t="s">
        <v>569</v>
      </c>
      <c r="AI220" s="124" t="s">
        <v>1198</v>
      </c>
      <c r="AJ220" s="94" t="s">
        <v>1199</v>
      </c>
      <c r="AK220" s="124" t="s">
        <v>570</v>
      </c>
      <c r="AL220" s="124" t="s">
        <v>571</v>
      </c>
      <c r="AM220" s="124" t="s">
        <v>1200</v>
      </c>
      <c r="AN220" s="94" t="s">
        <v>1201</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77"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5">
        <v>0.4</v>
      </c>
      <c r="J221" s="277" cm="1">
        <f t="array" ref="J221">Scope3_Equations.VEERG_15_4_1_1__1_EmissionsFromPurchasedFertiliser(E221,I221)</f>
        <v>40</v>
      </c>
      <c r="K221" s="27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3"/>
      <c r="M221" s="23"/>
      <c r="N221" s="261"/>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5">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5">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5">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5">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5">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5"/>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77"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5">
        <v>0.9</v>
      </c>
      <c r="J222" s="277" cm="1">
        <f t="array" ref="J222">Scope3_Equations.VEERG_15_4_1_1__1_EmissionsFromPurchasedFertiliser(E222,I222)</f>
        <v>90</v>
      </c>
      <c r="K222" s="27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3"/>
      <c r="M222" s="23"/>
      <c r="N222" s="43"/>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5"/>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5"/>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5"/>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5"/>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5"/>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5"/>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77"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5">
        <v>0.4</v>
      </c>
      <c r="J223" s="277" cm="1">
        <f t="array" ref="J223">Scope3_Equations.VEERG_15_4_1_1__1_EmissionsFromPurchasedFertiliser(E223,I223)</f>
        <v>40</v>
      </c>
      <c r="K223" s="27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3"/>
      <c r="M223" s="23"/>
      <c r="N223" s="43"/>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5"/>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5"/>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5"/>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5"/>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5"/>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5"/>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77"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5"/>
      <c r="J224" s="277" cm="1">
        <f t="array" ref="J224">Scope3_Equations.VEERG_15_4_1_1__1_EmissionsFromPurchasedFertiliser(E224,I224)</f>
        <v>0</v>
      </c>
      <c r="K224" s="27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3"/>
      <c r="M224" s="23"/>
      <c r="N224" s="43"/>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5"/>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5"/>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5"/>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5"/>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5"/>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5"/>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77"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5"/>
      <c r="J225" s="277" cm="1">
        <f t="array" ref="J225">Scope3_Equations.VEERG_15_4_1_1__1_EmissionsFromPurchasedFertiliser(E225,I225)</f>
        <v>0</v>
      </c>
      <c r="K225" s="27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3"/>
      <c r="M225" s="23"/>
      <c r="N225" s="43"/>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5"/>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5"/>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5"/>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5"/>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5"/>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5"/>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7"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5"/>
      <c r="J226" s="277" cm="1">
        <f t="array" ref="J226">Scope3_Equations.VEERG_15_4_1_1__1_EmissionsFromPurchasedFertiliser(E226,I226)</f>
        <v>0</v>
      </c>
      <c r="K226" s="27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3"/>
      <c r="M226" s="23"/>
      <c r="N226" s="43"/>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5"/>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5"/>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5"/>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5"/>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5"/>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5"/>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7"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5"/>
      <c r="J227" s="277" cm="1">
        <f t="array" ref="J227">Scope3_Equations.VEERG_15_4_1_1__1_EmissionsFromPurchasedFertiliser(E227,I227)</f>
        <v>0</v>
      </c>
      <c r="K227" s="27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3"/>
      <c r="M227" s="23"/>
      <c r="N227" s="43"/>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5"/>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5"/>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5"/>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5"/>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5"/>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5"/>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7"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5"/>
      <c r="J228" s="277" cm="1">
        <f t="array" ref="J228">Scope3_Equations.VEERG_15_4_1_1__1_EmissionsFromPurchasedFertiliser(E228,I228)</f>
        <v>0</v>
      </c>
      <c r="K228" s="27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3"/>
      <c r="M228" s="23"/>
      <c r="N228" s="43"/>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5"/>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5"/>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5"/>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5"/>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5"/>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5"/>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7"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5"/>
      <c r="J229" s="277" cm="1">
        <f t="array" ref="J229">Scope3_Equations.VEERG_15_4_1_1__1_EmissionsFromPurchasedFertiliser(E229,I229)</f>
        <v>0</v>
      </c>
      <c r="K229" s="27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3"/>
      <c r="M229" s="23"/>
      <c r="N229" s="43"/>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5"/>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5"/>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5"/>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5"/>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5"/>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5"/>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7"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5"/>
      <c r="J230" s="277" cm="1">
        <f t="array" ref="J230">Scope3_Equations.VEERG_15_4_1_1__1_EmissionsFromPurchasedFertiliser(E230,I230)</f>
        <v>0</v>
      </c>
      <c r="K230" s="27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3"/>
      <c r="M230" s="23"/>
      <c r="N230" s="43"/>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5"/>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5"/>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5"/>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5"/>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5"/>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5"/>
    </row>
    <row r="231" spans="4:40" ht="20.100000000000001" customHeight="1" x14ac:dyDescent="0.25"/>
    <row r="232" spans="4:40" ht="20.100000000000001" customHeight="1" x14ac:dyDescent="0.25">
      <c r="D232" s="267" t="s">
        <v>1202</v>
      </c>
    </row>
    <row r="233" spans="4:40" ht="20.100000000000001" customHeight="1" x14ac:dyDescent="0.25"/>
    <row r="234" spans="4:40" ht="20.100000000000001" customHeight="1" x14ac:dyDescent="0.25">
      <c r="D234" s="45" t="s">
        <v>1203</v>
      </c>
      <c r="E234" s="47"/>
      <c r="F234" s="48"/>
    </row>
    <row r="235" spans="4:40" ht="20.100000000000001" customHeight="1" x14ac:dyDescent="0.25"/>
    <row r="236" spans="4:40" ht="20.100000000000001" customHeight="1" x14ac:dyDescent="0.25">
      <c r="D236" s="94" t="s">
        <v>1166</v>
      </c>
      <c r="E236" s="94" t="s">
        <v>1183</v>
      </c>
      <c r="F236" s="124" t="s">
        <v>1184</v>
      </c>
      <c r="G236" s="124" t="s">
        <v>1185</v>
      </c>
      <c r="H236" s="124" t="s">
        <v>1186</v>
      </c>
      <c r="I236" s="94" t="s">
        <v>1187</v>
      </c>
      <c r="J236" s="124" t="s">
        <v>1188</v>
      </c>
      <c r="K236" s="124" t="s">
        <v>1189</v>
      </c>
      <c r="L236" s="94" t="s">
        <v>1143</v>
      </c>
      <c r="M236" s="94" t="s">
        <v>1144</v>
      </c>
      <c r="N236" s="94" t="s">
        <v>1145</v>
      </c>
      <c r="O236" s="124" t="s">
        <v>575</v>
      </c>
      <c r="P236" s="124" t="s">
        <v>576</v>
      </c>
      <c r="Q236" s="124" t="s">
        <v>560</v>
      </c>
      <c r="R236" s="124" t="s">
        <v>561</v>
      </c>
      <c r="S236" s="124" t="s">
        <v>1190</v>
      </c>
      <c r="T236" s="94" t="s">
        <v>1191</v>
      </c>
      <c r="U236" s="124" t="s">
        <v>562</v>
      </c>
      <c r="V236" s="124" t="s">
        <v>563</v>
      </c>
      <c r="W236" s="124" t="s">
        <v>1192</v>
      </c>
      <c r="X236" s="94" t="s">
        <v>1193</v>
      </c>
      <c r="Y236" s="124" t="s">
        <v>564</v>
      </c>
      <c r="Z236" s="124" t="s">
        <v>565</v>
      </c>
      <c r="AA236" s="124" t="s">
        <v>1194</v>
      </c>
      <c r="AB236" s="94" t="s">
        <v>1195</v>
      </c>
      <c r="AC236" s="124" t="s">
        <v>566</v>
      </c>
      <c r="AD236" s="124" t="s">
        <v>567</v>
      </c>
      <c r="AE236" s="124" t="s">
        <v>1196</v>
      </c>
      <c r="AF236" s="94" t="s">
        <v>1197</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7"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5">
        <v>0.4</v>
      </c>
      <c r="J237" s="277" cm="1">
        <f t="array" ref="J237">Scope3_Equations.VEERG_15_4_1_1__1_EmissionsFromPurchasedFertiliser(E237,I237)</f>
        <v>40</v>
      </c>
      <c r="K237" s="27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3"/>
      <c r="M237" s="23"/>
      <c r="N237" s="261"/>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5">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5">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5">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5">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77"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5">
        <v>0.9</v>
      </c>
      <c r="J238" s="277" cm="1">
        <f t="array" ref="J238">Scope3_Equations.VEERG_15_4_1_1__1_EmissionsFromPurchasedFertiliser(E238,I238)</f>
        <v>90</v>
      </c>
      <c r="K238" s="27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3"/>
      <c r="M238" s="23"/>
      <c r="N238" s="43"/>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5"/>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5"/>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5"/>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5"/>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77"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5">
        <v>0.4</v>
      </c>
      <c r="J239" s="277" cm="1">
        <f t="array" ref="J239">Scope3_Equations.VEERG_15_4_1_1__1_EmissionsFromPurchasedFertiliser(E239,I239)</f>
        <v>40</v>
      </c>
      <c r="K239" s="27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3"/>
      <c r="M239" s="23"/>
      <c r="N239" s="43"/>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5"/>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5"/>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5"/>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5"/>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7"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5"/>
      <c r="J240" s="277" cm="1">
        <f t="array" ref="J240">Scope3_Equations.VEERG_15_4_1_1__1_EmissionsFromPurchasedFertiliser(E240,I240)</f>
        <v>0</v>
      </c>
      <c r="K240" s="27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3"/>
      <c r="M240" s="23"/>
      <c r="N240" s="43"/>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5"/>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5"/>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5"/>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5"/>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7"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5"/>
      <c r="J241" s="277" cm="1">
        <f t="array" ref="J241">Scope3_Equations.VEERG_15_4_1_1__1_EmissionsFromPurchasedFertiliser(E241,I241)</f>
        <v>0</v>
      </c>
      <c r="K241" s="27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3"/>
      <c r="M241" s="23"/>
      <c r="N241" s="43"/>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5"/>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5"/>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5"/>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5"/>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7"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5"/>
      <c r="J242" s="277" cm="1">
        <f t="array" ref="J242">Scope3_Equations.VEERG_15_4_1_1__1_EmissionsFromPurchasedFertiliser(E242,I242)</f>
        <v>0</v>
      </c>
      <c r="K242" s="27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3"/>
      <c r="M242" s="23"/>
      <c r="N242" s="43"/>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5"/>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5"/>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5"/>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5"/>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7"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5"/>
      <c r="J243" s="277" cm="1">
        <f t="array" ref="J243">Scope3_Equations.VEERG_15_4_1_1__1_EmissionsFromPurchasedFertiliser(E243,I243)</f>
        <v>0</v>
      </c>
      <c r="K243" s="27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3"/>
      <c r="M243" s="23"/>
      <c r="N243" s="43"/>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5"/>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5"/>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5"/>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5"/>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7"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5"/>
      <c r="J244" s="277" cm="1">
        <f t="array" ref="J244">Scope3_Equations.VEERG_15_4_1_1__1_EmissionsFromPurchasedFertiliser(E244,I244)</f>
        <v>0</v>
      </c>
      <c r="K244" s="27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3"/>
      <c r="M244" s="23"/>
      <c r="N244" s="43"/>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5"/>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5"/>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5"/>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5"/>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7"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5"/>
      <c r="J245" s="277" cm="1">
        <f t="array" ref="J245">Scope3_Equations.VEERG_15_4_1_1__1_EmissionsFromPurchasedFertiliser(E245,I245)</f>
        <v>0</v>
      </c>
      <c r="K245" s="27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3"/>
      <c r="M245" s="23"/>
      <c r="N245" s="43"/>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5"/>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5"/>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5"/>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5"/>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7"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5"/>
      <c r="J246" s="277" cm="1">
        <f t="array" ref="J246">Scope3_Equations.VEERG_15_4_1_1__1_EmissionsFromPurchasedFertiliser(E246,I246)</f>
        <v>0</v>
      </c>
      <c r="K246" s="27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3"/>
      <c r="M246" s="23"/>
      <c r="N246" s="43"/>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5"/>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5"/>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5"/>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5"/>
    </row>
    <row r="247" spans="3:41" ht="20.100000000000001" customHeight="1" x14ac:dyDescent="0.25"/>
    <row r="248" spans="3:41" ht="20.100000000000001" customHeight="1" x14ac:dyDescent="0.25">
      <c r="D248" s="278" t="s">
        <v>1204</v>
      </c>
      <c r="E248" s="136">
        <f>SUM(G221:G230)+SUM(G237:G246)</f>
        <v>453.31033520000005</v>
      </c>
      <c r="F248" s="137" t="str">
        <f>$E$155</f>
        <v>t CO2e</v>
      </c>
    </row>
    <row r="249" spans="3:41" ht="20.100000000000001" customHeight="1" x14ac:dyDescent="0.25">
      <c r="D249" s="278" t="s">
        <v>1205</v>
      </c>
      <c r="E249" s="136">
        <f>SUM(J221:J230)+SUM(J237:J246)</f>
        <v>340</v>
      </c>
      <c r="F249" s="137" t="str">
        <f>$E$155</f>
        <v>t CO2e</v>
      </c>
    </row>
    <row r="250" spans="3:41" ht="20.100000000000001" customHeight="1" x14ac:dyDescent="0.25"/>
    <row r="251" spans="3:41" ht="20.100000000000001" customHeight="1" x14ac:dyDescent="0.25">
      <c r="D251" s="278" t="s">
        <v>1206</v>
      </c>
      <c r="E251" s="136">
        <f>SUM(H221:H230)+SUM(H237:H246)</f>
        <v>453.31033520000005</v>
      </c>
      <c r="F251" s="137" t="str">
        <f>$E$155</f>
        <v>t CO2e</v>
      </c>
    </row>
    <row r="252" spans="3:41" ht="20.100000000000001" customHeight="1" x14ac:dyDescent="0.25">
      <c r="D252" s="278" t="s">
        <v>1207</v>
      </c>
      <c r="E252" s="136">
        <f>SUM(K221:K230)+SUM(K237:K246)</f>
        <v>437.4303352</v>
      </c>
      <c r="F252" s="137" t="str">
        <f>$E$155</f>
        <v>t CO2e</v>
      </c>
    </row>
    <row r="253" spans="3:41" ht="20.100000000000001" customHeight="1" x14ac:dyDescent="0.25"/>
    <row r="254" spans="3:41" ht="20.100000000000001" customHeight="1" x14ac:dyDescent="0.25"/>
    <row r="255" spans="3:41" ht="20.100000000000001" customHeight="1" x14ac:dyDescent="0.25">
      <c r="C255" s="101"/>
      <c r="D255" s="101"/>
      <c r="E255" s="101"/>
      <c r="F255" s="101"/>
      <c r="G255" s="101"/>
      <c r="H255" s="101"/>
      <c r="I255" s="101"/>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8" t="s">
        <v>262</v>
      </c>
      <c r="E258" s="118"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7" t="s">
        <v>263</v>
      </c>
      <c r="E262" s="1" t="str" cm="1">
        <f t="array" ref="E262">Scope3_Equations.VEERG_15_5_1_1__1_EmissionsFromPurchasedAgrichemicals_Variable()</f>
        <v>E</v>
      </c>
    </row>
    <row r="263" spans="4:9" ht="20.100000000000001" customHeight="1" x14ac:dyDescent="0.25">
      <c r="D263" s="87" t="s">
        <v>122</v>
      </c>
      <c r="E263" s="15" t="str" cm="1">
        <f t="array" ref="E263">Scope3_Equations.VEERG_15_5_1_1__1_EmissionsFromPurchasedAgrichemicals_Unit()</f>
        <v>t CO2e</v>
      </c>
    </row>
    <row r="264" spans="4:9" ht="20.100000000000001" customHeight="1" x14ac:dyDescent="0.25"/>
    <row r="265" spans="4:9" x14ac:dyDescent="0.25">
      <c r="D265" s="120" t="str" cm="1">
        <f t="array" ref="D265:E267">_xlfn.CHOOSECOLS(Scope3_Equations.VEERG_15_5_1_1__1_EmissionsFromPurchasedAgrichemicals_Arguments(),1,2)</f>
        <v>Q_h</v>
      </c>
      <c r="E265" s="125" t="str">
        <v>quantity of active ingredients in agrichemical type h purchased and applied to soils</v>
      </c>
      <c r="F265" s="126"/>
      <c r="G265" s="120" t="str" cm="1">
        <f t="array" ref="G265:H267">_xlfn.CHOOSECOLS(Scope3_Equations.VEERG_15_5_1_1__1_EmissionsFromPurchasedAgrichemicals_Arguments(),3,4)</f>
        <v>kg ai</v>
      </c>
      <c r="H265" s="275" t="str">
        <v>Input</v>
      </c>
    </row>
    <row r="266" spans="4:9" x14ac:dyDescent="0.25">
      <c r="D266" s="120" t="str">
        <v>EF_h</v>
      </c>
      <c r="E266" s="125" t="str">
        <v>emission factor for purchased agrichemical active ingredient</v>
      </c>
      <c r="F266" s="126"/>
      <c r="G266" s="120" t="str">
        <v>kg CO2e/kg ai</v>
      </c>
      <c r="H266" s="128" t="str">
        <v>Constant</v>
      </c>
    </row>
    <row r="267" spans="4:9" x14ac:dyDescent="0.25">
      <c r="D267" s="120" t="str">
        <v>h</v>
      </c>
      <c r="E267" s="125" t="str">
        <v>agrichemical type</v>
      </c>
      <c r="F267" s="126"/>
      <c r="G267" s="120" t="str">
        <v/>
      </c>
      <c r="H267" s="275" t="str">
        <v>Input</v>
      </c>
    </row>
    <row r="269" spans="4:9" ht="17.25" x14ac:dyDescent="0.25">
      <c r="D269" s="94" t="s">
        <v>1208</v>
      </c>
      <c r="E269" s="94" t="s">
        <v>559</v>
      </c>
      <c r="F269" s="124" t="s">
        <v>1209</v>
      </c>
      <c r="G269" s="124" t="s">
        <v>1139</v>
      </c>
      <c r="H269" s="94" t="s">
        <v>1210</v>
      </c>
      <c r="I269" s="124" t="s">
        <v>1142</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5">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5">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5"/>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5"/>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5"/>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5"/>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5"/>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5"/>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5"/>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5"/>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5"/>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5"/>
      <c r="I281" s="25" cm="1">
        <f t="array" ref="I281">Scope3_Equations.VEERG_15_5_1_1__1_EmissionsFromPurchasedAgrichemicals($E281,IF(H281,H281,F281))</f>
        <v>0.61599999999999999</v>
      </c>
    </row>
    <row r="283" spans="3:41" ht="20.25" x14ac:dyDescent="0.25">
      <c r="D283" s="278" t="s">
        <v>1139</v>
      </c>
      <c r="E283" s="136">
        <f>SUM(G270:G281)</f>
        <v>7.5159999999999991</v>
      </c>
      <c r="F283" s="137" t="str">
        <f>$E$155</f>
        <v>t CO2e</v>
      </c>
    </row>
    <row r="284" spans="3:41" ht="20.25" x14ac:dyDescent="0.25">
      <c r="D284" s="278" t="s">
        <v>1142</v>
      </c>
      <c r="E284" s="136">
        <f>SUM(I270:I281)</f>
        <v>7.4959999999999996</v>
      </c>
      <c r="F284" s="137" t="str">
        <f>$E$155</f>
        <v>t CO2e</v>
      </c>
    </row>
    <row r="287" spans="3:41" x14ac:dyDescent="0.25">
      <c r="C287" s="101"/>
      <c r="D287" s="101"/>
      <c r="E287" s="101"/>
      <c r="F287" s="101"/>
      <c r="G287" s="101"/>
      <c r="H287" s="101"/>
      <c r="I287" s="101"/>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8" t="s">
        <v>262</v>
      </c>
      <c r="E290" s="118" t="str" cm="1">
        <f t="array" aca="1" ref="E290" ca="1">Common_InputFunctions.Utility_DisplayFunctionName(I305)</f>
        <v>=Scope3_Equations.VEERG_15_6_1_1__1_EmissionsFromPurchasedLime</v>
      </c>
    </row>
    <row r="293" spans="4:13" x14ac:dyDescent="0.25">
      <c r="D293" s="87" t="s">
        <v>263</v>
      </c>
      <c r="E293" s="1" t="str" cm="1">
        <f t="array" ref="E293">Scope3_Equations.VEERG_15_6_1_1__1_EmissionsFromPurchasedLime_Variable()</f>
        <v>E</v>
      </c>
    </row>
    <row r="294" spans="4:13" x14ac:dyDescent="0.25">
      <c r="D294" s="87" t="s">
        <v>122</v>
      </c>
      <c r="E294" s="1" t="str" cm="1">
        <f t="array" ref="E294">Scope3_Equations.VEERG_15_6_1_1__1_EmissionsFromPurchasedLime_Unit()</f>
        <v>t CO2e</v>
      </c>
    </row>
    <row r="296" spans="4:13" x14ac:dyDescent="0.25">
      <c r="D296" s="120" t="str" cm="1">
        <f t="array" ref="D296:E297">_xlfn.CHOOSECOLS(Scope3_Equations.VEERG_15_6_1_1__1_EmissionsFromPurchasedLime_Arguments(),1,2)</f>
        <v>M_lime</v>
      </c>
      <c r="E296" s="120" t="str">
        <v>total quantity of lime applied to soils</v>
      </c>
      <c r="F296" s="120" t="str" cm="1">
        <f t="array" ref="F296:G297">_xlfn.CHOOSECOLS(Scope3_Equations.VEERG_15_6_1_1__1_EmissionsFromPurchasedLime_Arguments(),3,4)</f>
        <v>t</v>
      </c>
      <c r="G296" s="275" t="str">
        <v>Input</v>
      </c>
    </row>
    <row r="297" spans="4:13" x14ac:dyDescent="0.25">
      <c r="D297" s="120" t="str">
        <v>EF_l</v>
      </c>
      <c r="E297" s="120" t="str">
        <v>emission factor for purchased lime</v>
      </c>
      <c r="F297" s="120" t="str">
        <v>t CO2e/t</v>
      </c>
      <c r="G297" s="128" t="str">
        <v>Constant</v>
      </c>
    </row>
    <row r="299" spans="4:13" x14ac:dyDescent="0.25">
      <c r="E299" s="124" t="s">
        <v>136</v>
      </c>
      <c r="F299" s="94" t="s">
        <v>137</v>
      </c>
    </row>
    <row r="300" spans="4:13" ht="18.75" x14ac:dyDescent="0.25">
      <c r="D300" s="1" t="s">
        <v>1211</v>
      </c>
      <c r="E300" s="25" cm="1">
        <f t="array" ref="E300">Common_InputFunctions.Utility_LookupValueInTableNumber("Limestone (crushed)", Table_SourceData_Scope3_SoilAmeliorants[Product],Table_SourceData_Scope3_SoilAmeliorants[AusLCI Emissions intensity])*10^-3</f>
        <v>4.85E-5</v>
      </c>
      <c r="F300" s="85">
        <v>4.0000000000000003E-5</v>
      </c>
      <c r="G300" s="26" t="str">
        <f>$F$297</f>
        <v>t CO2e/t</v>
      </c>
    </row>
    <row r="301" spans="4:13" ht="18.75" x14ac:dyDescent="0.25">
      <c r="D301" s="1" t="s">
        <v>1212</v>
      </c>
      <c r="E301" s="25" cm="1">
        <f t="array" ref="E301">Common_InputFunctions.Utility_LookupValueInTableNumber("Dolomite", Table_SourceData_Scope3_SoilAmeliorants[Product],Table_SourceData_Scope3_SoilAmeliorants[AusLCI Emissions intensity])*10^-3</f>
        <v>6.5199999999999999E-5</v>
      </c>
      <c r="F301" s="85">
        <v>6.0000000000000002E-5</v>
      </c>
      <c r="G301" s="26"/>
    </row>
    <row r="302" spans="4:13" ht="18.75" x14ac:dyDescent="0.25">
      <c r="D302" s="1" t="s">
        <v>1213</v>
      </c>
      <c r="E302" s="25" cm="1">
        <f t="array" ref="E302">Common_InputFunctions.Utility_LookupValueInTableNumber("Gypsum", Table_SourceData_Scope3_SoilAmeliorants[Product],Table_SourceData_Scope3_SoilAmeliorants[AusLCI Emissions intensity])*10^-3</f>
        <v>6.5199999999999999E-5</v>
      </c>
      <c r="F302" s="85">
        <v>6.0000000000000002E-5</v>
      </c>
      <c r="G302" s="26"/>
    </row>
    <row r="304" spans="4:13" ht="17.25" x14ac:dyDescent="0.25">
      <c r="D304" s="94" t="s">
        <v>1019</v>
      </c>
      <c r="E304" s="276" t="s">
        <v>1214</v>
      </c>
      <c r="F304" s="94" t="s">
        <v>1215</v>
      </c>
      <c r="G304" s="94" t="s">
        <v>1216</v>
      </c>
      <c r="H304" s="94" t="s">
        <v>1217</v>
      </c>
      <c r="I304" s="124" t="s">
        <v>1139</v>
      </c>
      <c r="J304" s="124" t="s">
        <v>1218</v>
      </c>
      <c r="K304" s="94" t="s">
        <v>1143</v>
      </c>
      <c r="L304" s="94" t="s">
        <v>1144</v>
      </c>
      <c r="M304" s="94" t="s">
        <v>1145</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7" cm="1">
        <f t="array" ref="I305">Scope3_Equations.VEERG_15_6_1_1__1_EmissionsFromPurchasedLime(F305,$E$300)+
Scope3_Equations.VEERG_15_6_1_1__1_EmissionsFromPurchasedLime(G305,$E$301)+
Scope3_Equations.VEERG_15_6_1_1__1_EmissionsFromPurchasedLime(H305,$E$302)</f>
        <v>5.1839999999999997E-2</v>
      </c>
      <c r="J305" s="277"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3"/>
      <c r="L305" s="23"/>
      <c r="M305" s="43"/>
    </row>
    <row r="306" spans="3:41" x14ac:dyDescent="0.25">
      <c r="D306" s="25" t="str">
        <v>Lime product 2</v>
      </c>
      <c r="E306" s="25">
        <v>1000</v>
      </c>
      <c r="F306" s="25">
        <v>1000</v>
      </c>
      <c r="G306" s="25">
        <v>0</v>
      </c>
      <c r="H306" s="25">
        <v>0</v>
      </c>
      <c r="I306" s="277" cm="1">
        <f t="array" ref="I306">Scope3_Equations.VEERG_15_6_1_1__1_EmissionsFromPurchasedLime(F306,$E$300)+
Scope3_Equations.VEERG_15_6_1_1__1_EmissionsFromPurchasedLime(G306,$E$301)+
Scope3_Equations.VEERG_15_6_1_1__1_EmissionsFromPurchasedLime(H306,$E$302)</f>
        <v>4.8500000000000001E-2</v>
      </c>
      <c r="J306" s="277" cm="1">
        <f t="array" ref="J306">Scope3_Equations.VEERG_15_6_1_1__1_EmissionsFromPurchasedLime(F306,IF($F$300,$F$300,$E$300))+
Scope3_Equations.VEERG_15_6_1_1__1_EmissionsFromPurchasedLime(G306,IF($F$301,$F$301,$E$301))+
Scope3_Equations.VEERG_15_6_1_1__1_EmissionsFromPurchasedLime(H306,IF($F$302,$F$302,$E$302))</f>
        <v>0.04</v>
      </c>
      <c r="K306" s="43"/>
      <c r="L306" s="23"/>
      <c r="M306" s="43"/>
    </row>
    <row r="307" spans="3:41" x14ac:dyDescent="0.25">
      <c r="D307" s="25" t="str">
        <v>Lime product 3</v>
      </c>
      <c r="E307" s="25">
        <v>1000</v>
      </c>
      <c r="F307" s="25">
        <v>0</v>
      </c>
      <c r="G307" s="25">
        <v>0</v>
      </c>
      <c r="H307" s="25">
        <v>1000</v>
      </c>
      <c r="I307" s="277" cm="1">
        <f t="array" ref="I307">Scope3_Equations.VEERG_15_6_1_1__1_EmissionsFromPurchasedLime(F307,$E$300)+
Scope3_Equations.VEERG_15_6_1_1__1_EmissionsFromPurchasedLime(G307,$E$301)+
Scope3_Equations.VEERG_15_6_1_1__1_EmissionsFromPurchasedLime(H307,$E$302)</f>
        <v>6.5199999999999994E-2</v>
      </c>
      <c r="J307" s="277"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3"/>
      <c r="L307" s="23"/>
      <c r="M307" s="43"/>
    </row>
    <row r="308" spans="3:41" x14ac:dyDescent="0.25">
      <c r="D308" s="25" t="str">
        <v/>
      </c>
      <c r="E308" s="25">
        <v>0</v>
      </c>
      <c r="F308" s="25">
        <v>0</v>
      </c>
      <c r="G308" s="25">
        <v>0</v>
      </c>
      <c r="H308" s="25">
        <v>0</v>
      </c>
      <c r="I308" s="277" cm="1">
        <f t="array" ref="I308">Scope3_Equations.VEERG_15_6_1_1__1_EmissionsFromPurchasedLime(F308,$E$300)+
Scope3_Equations.VEERG_15_6_1_1__1_EmissionsFromPurchasedLime(G308,$E$301)+
Scope3_Equations.VEERG_15_6_1_1__1_EmissionsFromPurchasedLime(H308,$E$302)</f>
        <v>0</v>
      </c>
      <c r="J308" s="277" cm="1">
        <f t="array" ref="J308">Scope3_Equations.VEERG_15_6_1_1__1_EmissionsFromPurchasedLime(F308,IF($F$300,$F$300,$E$300))+
Scope3_Equations.VEERG_15_6_1_1__1_EmissionsFromPurchasedLime(G308,IF($F$301,$F$301,$E$301))+
Scope3_Equations.VEERG_15_6_1_1__1_EmissionsFromPurchasedLime(H308,IF($F$302,$F$302,$E$302))</f>
        <v>0</v>
      </c>
      <c r="K308" s="43"/>
      <c r="L308" s="23"/>
      <c r="M308" s="43"/>
    </row>
    <row r="309" spans="3:41" x14ac:dyDescent="0.25">
      <c r="D309" s="25" t="str">
        <v/>
      </c>
      <c r="E309" s="25">
        <v>0</v>
      </c>
      <c r="F309" s="25">
        <v>0</v>
      </c>
      <c r="G309" s="25">
        <v>0</v>
      </c>
      <c r="H309" s="25">
        <v>0</v>
      </c>
      <c r="I309" s="277" cm="1">
        <f t="array" ref="I309">Scope3_Equations.VEERG_15_6_1_1__1_EmissionsFromPurchasedLime(F309,$E$300)+
Scope3_Equations.VEERG_15_6_1_1__1_EmissionsFromPurchasedLime(G309,$E$301)+
Scope3_Equations.VEERG_15_6_1_1__1_EmissionsFromPurchasedLime(H309,$E$302)</f>
        <v>0</v>
      </c>
      <c r="J309" s="277" cm="1">
        <f t="array" ref="J309">Scope3_Equations.VEERG_15_6_1_1__1_EmissionsFromPurchasedLime(F309,IF($F$300,$F$300,$E$300))+
Scope3_Equations.VEERG_15_6_1_1__1_EmissionsFromPurchasedLime(G309,IF($F$301,$F$301,$E$301))+
Scope3_Equations.VEERG_15_6_1_1__1_EmissionsFromPurchasedLime(H309,IF($F$302,$F$302,$E$302))</f>
        <v>0</v>
      </c>
      <c r="K309" s="43"/>
      <c r="L309" s="23"/>
      <c r="M309" s="43"/>
    </row>
    <row r="310" spans="3:41" x14ac:dyDescent="0.25">
      <c r="D310" s="25" t="str">
        <v/>
      </c>
      <c r="E310" s="25">
        <v>0</v>
      </c>
      <c r="F310" s="25">
        <v>0</v>
      </c>
      <c r="G310" s="25">
        <v>0</v>
      </c>
      <c r="H310" s="25">
        <v>0</v>
      </c>
      <c r="I310" s="277" cm="1">
        <f t="array" ref="I310">Scope3_Equations.VEERG_15_6_1_1__1_EmissionsFromPurchasedLime(F310,$E$300)+
Scope3_Equations.VEERG_15_6_1_1__1_EmissionsFromPurchasedLime(G310,$E$301)+
Scope3_Equations.VEERG_15_6_1_1__1_EmissionsFromPurchasedLime(H310,$E$302)</f>
        <v>0</v>
      </c>
      <c r="J310" s="277" cm="1">
        <f t="array" ref="J310">Scope3_Equations.VEERG_15_6_1_1__1_EmissionsFromPurchasedLime(F310,IF($F$300,$F$300,$E$300))+
Scope3_Equations.VEERG_15_6_1_1__1_EmissionsFromPurchasedLime(G310,IF($F$301,$F$301,$E$301))+
Scope3_Equations.VEERG_15_6_1_1__1_EmissionsFromPurchasedLime(H310,IF($F$302,$F$302,$E$302))</f>
        <v>0</v>
      </c>
      <c r="K310" s="43"/>
      <c r="L310" s="23"/>
      <c r="M310" s="43"/>
    </row>
    <row r="311" spans="3:41" x14ac:dyDescent="0.25">
      <c r="D311" s="25" t="str">
        <v/>
      </c>
      <c r="E311" s="25">
        <v>0</v>
      </c>
      <c r="F311" s="25">
        <v>0</v>
      </c>
      <c r="G311" s="25">
        <v>0</v>
      </c>
      <c r="H311" s="25">
        <v>0</v>
      </c>
      <c r="I311" s="277" cm="1">
        <f t="array" ref="I311">Scope3_Equations.VEERG_15_6_1_1__1_EmissionsFromPurchasedLime(F311,$E$300)+
Scope3_Equations.VEERG_15_6_1_1__1_EmissionsFromPurchasedLime(G311,$E$301)+
Scope3_Equations.VEERG_15_6_1_1__1_EmissionsFromPurchasedLime(H311,$E$302)</f>
        <v>0</v>
      </c>
      <c r="J311" s="277" cm="1">
        <f t="array" ref="J311">Scope3_Equations.VEERG_15_6_1_1__1_EmissionsFromPurchasedLime(F311,IF($F$300,$F$300,$E$300))+
Scope3_Equations.VEERG_15_6_1_1__1_EmissionsFromPurchasedLime(G311,IF($F$301,$F$301,$E$301))+
Scope3_Equations.VEERG_15_6_1_1__1_EmissionsFromPurchasedLime(H311,IF($F$302,$F$302,$E$302))</f>
        <v>0</v>
      </c>
      <c r="K311" s="43"/>
      <c r="L311" s="23"/>
      <c r="M311" s="43"/>
    </row>
    <row r="312" spans="3:41" x14ac:dyDescent="0.25">
      <c r="D312" s="25" t="str">
        <v/>
      </c>
      <c r="E312" s="25">
        <v>0</v>
      </c>
      <c r="F312" s="25">
        <v>0</v>
      </c>
      <c r="G312" s="25">
        <v>0</v>
      </c>
      <c r="H312" s="25">
        <v>0</v>
      </c>
      <c r="I312" s="277" cm="1">
        <f t="array" ref="I312">Scope3_Equations.VEERG_15_6_1_1__1_EmissionsFromPurchasedLime(F312,$E$300)+
Scope3_Equations.VEERG_15_6_1_1__1_EmissionsFromPurchasedLime(G312,$E$301)+
Scope3_Equations.VEERG_15_6_1_1__1_EmissionsFromPurchasedLime(H312,$E$302)</f>
        <v>0</v>
      </c>
      <c r="J312" s="277" cm="1">
        <f t="array" ref="J312">Scope3_Equations.VEERG_15_6_1_1__1_EmissionsFromPurchasedLime(F312,IF($F$300,$F$300,$E$300))+
Scope3_Equations.VEERG_15_6_1_1__1_EmissionsFromPurchasedLime(G312,IF($F$301,$F$301,$E$301))+
Scope3_Equations.VEERG_15_6_1_1__1_EmissionsFromPurchasedLime(H312,IF($F$302,$F$302,$E$302))</f>
        <v>0</v>
      </c>
      <c r="K312" s="43"/>
      <c r="L312" s="23"/>
      <c r="M312" s="43"/>
    </row>
    <row r="313" spans="3:41" x14ac:dyDescent="0.25">
      <c r="D313" s="25" t="str">
        <v/>
      </c>
      <c r="E313" s="25">
        <v>0</v>
      </c>
      <c r="F313" s="25">
        <v>0</v>
      </c>
      <c r="G313" s="25">
        <v>0</v>
      </c>
      <c r="H313" s="25">
        <v>0</v>
      </c>
      <c r="I313" s="277" cm="1">
        <f t="array" ref="I313">Scope3_Equations.VEERG_15_6_1_1__1_EmissionsFromPurchasedLime(F313,$E$300)+
Scope3_Equations.VEERG_15_6_1_1__1_EmissionsFromPurchasedLime(G313,$E$301)+
Scope3_Equations.VEERG_15_6_1_1__1_EmissionsFromPurchasedLime(H313,$E$302)</f>
        <v>0</v>
      </c>
      <c r="J313" s="277" cm="1">
        <f t="array" ref="J313">Scope3_Equations.VEERG_15_6_1_1__1_EmissionsFromPurchasedLime(F313,IF($F$300,$F$300,$E$300))+
Scope3_Equations.VEERG_15_6_1_1__1_EmissionsFromPurchasedLime(G313,IF($F$301,$F$301,$E$301))+
Scope3_Equations.VEERG_15_6_1_1__1_EmissionsFromPurchasedLime(H313,IF($F$302,$F$302,$E$302))</f>
        <v>0</v>
      </c>
      <c r="K313" s="43"/>
      <c r="L313" s="23"/>
      <c r="M313" s="43"/>
    </row>
    <row r="314" spans="3:41" x14ac:dyDescent="0.25">
      <c r="D314" s="25" t="str">
        <v/>
      </c>
      <c r="E314" s="25">
        <v>0</v>
      </c>
      <c r="F314" s="25">
        <v>0</v>
      </c>
      <c r="G314" s="25">
        <v>0</v>
      </c>
      <c r="H314" s="25">
        <v>0</v>
      </c>
      <c r="I314" s="277" cm="1">
        <f t="array" ref="I314">Scope3_Equations.VEERG_15_6_1_1__1_EmissionsFromPurchasedLime(F314,$E$300)+
Scope3_Equations.VEERG_15_6_1_1__1_EmissionsFromPurchasedLime(G314,$E$301)+
Scope3_Equations.VEERG_15_6_1_1__1_EmissionsFromPurchasedLime(H314,$E$302)</f>
        <v>0</v>
      </c>
      <c r="J314" s="277" cm="1">
        <f t="array" ref="J314">Scope3_Equations.VEERG_15_6_1_1__1_EmissionsFromPurchasedLime(F314,IF($F$300,$F$300,$E$300))+
Scope3_Equations.VEERG_15_6_1_1__1_EmissionsFromPurchasedLime(G314,IF($F$301,$F$301,$E$301))+
Scope3_Equations.VEERG_15_6_1_1__1_EmissionsFromPurchasedLime(H314,IF($F$302,$F$302,$E$302))</f>
        <v>0</v>
      </c>
      <c r="K314" s="43"/>
      <c r="L314" s="23"/>
      <c r="M314" s="43"/>
    </row>
    <row r="316" spans="3:41" ht="20.25" x14ac:dyDescent="0.25">
      <c r="D316" s="278" t="s">
        <v>1139</v>
      </c>
      <c r="E316" s="136">
        <f>SUM(I305:I314)</f>
        <v>0.16553999999999999</v>
      </c>
      <c r="F316" s="137" t="str">
        <f>$E$155</f>
        <v>t CO2e</v>
      </c>
    </row>
    <row r="317" spans="3:41" ht="20.25" x14ac:dyDescent="0.25">
      <c r="D317" s="278" t="s">
        <v>1142</v>
      </c>
      <c r="E317" s="136">
        <f>SUM(J305:J314)</f>
        <v>0.14399999999999999</v>
      </c>
      <c r="F317" s="137" t="str">
        <f>$E$155</f>
        <v>t CO2e</v>
      </c>
    </row>
    <row r="320" spans="3:41" x14ac:dyDescent="0.25">
      <c r="C320" s="101"/>
      <c r="D320" s="101"/>
      <c r="E320" s="101"/>
      <c r="F320" s="101"/>
      <c r="G320" s="101"/>
      <c r="H320" s="101"/>
      <c r="I320" s="101"/>
      <c r="J320" s="101"/>
      <c r="K320" s="101"/>
      <c r="L320" s="101"/>
      <c r="M320" s="101"/>
      <c r="N320" s="101"/>
      <c r="O320" s="101"/>
      <c r="P320" s="101"/>
      <c r="Q320" s="101"/>
      <c r="R320" s="101"/>
      <c r="S320" s="101"/>
      <c r="T320" s="101"/>
      <c r="U320" s="101"/>
      <c r="V320" s="101"/>
      <c r="W320" s="101"/>
      <c r="X320" s="101"/>
      <c r="Y320" s="101"/>
      <c r="Z320" s="101"/>
      <c r="AA320" s="101"/>
      <c r="AB320" s="101"/>
      <c r="AC320" s="101"/>
      <c r="AD320" s="101"/>
      <c r="AE320" s="101"/>
      <c r="AF320" s="101"/>
      <c r="AG320" s="101"/>
      <c r="AH320" s="101"/>
      <c r="AI320" s="101"/>
      <c r="AJ320" s="101"/>
      <c r="AK320" s="101"/>
      <c r="AL320" s="101"/>
      <c r="AM320" s="101"/>
      <c r="AN320" s="101"/>
      <c r="AO320" s="101"/>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8" t="s">
        <v>262</v>
      </c>
      <c r="E323" s="118" t="str" cm="1">
        <f t="array" aca="1" ref="E323" ca="1">Common_InputFunctions.Utility_DisplayFunctionName(K336)</f>
        <v>=Scope3_Equations.VEERG_15_7_1_1__1_EmissionsFromPurchasedServices</v>
      </c>
    </row>
    <row r="325" spans="4:15" x14ac:dyDescent="0.25">
      <c r="H325" s="1" t="s">
        <v>1219</v>
      </c>
    </row>
    <row r="326" spans="4:15" x14ac:dyDescent="0.25">
      <c r="D326" s="87" t="s">
        <v>263</v>
      </c>
      <c r="E326" s="1" t="str" cm="1">
        <f t="array" ref="E326">Scope3_Equations.VEERG_15_7_1_1__1_EmissionsFromPurchasedServices_Variable()</f>
        <v>E</v>
      </c>
    </row>
    <row r="327" spans="4:15" x14ac:dyDescent="0.25">
      <c r="D327" s="87" t="s">
        <v>122</v>
      </c>
      <c r="E327" s="1" t="str" cm="1">
        <f t="array" ref="E327">Scope3_Equations.VEERG_15_7_1_1__1_EmissionsFromPurchasedServices_Unit()</f>
        <v>t CO2e</v>
      </c>
    </row>
    <row r="329" spans="4:15" x14ac:dyDescent="0.25">
      <c r="D329" s="120" t="str" cm="1">
        <f t="array" ref="D329:E331">_xlfn.CHOOSECOLS(Scope3_Equations.VEERG_15_7_1_1__1_EmissionsFromPurchasedServices_Arguments(),1,2)</f>
        <v>A_p</v>
      </c>
      <c r="E329" s="125" t="str">
        <v>activity data of the service that was purchased</v>
      </c>
      <c r="F329" s="126"/>
      <c r="G329" s="120" t="str" cm="1">
        <f t="array" ref="G329:H331">_xlfn.CHOOSECOLS(Scope3_Equations.VEERG_15_7_1_1__1_EmissionsFromPurchasedServices_Arguments(),3,4)</f>
        <v>ha or h</v>
      </c>
      <c r="H329" s="275" t="str">
        <v>Input</v>
      </c>
    </row>
    <row r="330" spans="4:15" x14ac:dyDescent="0.25">
      <c r="D330" s="120" t="str">
        <v>EF_p</v>
      </c>
      <c r="E330" s="125" t="str">
        <v>life cycle emission factor for the purchased service</v>
      </c>
      <c r="F330" s="126"/>
      <c r="G330" s="120" t="str">
        <v>kg CO2e/ha or kg CO2e/h</v>
      </c>
      <c r="H330" s="128" t="str">
        <v>Constant</v>
      </c>
    </row>
    <row r="331" spans="4:15" x14ac:dyDescent="0.25">
      <c r="D331" s="120" t="str">
        <v>p</v>
      </c>
      <c r="E331" s="125" t="str">
        <v>service type</v>
      </c>
      <c r="F331" s="126"/>
      <c r="G331" s="120" t="str">
        <v/>
      </c>
      <c r="H331" s="275" t="str">
        <v>Input</v>
      </c>
    </row>
    <row r="333" spans="4:15" x14ac:dyDescent="0.25">
      <c r="D333" s="35" t="s">
        <v>1220</v>
      </c>
    </row>
    <row r="335" spans="4:15" x14ac:dyDescent="0.25">
      <c r="D335" s="94" t="s">
        <v>1029</v>
      </c>
      <c r="E335" s="94" t="s">
        <v>1030</v>
      </c>
      <c r="F335" s="94" t="s">
        <v>1031</v>
      </c>
      <c r="G335" s="94" t="s">
        <v>791</v>
      </c>
      <c r="H335" s="124" t="s">
        <v>1221</v>
      </c>
      <c r="I335" s="124" t="s">
        <v>1222</v>
      </c>
      <c r="J335" s="94" t="s">
        <v>1223</v>
      </c>
      <c r="K335" s="124" t="s">
        <v>1224</v>
      </c>
      <c r="L335" s="124" t="s">
        <v>1225</v>
      </c>
      <c r="M335" s="94" t="s">
        <v>1143</v>
      </c>
      <c r="N335" s="94" t="s">
        <v>1144</v>
      </c>
      <c r="O335" s="94" t="s">
        <v>1145</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1226</v>
      </c>
      <c r="I336" s="25" t="s">
        <v>1226</v>
      </c>
      <c r="J336" s="85">
        <v>4</v>
      </c>
      <c r="K336" s="277" cm="1">
        <f t="array" ref="K336">Scope3_Equations.VEERG_15_7_1_1__1_EmissionsFromPurchasedServices(F336,J336)</f>
        <v>40</v>
      </c>
      <c r="L336" s="25" t="str">
        <f>"t CO2e / " &amp; G336</f>
        <v>t CO2e / Hour</v>
      </c>
      <c r="M336" s="43"/>
      <c r="N336" s="23"/>
      <c r="O336" s="43"/>
    </row>
    <row r="337" spans="3:41" x14ac:dyDescent="0.25">
      <c r="D337" s="25" t="str">
        <v>Harini's Harvesting Services Pty Ltd</v>
      </c>
      <c r="E337" s="25" t="str">
        <v>Wheat harvesting</v>
      </c>
      <c r="F337" s="25">
        <v>1000</v>
      </c>
      <c r="G337" s="25" t="str">
        <v>Hectare</v>
      </c>
      <c r="H337" s="25" t="s">
        <v>1226</v>
      </c>
      <c r="I337" s="25" t="s">
        <v>1226</v>
      </c>
      <c r="J337" s="85">
        <v>2</v>
      </c>
      <c r="K337" s="277" cm="1">
        <f t="array" ref="K337">Scope3_Equations.VEERG_15_7_1_1__1_EmissionsFromPurchasedServices(F337,J337)</f>
        <v>2</v>
      </c>
      <c r="L337" s="25" t="str">
        <f t="shared" ref="L337:L345" si="1">"t CO2e / " &amp; G337</f>
        <v>t CO2e / Hectare</v>
      </c>
      <c r="M337" s="43"/>
      <c r="N337" s="23"/>
      <c r="O337" s="43"/>
    </row>
    <row r="338" spans="3:41" x14ac:dyDescent="0.25">
      <c r="D338" s="25">
        <v>0</v>
      </c>
      <c r="E338" s="25">
        <v>0</v>
      </c>
      <c r="F338" s="25">
        <v>0</v>
      </c>
      <c r="G338" s="25">
        <v>0</v>
      </c>
      <c r="H338" s="25" t="s">
        <v>1226</v>
      </c>
      <c r="I338" s="25" t="s">
        <v>1226</v>
      </c>
      <c r="J338" s="85"/>
      <c r="K338" s="277" cm="1">
        <f t="array" ref="K338">Scope3_Equations.VEERG_15_7_1_1__1_EmissionsFromPurchasedServices(F338,J338)</f>
        <v>0</v>
      </c>
      <c r="L338" s="25" t="str">
        <f t="shared" si="1"/>
        <v>t CO2e / 0</v>
      </c>
      <c r="M338" s="43"/>
      <c r="N338" s="23"/>
      <c r="O338" s="43"/>
    </row>
    <row r="339" spans="3:41" x14ac:dyDescent="0.25">
      <c r="D339" s="25">
        <v>0</v>
      </c>
      <c r="E339" s="25">
        <v>0</v>
      </c>
      <c r="F339" s="25">
        <v>0</v>
      </c>
      <c r="G339" s="25">
        <v>0</v>
      </c>
      <c r="H339" s="25" t="s">
        <v>1226</v>
      </c>
      <c r="I339" s="25" t="s">
        <v>1226</v>
      </c>
      <c r="J339" s="85"/>
      <c r="K339" s="277" cm="1">
        <f t="array" ref="K339">Scope3_Equations.VEERG_15_7_1_1__1_EmissionsFromPurchasedServices(F339,J339)</f>
        <v>0</v>
      </c>
      <c r="L339" s="25" t="str">
        <f t="shared" si="1"/>
        <v>t CO2e / 0</v>
      </c>
      <c r="M339" s="43"/>
      <c r="N339" s="23"/>
      <c r="O339" s="43"/>
    </row>
    <row r="340" spans="3:41" x14ac:dyDescent="0.25">
      <c r="D340" s="25">
        <v>0</v>
      </c>
      <c r="E340" s="25">
        <v>0</v>
      </c>
      <c r="F340" s="25">
        <v>0</v>
      </c>
      <c r="G340" s="25">
        <v>0</v>
      </c>
      <c r="H340" s="25" t="s">
        <v>1226</v>
      </c>
      <c r="I340" s="25" t="s">
        <v>1226</v>
      </c>
      <c r="J340" s="85"/>
      <c r="K340" s="277" cm="1">
        <f t="array" ref="K340">Scope3_Equations.VEERG_15_7_1_1__1_EmissionsFromPurchasedServices(F340,J340)</f>
        <v>0</v>
      </c>
      <c r="L340" s="25" t="str">
        <f t="shared" si="1"/>
        <v>t CO2e / 0</v>
      </c>
      <c r="M340" s="43"/>
      <c r="N340" s="23"/>
      <c r="O340" s="43"/>
    </row>
    <row r="341" spans="3:41" x14ac:dyDescent="0.25">
      <c r="D341" s="25">
        <v>0</v>
      </c>
      <c r="E341" s="25">
        <v>0</v>
      </c>
      <c r="F341" s="25">
        <v>0</v>
      </c>
      <c r="G341" s="25">
        <v>0</v>
      </c>
      <c r="H341" s="25" t="s">
        <v>1226</v>
      </c>
      <c r="I341" s="25" t="s">
        <v>1226</v>
      </c>
      <c r="J341" s="85"/>
      <c r="K341" s="277" cm="1">
        <f t="array" ref="K341">Scope3_Equations.VEERG_15_7_1_1__1_EmissionsFromPurchasedServices(F341,J341)</f>
        <v>0</v>
      </c>
      <c r="L341" s="25" t="str">
        <f t="shared" si="1"/>
        <v>t CO2e / 0</v>
      </c>
      <c r="M341" s="43"/>
      <c r="N341" s="23"/>
      <c r="O341" s="43"/>
    </row>
    <row r="342" spans="3:41" x14ac:dyDescent="0.25">
      <c r="D342" s="25">
        <v>0</v>
      </c>
      <c r="E342" s="25">
        <v>0</v>
      </c>
      <c r="F342" s="25">
        <v>0</v>
      </c>
      <c r="G342" s="25">
        <v>0</v>
      </c>
      <c r="H342" s="25" t="s">
        <v>1226</v>
      </c>
      <c r="I342" s="25" t="s">
        <v>1226</v>
      </c>
      <c r="J342" s="85"/>
      <c r="K342" s="277" cm="1">
        <f t="array" ref="K342">Scope3_Equations.VEERG_15_7_1_1__1_EmissionsFromPurchasedServices(F342,J342)</f>
        <v>0</v>
      </c>
      <c r="L342" s="25" t="str">
        <f t="shared" si="1"/>
        <v>t CO2e / 0</v>
      </c>
      <c r="M342" s="43"/>
      <c r="N342" s="23"/>
      <c r="O342" s="43"/>
    </row>
    <row r="343" spans="3:41" x14ac:dyDescent="0.25">
      <c r="D343" s="25">
        <v>0</v>
      </c>
      <c r="E343" s="25">
        <v>0</v>
      </c>
      <c r="F343" s="25">
        <v>0</v>
      </c>
      <c r="G343" s="25">
        <v>0</v>
      </c>
      <c r="H343" s="25" t="s">
        <v>1226</v>
      </c>
      <c r="I343" s="25" t="s">
        <v>1226</v>
      </c>
      <c r="J343" s="85"/>
      <c r="K343" s="277" cm="1">
        <f t="array" ref="K343">Scope3_Equations.VEERG_15_7_1_1__1_EmissionsFromPurchasedServices(F343,J343)</f>
        <v>0</v>
      </c>
      <c r="L343" s="25" t="str">
        <f t="shared" si="1"/>
        <v>t CO2e / 0</v>
      </c>
      <c r="M343" s="43"/>
      <c r="N343" s="23"/>
      <c r="O343" s="43"/>
    </row>
    <row r="344" spans="3:41" x14ac:dyDescent="0.25">
      <c r="D344" s="25">
        <v>0</v>
      </c>
      <c r="E344" s="25">
        <v>0</v>
      </c>
      <c r="F344" s="25">
        <v>0</v>
      </c>
      <c r="G344" s="25">
        <v>0</v>
      </c>
      <c r="H344" s="25" t="s">
        <v>1226</v>
      </c>
      <c r="I344" s="25" t="s">
        <v>1226</v>
      </c>
      <c r="J344" s="85"/>
      <c r="K344" s="277" cm="1">
        <f t="array" ref="K344">Scope3_Equations.VEERG_15_7_1_1__1_EmissionsFromPurchasedServices(F344,J344)</f>
        <v>0</v>
      </c>
      <c r="L344" s="25" t="str">
        <f t="shared" si="1"/>
        <v>t CO2e / 0</v>
      </c>
      <c r="M344" s="43"/>
      <c r="N344" s="23"/>
      <c r="O344" s="43"/>
    </row>
    <row r="345" spans="3:41" x14ac:dyDescent="0.25">
      <c r="D345" s="25">
        <v>0</v>
      </c>
      <c r="E345" s="25">
        <v>0</v>
      </c>
      <c r="F345" s="25">
        <v>0</v>
      </c>
      <c r="G345" s="25">
        <v>0</v>
      </c>
      <c r="H345" s="25" t="s">
        <v>1226</v>
      </c>
      <c r="I345" s="25" t="s">
        <v>1226</v>
      </c>
      <c r="J345" s="85"/>
      <c r="K345" s="277" cm="1">
        <f t="array" ref="K345">Scope3_Equations.VEERG_15_7_1_1__1_EmissionsFromPurchasedServices(F345,J345)</f>
        <v>0</v>
      </c>
      <c r="L345" s="25" t="str">
        <f t="shared" si="1"/>
        <v>t CO2e / 0</v>
      </c>
      <c r="M345" s="43"/>
      <c r="N345" s="23"/>
      <c r="O345" s="43"/>
    </row>
    <row r="347" spans="3:41" ht="20.25" x14ac:dyDescent="0.25">
      <c r="D347" s="278" t="s">
        <v>1139</v>
      </c>
      <c r="E347" s="136" t="s">
        <v>1226</v>
      </c>
      <c r="F347" s="137" t="str">
        <f>$E$155</f>
        <v>t CO2e</v>
      </c>
    </row>
    <row r="348" spans="3:41" ht="20.25" x14ac:dyDescent="0.25">
      <c r="D348" s="278" t="s">
        <v>1142</v>
      </c>
      <c r="E348" s="136">
        <f>SUM(K336:K345)</f>
        <v>42</v>
      </c>
      <c r="F348" s="137" t="str">
        <f>$E$155</f>
        <v>t CO2e</v>
      </c>
    </row>
    <row r="351" spans="3:41" x14ac:dyDescent="0.25">
      <c r="C351" s="101"/>
      <c r="D351" s="101"/>
      <c r="E351" s="101"/>
      <c r="F351" s="101"/>
      <c r="G351" s="101"/>
      <c r="H351" s="101"/>
      <c r="I351" s="101"/>
      <c r="J351" s="101"/>
      <c r="K351" s="101"/>
      <c r="L351" s="101"/>
      <c r="M351" s="101"/>
      <c r="N351" s="101"/>
      <c r="O351" s="101"/>
      <c r="P351" s="101"/>
      <c r="Q351" s="101"/>
      <c r="R351" s="101"/>
      <c r="S351" s="101"/>
      <c r="T351" s="101"/>
      <c r="U351" s="101"/>
      <c r="V351" s="101"/>
      <c r="W351" s="101"/>
      <c r="X351" s="101"/>
      <c r="Y351" s="101"/>
      <c r="Z351" s="101"/>
      <c r="AA351" s="101"/>
      <c r="AB351" s="101"/>
      <c r="AC351" s="101"/>
      <c r="AD351" s="101"/>
      <c r="AE351" s="101"/>
      <c r="AF351" s="101"/>
      <c r="AG351" s="101"/>
      <c r="AH351" s="101"/>
      <c r="AI351" s="101"/>
      <c r="AJ351" s="101"/>
      <c r="AK351" s="101"/>
      <c r="AL351" s="101"/>
      <c r="AM351" s="101"/>
      <c r="AN351" s="101"/>
      <c r="AO351" s="101"/>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5" t="str" cm="1">
        <f t="array" ref="D354">Scope3_Equations.VEERG_15_8_1_1__1_EmissionsFromPurchasedPackaging_Variation()</f>
        <v>VARIATION ON SOURCE: Changed unit of Q from 'units' to 'kg' as EF data is in kg.</v>
      </c>
    </row>
    <row r="355" spans="4:13" x14ac:dyDescent="0.25">
      <c r="D355" s="118" t="s">
        <v>262</v>
      </c>
      <c r="E355" s="118" t="str" cm="1">
        <f t="array" aca="1" ref="E355" ca="1">Common_InputFunctions.Utility_DisplayFunctionName(H367)</f>
        <v>=Scope3_Equations.VEERG_15_8_1_1__1_EmissionsFromPurchasedPackaging</v>
      </c>
    </row>
    <row r="359" spans="4:13" x14ac:dyDescent="0.25">
      <c r="D359" s="87" t="s">
        <v>263</v>
      </c>
      <c r="E359" s="1" t="str" cm="1">
        <f t="array" ref="E359">Scope3_Equations.VEERG_15_8_1_1__1_EmissionsFromPurchasedPackaging_Variable()</f>
        <v>E</v>
      </c>
    </row>
    <row r="360" spans="4:13" x14ac:dyDescent="0.25">
      <c r="D360" s="87" t="s">
        <v>122</v>
      </c>
      <c r="E360" s="15" t="str" cm="1">
        <f t="array" ref="E360">Scope3_Equations.VEERG_15_8_1_1__1_EmissionsFromPurchasedPackaging_Unit()</f>
        <v>t CO2e</v>
      </c>
    </row>
    <row r="362" spans="4:13" x14ac:dyDescent="0.25">
      <c r="D362" s="120" t="str" cm="1">
        <f t="array" ref="D362:E364">_xlfn.CHOOSECOLS(Scope3_Equations.VEERG_15_8_1_1__1_EmissionsFromPurchasedPackaging_Arguments(),1,2)</f>
        <v>Q_p</v>
      </c>
      <c r="E362" s="120" t="str">
        <v>units of packaging type p</v>
      </c>
      <c r="F362" s="120" t="str" cm="1">
        <f t="array" ref="F362:G364">_xlfn.CHOOSECOLS(Scope3_Equations.VEERG_15_8_1_1__1_EmissionsFromPurchasedPackaging_Arguments(),3,4)</f>
        <v>units</v>
      </c>
      <c r="G362" s="275" t="str">
        <v>Input</v>
      </c>
    </row>
    <row r="363" spans="4:13" x14ac:dyDescent="0.25">
      <c r="D363" s="120" t="str">
        <v>EF_p</v>
      </c>
      <c r="E363" s="120" t="str">
        <v>emission factor for packaging type p</v>
      </c>
      <c r="F363" s="120" t="str">
        <v>kg CO2e/unit</v>
      </c>
      <c r="G363" s="128" t="str">
        <v>Constant</v>
      </c>
    </row>
    <row r="364" spans="4:13" x14ac:dyDescent="0.25">
      <c r="D364" s="120" t="str">
        <v>p</v>
      </c>
      <c r="E364" s="120" t="str">
        <v>packaging type</v>
      </c>
      <c r="F364" s="120" t="str">
        <v/>
      </c>
      <c r="G364" s="275" t="str">
        <v>Input</v>
      </c>
    </row>
    <row r="366" spans="4:13" ht="17.25" x14ac:dyDescent="0.25">
      <c r="D366" s="94" t="s">
        <v>1133</v>
      </c>
      <c r="E366" s="276" t="s">
        <v>1227</v>
      </c>
      <c r="F366" s="276" t="s">
        <v>1228</v>
      </c>
      <c r="G366" s="124" t="s">
        <v>1229</v>
      </c>
      <c r="H366" s="124" t="s">
        <v>1139</v>
      </c>
      <c r="I366" s="94" t="s">
        <v>1230</v>
      </c>
      <c r="J366" s="124" t="s">
        <v>1142</v>
      </c>
      <c r="K366" s="94" t="s">
        <v>1143</v>
      </c>
      <c r="L366" s="94" t="s">
        <v>1144</v>
      </c>
      <c r="M366" s="94" t="s">
        <v>1145</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77" cm="1">
        <f t="array" ref="H367">Scope3_Equations.VEERG_15_8_1_1__1_EmissionsFromPurchasedPackaging(F367,G367)</f>
        <v>0</v>
      </c>
      <c r="I367" s="85">
        <v>3</v>
      </c>
      <c r="J367" s="277" cm="1">
        <f t="array" ref="J367">Scope3_Equations.VEERG_15_8_1_1__1_EmissionsFromPurchasedPackaging(F367,IF(I367,I367,G367))</f>
        <v>0</v>
      </c>
      <c r="K367" s="43"/>
      <c r="L367" s="23"/>
      <c r="M367" s="43"/>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77" cm="1">
        <f t="array" ref="H368">Scope3_Equations.VEERG_15_8_1_1__1_EmissionsFromPurchasedPackaging(F368,G368)</f>
        <v>0</v>
      </c>
      <c r="I368" s="85"/>
      <c r="J368" s="277" cm="1">
        <f t="array" ref="J368">Scope3_Equations.VEERG_15_8_1_1__1_EmissionsFromPurchasedPackaging(F368,IF(I368,I368,G368))</f>
        <v>0</v>
      </c>
      <c r="K368" s="43"/>
      <c r="L368" s="23"/>
      <c r="M368" s="43"/>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77" cm="1">
        <f t="array" ref="H369">Scope3_Equations.VEERG_15_8_1_1__1_EmissionsFromPurchasedPackaging(F369,G369)</f>
        <v>0</v>
      </c>
      <c r="I369" s="85"/>
      <c r="J369" s="277" cm="1">
        <f t="array" ref="J369">Scope3_Equations.VEERG_15_8_1_1__1_EmissionsFromPurchasedPackaging(F369,IF(I369,I369,G369))</f>
        <v>0</v>
      </c>
      <c r="K369" s="43"/>
      <c r="L369" s="23"/>
      <c r="M369" s="43"/>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77" cm="1">
        <f t="array" ref="H370">Scope3_Equations.VEERG_15_8_1_1__1_EmissionsFromPurchasedPackaging(F370,G370)</f>
        <v>0</v>
      </c>
      <c r="I370" s="85"/>
      <c r="J370" s="277" cm="1">
        <f t="array" ref="J370">Scope3_Equations.VEERG_15_8_1_1__1_EmissionsFromPurchasedPackaging(F370,IF(I370,I370,G370))</f>
        <v>0</v>
      </c>
      <c r="K370" s="43"/>
      <c r="L370" s="23"/>
      <c r="M370" s="43"/>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77" cm="1">
        <f t="array" ref="H371">Scope3_Equations.VEERG_15_8_1_1__1_EmissionsFromPurchasedPackaging(F371,G371)</f>
        <v>0</v>
      </c>
      <c r="I371" s="85"/>
      <c r="J371" s="277" cm="1">
        <f t="array" ref="J371">Scope3_Equations.VEERG_15_8_1_1__1_EmissionsFromPurchasedPackaging(F371,IF(I371,I371,G371))</f>
        <v>0</v>
      </c>
      <c r="K371" s="43"/>
      <c r="L371" s="23"/>
      <c r="M371" s="43"/>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77" cm="1">
        <f t="array" ref="H372">Scope3_Equations.VEERG_15_8_1_1__1_EmissionsFromPurchasedPackaging(F372,G372)</f>
        <v>0</v>
      </c>
      <c r="I372" s="85"/>
      <c r="J372" s="277" cm="1">
        <f t="array" ref="J372">Scope3_Equations.VEERG_15_8_1_1__1_EmissionsFromPurchasedPackaging(F372,IF(I372,I372,G372))</f>
        <v>0</v>
      </c>
      <c r="K372" s="43"/>
      <c r="L372" s="23"/>
      <c r="M372" s="43"/>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77" cm="1">
        <f t="array" ref="H373">Scope3_Equations.VEERG_15_8_1_1__1_EmissionsFromPurchasedPackaging(F373,G373)</f>
        <v>0</v>
      </c>
      <c r="I373" s="85"/>
      <c r="J373" s="277" cm="1">
        <f t="array" ref="J373">Scope3_Equations.VEERG_15_8_1_1__1_EmissionsFromPurchasedPackaging(F373,IF(I373,I373,G373))</f>
        <v>0</v>
      </c>
      <c r="K373" s="43"/>
      <c r="L373" s="23"/>
      <c r="M373" s="43"/>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77" cm="1">
        <f t="array" ref="H374">Scope3_Equations.VEERG_15_8_1_1__1_EmissionsFromPurchasedPackaging(F374,G374)</f>
        <v>0</v>
      </c>
      <c r="I374" s="85"/>
      <c r="J374" s="277" cm="1">
        <f t="array" ref="J374">Scope3_Equations.VEERG_15_8_1_1__1_EmissionsFromPurchasedPackaging(F374,IF(I374,I374,G374))</f>
        <v>0</v>
      </c>
      <c r="K374" s="43"/>
      <c r="L374" s="23"/>
      <c r="M374" s="43"/>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77" cm="1">
        <f t="array" ref="H375">Scope3_Equations.VEERG_15_8_1_1__1_EmissionsFromPurchasedPackaging(F375,G375)</f>
        <v>0</v>
      </c>
      <c r="I375" s="85"/>
      <c r="J375" s="277" cm="1">
        <f t="array" ref="J375">Scope3_Equations.VEERG_15_8_1_1__1_EmissionsFromPurchasedPackaging(F375,IF(I375,I375,G375))</f>
        <v>0</v>
      </c>
      <c r="K375" s="43"/>
      <c r="L375" s="23"/>
      <c r="M375" s="43"/>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77" cm="1">
        <f t="array" ref="H376">Scope3_Equations.VEERG_15_8_1_1__1_EmissionsFromPurchasedPackaging(F376,G376)</f>
        <v>0</v>
      </c>
      <c r="I376" s="85"/>
      <c r="J376" s="277" cm="1">
        <f t="array" ref="J376">Scope3_Equations.VEERG_15_8_1_1__1_EmissionsFromPurchasedPackaging(F376,IF(I376,I376,G376))</f>
        <v>0</v>
      </c>
      <c r="K376" s="43"/>
      <c r="L376" s="23"/>
      <c r="M376" s="43"/>
    </row>
    <row r="378" spans="3:41" ht="20.25" x14ac:dyDescent="0.25">
      <c r="D378" s="278" t="s">
        <v>1139</v>
      </c>
      <c r="E378" s="136">
        <f>SUM(H367:H376)</f>
        <v>0</v>
      </c>
      <c r="F378" s="137" t="str">
        <f>$E$155</f>
        <v>t CO2e</v>
      </c>
    </row>
    <row r="379" spans="3:41" ht="20.25" x14ac:dyDescent="0.25">
      <c r="D379" s="278" t="s">
        <v>1142</v>
      </c>
      <c r="E379" s="136">
        <f>SUM(J367:J376)</f>
        <v>0</v>
      </c>
      <c r="F379" s="137" t="str">
        <f>$E$155</f>
        <v>t CO2e</v>
      </c>
    </row>
    <row r="382" spans="3:41" x14ac:dyDescent="0.25">
      <c r="C382" s="101"/>
      <c r="D382" s="101"/>
      <c r="E382" s="101"/>
      <c r="F382" s="101"/>
      <c r="G382" s="101"/>
      <c r="H382" s="101"/>
      <c r="I382" s="101"/>
      <c r="J382" s="101"/>
      <c r="K382" s="101"/>
      <c r="L382" s="101"/>
      <c r="M382" s="101"/>
      <c r="N382" s="101"/>
      <c r="O382" s="101"/>
      <c r="P382" s="101"/>
      <c r="Q382" s="101"/>
      <c r="R382" s="101"/>
      <c r="S382" s="101"/>
      <c r="T382" s="101"/>
      <c r="U382" s="101"/>
      <c r="V382" s="101"/>
      <c r="W382" s="101"/>
      <c r="X382" s="101"/>
      <c r="Y382" s="101"/>
      <c r="Z382" s="101"/>
      <c r="AA382" s="101"/>
      <c r="AB382" s="101"/>
      <c r="AC382" s="101"/>
      <c r="AD382" s="101"/>
      <c r="AE382" s="101"/>
      <c r="AF382" s="101"/>
      <c r="AG382" s="101"/>
      <c r="AH382" s="101"/>
      <c r="AI382" s="101"/>
      <c r="AJ382" s="101"/>
      <c r="AK382" s="101"/>
      <c r="AL382" s="101"/>
      <c r="AM382" s="101"/>
      <c r="AN382" s="101"/>
      <c r="AO382" s="101"/>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8" t="s">
        <v>262</v>
      </c>
      <c r="E385" s="118" t="str" cm="1">
        <f t="array" aca="1" ref="E385" ca="1">Common_InputFunctions.Utility_DisplayFunctionName(J399)</f>
        <v>=Scope3_Equations.VEERG_15_9_1_1__1_EmissionsFromPurchasedGrowMedia</v>
      </c>
    </row>
    <row r="388" spans="4:14" x14ac:dyDescent="0.25">
      <c r="G388" s="118"/>
    </row>
    <row r="389" spans="4:14" x14ac:dyDescent="0.25">
      <c r="D389" s="87" t="s">
        <v>263</v>
      </c>
      <c r="E389" s="1" t="str" cm="1">
        <f t="array" ref="E389">Scope3_Equations.VEERG_15_9_1_1__1_EmissionsFromPurchasedGrowMedia_Variable()</f>
        <v>E</v>
      </c>
    </row>
    <row r="390" spans="4:14" x14ac:dyDescent="0.25">
      <c r="D390" s="87" t="s">
        <v>122</v>
      </c>
      <c r="E390" s="1" t="str" cm="1">
        <f t="array" ref="E390">Scope3_Equations.VEERG_15_9_1_1__1_EmissionsFromPurchasedGrowMedia_Unit()</f>
        <v>t CO2e</v>
      </c>
    </row>
    <row r="392" spans="4:14" x14ac:dyDescent="0.25">
      <c r="D392" s="120" t="str" cm="1">
        <f t="array" ref="D392:E394">_xlfn.CHOOSECOLS(Scope3_Equations.VEERG_15_9_1_1__1_EmissionsFromPurchasedGrowMedia_Arguments(),1,2)</f>
        <v>Q_g</v>
      </c>
      <c r="E392" s="120" t="str">
        <v>total quantity of grow media type g</v>
      </c>
      <c r="F392" s="120" t="str" cm="1">
        <f t="array" ref="F392:G394">_xlfn.CHOOSECOLS(Scope3_Equations.VEERG_15_9_1_1__1_EmissionsFromPurchasedGrowMedia_Arguments(),3,4)</f>
        <v>kg or m3</v>
      </c>
      <c r="G392" s="275" t="str">
        <v>Input</v>
      </c>
    </row>
    <row r="393" spans="4:14" x14ac:dyDescent="0.25">
      <c r="D393" s="120" t="str">
        <v>EF_g</v>
      </c>
      <c r="E393" s="120" t="str">
        <v>emission factor for grow media type g</v>
      </c>
      <c r="F393" s="120" t="str">
        <v>kg CO2e/kg or kg CO2e/m3</v>
      </c>
      <c r="G393" s="128" t="str">
        <v>Constant</v>
      </c>
    </row>
    <row r="394" spans="4:14" x14ac:dyDescent="0.25">
      <c r="D394" s="120" t="str">
        <v>g</v>
      </c>
      <c r="E394" s="120" t="str">
        <v>grow media type</v>
      </c>
      <c r="F394" s="120" t="str">
        <v/>
      </c>
      <c r="G394" s="275" t="str">
        <v>Input</v>
      </c>
    </row>
    <row r="396" spans="4:14" x14ac:dyDescent="0.25">
      <c r="D396" s="35" t="s">
        <v>1220</v>
      </c>
    </row>
    <row r="398" spans="4:14" x14ac:dyDescent="0.25">
      <c r="D398" s="94" t="s">
        <v>1231</v>
      </c>
      <c r="E398" s="94" t="s">
        <v>1031</v>
      </c>
      <c r="F398" s="94" t="s">
        <v>791</v>
      </c>
      <c r="G398" s="124" t="s">
        <v>1221</v>
      </c>
      <c r="H398" s="124" t="s">
        <v>1222</v>
      </c>
      <c r="I398" s="94" t="s">
        <v>1223</v>
      </c>
      <c r="J398" s="124" t="s">
        <v>1224</v>
      </c>
      <c r="K398" s="124" t="s">
        <v>1225</v>
      </c>
      <c r="L398" s="94" t="s">
        <v>1143</v>
      </c>
      <c r="M398" s="94" t="s">
        <v>1144</v>
      </c>
      <c r="N398" s="94" t="s">
        <v>1145</v>
      </c>
    </row>
    <row r="399" spans="4:14" x14ac:dyDescent="0.25">
      <c r="D399" s="25"/>
      <c r="E399" s="25"/>
      <c r="F399" s="25"/>
      <c r="G399" s="25" t="s">
        <v>1226</v>
      </c>
      <c r="H399" s="25" t="s">
        <v>1226</v>
      </c>
      <c r="I399" s="85">
        <v>4</v>
      </c>
      <c r="J399" s="277" cm="1">
        <f t="array" ref="J399">Scope3_Equations.VEERG_15_9_1_1__1_EmissionsFromPurchasedGrowMedia(E399,I399)</f>
        <v>0</v>
      </c>
      <c r="K399" s="25" t="str">
        <f>"t CO2e / " &amp; F399</f>
        <v xml:space="preserve">t CO2e / </v>
      </c>
      <c r="L399" s="43"/>
      <c r="M399" s="23"/>
      <c r="N399" s="43"/>
    </row>
    <row r="400" spans="4:14" x14ac:dyDescent="0.25">
      <c r="D400" s="25"/>
      <c r="E400" s="25"/>
      <c r="F400" s="25"/>
      <c r="G400" s="25" t="s">
        <v>1226</v>
      </c>
      <c r="H400" s="25" t="s">
        <v>1226</v>
      </c>
      <c r="I400" s="85">
        <v>2</v>
      </c>
      <c r="J400" s="277" cm="1">
        <f t="array" ref="J400">Scope3_Equations.VEERG_15_9_1_1__1_EmissionsFromPurchasedGrowMedia(E400,I400)</f>
        <v>0</v>
      </c>
      <c r="K400" s="25" t="str">
        <f t="shared" ref="K400:K408" si="2">"t CO2e / " &amp; F400</f>
        <v xml:space="preserve">t CO2e / </v>
      </c>
      <c r="L400" s="43"/>
      <c r="M400" s="23"/>
      <c r="N400" s="43"/>
    </row>
    <row r="401" spans="3:41" x14ac:dyDescent="0.25">
      <c r="D401" s="25"/>
      <c r="E401" s="25"/>
      <c r="F401" s="25"/>
      <c r="G401" s="25" t="s">
        <v>1226</v>
      </c>
      <c r="H401" s="25" t="s">
        <v>1226</v>
      </c>
      <c r="I401" s="85"/>
      <c r="J401" s="277" cm="1">
        <f t="array" ref="J401">Scope3_Equations.VEERG_15_9_1_1__1_EmissionsFromPurchasedGrowMedia(E401,I401)</f>
        <v>0</v>
      </c>
      <c r="K401" s="25" t="str">
        <f t="shared" si="2"/>
        <v xml:space="preserve">t CO2e / </v>
      </c>
      <c r="L401" s="43"/>
      <c r="M401" s="23"/>
      <c r="N401" s="43"/>
    </row>
    <row r="402" spans="3:41" x14ac:dyDescent="0.25">
      <c r="D402" s="25"/>
      <c r="E402" s="25"/>
      <c r="F402" s="25"/>
      <c r="G402" s="25" t="s">
        <v>1226</v>
      </c>
      <c r="H402" s="25" t="s">
        <v>1226</v>
      </c>
      <c r="I402" s="85"/>
      <c r="J402" s="277" cm="1">
        <f t="array" ref="J402">Scope3_Equations.VEERG_15_9_1_1__1_EmissionsFromPurchasedGrowMedia(E402,I402)</f>
        <v>0</v>
      </c>
      <c r="K402" s="25" t="str">
        <f t="shared" si="2"/>
        <v xml:space="preserve">t CO2e / </v>
      </c>
      <c r="L402" s="43"/>
      <c r="M402" s="23"/>
      <c r="N402" s="43"/>
    </row>
    <row r="403" spans="3:41" x14ac:dyDescent="0.25">
      <c r="D403" s="25"/>
      <c r="E403" s="25"/>
      <c r="F403" s="25"/>
      <c r="G403" s="25" t="s">
        <v>1226</v>
      </c>
      <c r="H403" s="25" t="s">
        <v>1226</v>
      </c>
      <c r="I403" s="85"/>
      <c r="J403" s="277" cm="1">
        <f t="array" ref="J403">Scope3_Equations.VEERG_15_9_1_1__1_EmissionsFromPurchasedGrowMedia(E403,I403)</f>
        <v>0</v>
      </c>
      <c r="K403" s="25" t="str">
        <f t="shared" si="2"/>
        <v xml:space="preserve">t CO2e / </v>
      </c>
      <c r="L403" s="43"/>
      <c r="M403" s="23"/>
      <c r="N403" s="43"/>
    </row>
    <row r="404" spans="3:41" x14ac:dyDescent="0.25">
      <c r="D404" s="25"/>
      <c r="E404" s="25"/>
      <c r="F404" s="25"/>
      <c r="G404" s="25" t="s">
        <v>1226</v>
      </c>
      <c r="H404" s="25" t="s">
        <v>1226</v>
      </c>
      <c r="I404" s="85"/>
      <c r="J404" s="277" cm="1">
        <f t="array" ref="J404">Scope3_Equations.VEERG_15_9_1_1__1_EmissionsFromPurchasedGrowMedia(E404,I404)</f>
        <v>0</v>
      </c>
      <c r="K404" s="25" t="str">
        <f t="shared" si="2"/>
        <v xml:space="preserve">t CO2e / </v>
      </c>
      <c r="L404" s="43"/>
      <c r="M404" s="23"/>
      <c r="N404" s="43"/>
    </row>
    <row r="405" spans="3:41" x14ac:dyDescent="0.25">
      <c r="D405" s="25"/>
      <c r="E405" s="25"/>
      <c r="F405" s="25"/>
      <c r="G405" s="25" t="s">
        <v>1226</v>
      </c>
      <c r="H405" s="25" t="s">
        <v>1226</v>
      </c>
      <c r="I405" s="85"/>
      <c r="J405" s="277" cm="1">
        <f t="array" ref="J405">Scope3_Equations.VEERG_15_9_1_1__1_EmissionsFromPurchasedGrowMedia(E405,I405)</f>
        <v>0</v>
      </c>
      <c r="K405" s="25" t="str">
        <f t="shared" si="2"/>
        <v xml:space="preserve">t CO2e / </v>
      </c>
      <c r="L405" s="43"/>
      <c r="M405" s="23"/>
      <c r="N405" s="43"/>
    </row>
    <row r="406" spans="3:41" x14ac:dyDescent="0.25">
      <c r="D406" s="25"/>
      <c r="E406" s="25"/>
      <c r="F406" s="25"/>
      <c r="G406" s="25" t="s">
        <v>1226</v>
      </c>
      <c r="H406" s="25" t="s">
        <v>1226</v>
      </c>
      <c r="I406" s="85"/>
      <c r="J406" s="277" cm="1">
        <f t="array" ref="J406">Scope3_Equations.VEERG_15_9_1_1__1_EmissionsFromPurchasedGrowMedia(E406,I406)</f>
        <v>0</v>
      </c>
      <c r="K406" s="25" t="str">
        <f t="shared" si="2"/>
        <v xml:space="preserve">t CO2e / </v>
      </c>
      <c r="L406" s="43"/>
      <c r="M406" s="23"/>
      <c r="N406" s="43"/>
    </row>
    <row r="407" spans="3:41" x14ac:dyDescent="0.25">
      <c r="D407" s="25"/>
      <c r="E407" s="25"/>
      <c r="F407" s="25"/>
      <c r="G407" s="25" t="s">
        <v>1226</v>
      </c>
      <c r="H407" s="25" t="s">
        <v>1226</v>
      </c>
      <c r="I407" s="85"/>
      <c r="J407" s="277" cm="1">
        <f t="array" ref="J407">Scope3_Equations.VEERG_15_9_1_1__1_EmissionsFromPurchasedGrowMedia(E407,I407)</f>
        <v>0</v>
      </c>
      <c r="K407" s="25" t="str">
        <f t="shared" si="2"/>
        <v xml:space="preserve">t CO2e / </v>
      </c>
      <c r="L407" s="43"/>
      <c r="M407" s="23"/>
      <c r="N407" s="43"/>
    </row>
    <row r="408" spans="3:41" x14ac:dyDescent="0.25">
      <c r="D408" s="25"/>
      <c r="E408" s="25"/>
      <c r="F408" s="25"/>
      <c r="G408" s="25" t="s">
        <v>1226</v>
      </c>
      <c r="H408" s="25" t="s">
        <v>1226</v>
      </c>
      <c r="I408" s="85"/>
      <c r="J408" s="277" cm="1">
        <f t="array" ref="J408">Scope3_Equations.VEERG_15_9_1_1__1_EmissionsFromPurchasedGrowMedia(E408,I408)</f>
        <v>0</v>
      </c>
      <c r="K408" s="25" t="str">
        <f t="shared" si="2"/>
        <v xml:space="preserve">t CO2e / </v>
      </c>
      <c r="L408" s="43"/>
      <c r="M408" s="23"/>
      <c r="N408" s="43"/>
    </row>
    <row r="410" spans="3:41" ht="20.25" x14ac:dyDescent="0.25">
      <c r="D410" s="278" t="s">
        <v>1139</v>
      </c>
      <c r="E410" s="136" t="s">
        <v>1226</v>
      </c>
      <c r="F410" s="137" t="str">
        <f>$E$155</f>
        <v>t CO2e</v>
      </c>
    </row>
    <row r="411" spans="3:41" ht="20.25" x14ac:dyDescent="0.25">
      <c r="D411" s="278" t="s">
        <v>1142</v>
      </c>
      <c r="E411" s="136">
        <f>SUM(J399:J408)</f>
        <v>0</v>
      </c>
      <c r="F411" s="137" t="str">
        <f>$E$155</f>
        <v>t CO2e</v>
      </c>
    </row>
    <row r="414" spans="3:41" x14ac:dyDescent="0.25">
      <c r="C414" s="101"/>
      <c r="D414" s="101"/>
      <c r="E414" s="101"/>
      <c r="F414" s="101"/>
      <c r="G414" s="101"/>
      <c r="H414" s="101"/>
      <c r="I414" s="101"/>
      <c r="J414" s="101"/>
      <c r="K414" s="101"/>
      <c r="L414" s="101"/>
      <c r="M414" s="101"/>
      <c r="N414" s="101"/>
      <c r="O414" s="101"/>
      <c r="P414" s="101"/>
      <c r="Q414" s="101"/>
      <c r="R414" s="101"/>
      <c r="S414" s="101"/>
      <c r="T414" s="101"/>
      <c r="U414" s="101"/>
      <c r="V414" s="101"/>
      <c r="W414" s="101"/>
      <c r="X414" s="101"/>
      <c r="Y414" s="101"/>
      <c r="Z414" s="101"/>
      <c r="AA414" s="101"/>
      <c r="AB414" s="101"/>
      <c r="AC414" s="101"/>
      <c r="AD414" s="101"/>
      <c r="AE414" s="101"/>
      <c r="AF414" s="101"/>
      <c r="AG414" s="101"/>
      <c r="AH414" s="101"/>
      <c r="AI414" s="101"/>
      <c r="AJ414" s="101"/>
      <c r="AK414" s="101"/>
      <c r="AL414" s="101"/>
      <c r="AM414" s="101"/>
      <c r="AN414" s="101"/>
      <c r="AO414" s="101"/>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5" t="s">
        <v>1232</v>
      </c>
    </row>
    <row r="418" spans="4:13" x14ac:dyDescent="0.25">
      <c r="D418" s="118" t="s">
        <v>262</v>
      </c>
      <c r="E418" s="118" t="str" cm="1">
        <f t="array" aca="1" ref="E418" ca="1">Common_InputFunctions.Utility_DisplayFunctionName(H430)</f>
        <v>=Scope3_Equations.VEERG_15_10_1_1__1_OtherPurchasedGoodsAndServices</v>
      </c>
    </row>
    <row r="421" spans="4:13" x14ac:dyDescent="0.25">
      <c r="D421" s="87" t="s">
        <v>263</v>
      </c>
      <c r="E421" s="1" t="str" cm="1">
        <f t="array" ref="E421">Scope3_Equations.VEERG_15_10_1_1__1_OtherPurchasedGoodsAndServices_Variable()</f>
        <v>emissions</v>
      </c>
    </row>
    <row r="422" spans="4:13" x14ac:dyDescent="0.25">
      <c r="D422" s="87" t="s">
        <v>122</v>
      </c>
      <c r="E422" s="15" t="str" cm="1">
        <f t="array" ref="E422">Scope3_Equations.VEERG_15_10_1_1__1_OtherPurchasedGoodsAndServices_Unit()</f>
        <v>t CO2e</v>
      </c>
    </row>
    <row r="424" spans="4:13" x14ac:dyDescent="0.25">
      <c r="D424" s="120" t="str" cm="1">
        <f t="array" ref="D424:E425">_xlfn.CHOOSECOLS(Scope3_Equations.VEERG_15_10_1_1__1_OtherPurchasedGoodsAndServices_Arguments(),1,2)</f>
        <v>activity_data</v>
      </c>
      <c r="E424" s="125" t="str">
        <v>measured activity for the purchased good or service</v>
      </c>
      <c r="F424" s="126"/>
      <c r="G424" s="120" t="str" cm="1">
        <f t="array" ref="G424:H425">_xlfn.CHOOSECOLS(Scope3_Equations.VEERG_15_10_1_1__1_OtherPurchasedGoodsAndServices_Arguments(),3,4)</f>
        <v>varies</v>
      </c>
      <c r="H424" s="275" t="str">
        <v>Input</v>
      </c>
    </row>
    <row r="425" spans="4:13" x14ac:dyDescent="0.25">
      <c r="D425" s="120" t="str">
        <v>emission_factor</v>
      </c>
      <c r="E425" s="125" t="str">
        <v>lifecycle emissions per unit of activity</v>
      </c>
      <c r="F425" s="126"/>
      <c r="G425" s="120" t="str">
        <v>varies</v>
      </c>
      <c r="H425" s="128" t="str">
        <v>Constant</v>
      </c>
    </row>
    <row r="427" spans="4:13" ht="18.75" x14ac:dyDescent="0.25">
      <c r="D427" s="267" t="s">
        <v>1233</v>
      </c>
    </row>
    <row r="429" spans="4:13" x14ac:dyDescent="0.25">
      <c r="D429" s="94" t="s">
        <v>1133</v>
      </c>
      <c r="E429" s="276" t="s">
        <v>1234</v>
      </c>
      <c r="F429" s="276" t="s">
        <v>1235</v>
      </c>
      <c r="G429" s="124" t="s">
        <v>125</v>
      </c>
      <c r="H429" s="124" t="s">
        <v>1139</v>
      </c>
      <c r="I429" s="94" t="s">
        <v>126</v>
      </c>
      <c r="J429" s="124" t="s">
        <v>1142</v>
      </c>
      <c r="K429" s="94" t="s">
        <v>1143</v>
      </c>
      <c r="L429" s="94" t="s">
        <v>1144</v>
      </c>
      <c r="M429" s="94" t="s">
        <v>1145</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7" cm="1">
        <f t="array" ref="H430">Scope3_Equations.VEERG_15_10_1_1__1_OtherPurchasedGoodsAndServices(F430,G430*10^-3)</f>
        <v>9.0700000000000003E-2</v>
      </c>
      <c r="I430" s="85">
        <v>1.3</v>
      </c>
      <c r="J430" s="277" cm="1">
        <f t="array" ref="J430">Scope3_Equations.VEERG_15_10_1_1__1_OtherPurchasedGoodsAndServices(F430,IF(I430,I430,G430)*10^-3)</f>
        <v>0.13</v>
      </c>
      <c r="K430" s="43"/>
      <c r="L430" s="23"/>
      <c r="M430" s="43"/>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7" cm="1">
        <f t="array" ref="H431">Scope3_Equations.VEERG_15_10_1_1__1_OtherPurchasedGoodsAndServices(F431,G431*10^-3)</f>
        <v>7.22E-2</v>
      </c>
      <c r="I431" s="85">
        <v>8</v>
      </c>
      <c r="J431" s="277" cm="1">
        <f t="array" ref="J431">Scope3_Equations.VEERG_15_10_1_1__1_OtherPurchasedGoodsAndServices(F431,IF(I431,I431,G431)*10^-3)</f>
        <v>0.8</v>
      </c>
      <c r="K431" s="43"/>
      <c r="L431" s="23"/>
      <c r="M431" s="43"/>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7" cm="1">
        <f t="array" ref="H432">Scope3_Equations.VEERG_15_10_1_1__1_OtherPurchasedGoodsAndServices(F432,G432*10^-3)</f>
        <v>8.0399999999999999E-2</v>
      </c>
      <c r="I432" s="85">
        <v>4</v>
      </c>
      <c r="J432" s="277" cm="1">
        <f t="array" ref="J432">Scope3_Equations.VEERG_15_10_1_1__1_OtherPurchasedGoodsAndServices(F432,IF(I432,I432,G432)*10^-3)</f>
        <v>0.4</v>
      </c>
      <c r="K432" s="43"/>
      <c r="L432" s="23"/>
      <c r="M432" s="43"/>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7" cm="1">
        <f t="array" ref="H433">Scope3_Equations.VEERG_15_10_1_1__1_OtherPurchasedGoodsAndServices(F433,G433*10^-3)</f>
        <v>8.0399999999999999E-2</v>
      </c>
      <c r="I433" s="85">
        <v>3</v>
      </c>
      <c r="J433" s="277" cm="1">
        <f t="array" ref="J433">Scope3_Equations.VEERG_15_10_1_1__1_OtherPurchasedGoodsAndServices(F433,IF(I433,I433,G433)*10^-3)</f>
        <v>0.3</v>
      </c>
      <c r="K433" s="43"/>
      <c r="L433" s="23"/>
      <c r="M433" s="43"/>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7" cm="1">
        <f t="array" ref="H434">Scope3_Equations.VEERG_15_10_1_1__1_OtherPurchasedGoodsAndServices(F434,G434*10^-3)</f>
        <v>9.0700000000000003E-2</v>
      </c>
      <c r="I434" s="85">
        <v>6</v>
      </c>
      <c r="J434" s="277" cm="1">
        <f t="array" ref="J434">Scope3_Equations.VEERG_15_10_1_1__1_OtherPurchasedGoodsAndServices(F434,IF(I434,I434,G434)*10^-3)</f>
        <v>0.6</v>
      </c>
      <c r="K434" s="43"/>
      <c r="L434" s="23"/>
      <c r="M434" s="43"/>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7" cm="1">
        <f t="array" ref="H435">Scope3_Equations.VEERG_15_10_1_1__1_OtherPurchasedGoodsAndServices(F435,G435*10^-3)</f>
        <v>9.0700000000000003E-2</v>
      </c>
      <c r="I435" s="85">
        <v>5</v>
      </c>
      <c r="J435" s="277" cm="1">
        <f t="array" ref="J435">Scope3_Equations.VEERG_15_10_1_1__1_OtherPurchasedGoodsAndServices(F435,IF(I435,I435,G435)*10^-3)</f>
        <v>0.5</v>
      </c>
      <c r="K435" s="43"/>
      <c r="L435" s="23"/>
      <c r="M435" s="43"/>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7" cm="1">
        <f t="array" ref="H436">Scope3_Equations.VEERG_15_10_1_1__1_OtherPurchasedGoodsAndServices(F436,G436*10^-3)</f>
        <v>0</v>
      </c>
      <c r="I436" s="85"/>
      <c r="J436" s="277" cm="1">
        <f t="array" ref="J436">Scope3_Equations.VEERG_15_10_1_1__1_OtherPurchasedGoodsAndServices(F436,IF(I436,I436,G436)*10^-3)</f>
        <v>0</v>
      </c>
      <c r="K436" s="43"/>
      <c r="L436" s="23"/>
      <c r="M436" s="43"/>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7" cm="1">
        <f t="array" ref="H437">Scope3_Equations.VEERG_15_10_1_1__1_OtherPurchasedGoodsAndServices(F437,G437*10^-3)</f>
        <v>0</v>
      </c>
      <c r="I437" s="85"/>
      <c r="J437" s="277" cm="1">
        <f t="array" ref="J437">Scope3_Equations.VEERG_15_10_1_1__1_OtherPurchasedGoodsAndServices(F437,IF(I437,I437,G437)*10^-3)</f>
        <v>0</v>
      </c>
      <c r="K437" s="43"/>
      <c r="L437" s="23"/>
      <c r="M437" s="43"/>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7" cm="1">
        <f t="array" ref="H438">Scope3_Equations.VEERG_15_10_1_1__1_OtherPurchasedGoodsAndServices(F438,G438*10^-3)</f>
        <v>0</v>
      </c>
      <c r="I438" s="85"/>
      <c r="J438" s="277" cm="1">
        <f t="array" ref="J438">Scope3_Equations.VEERG_15_10_1_1__1_OtherPurchasedGoodsAndServices(F438,IF(I438,I438,G438)*10^-3)</f>
        <v>0</v>
      </c>
      <c r="K438" s="43"/>
      <c r="L438" s="23"/>
      <c r="M438" s="43"/>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7" cm="1">
        <f t="array" ref="H439">Scope3_Equations.VEERG_15_10_1_1__1_OtherPurchasedGoodsAndServices(F439,G439*10^-3)</f>
        <v>0</v>
      </c>
      <c r="I439" s="85"/>
      <c r="J439" s="277" cm="1">
        <f t="array" ref="J439">Scope3_Equations.VEERG_15_10_1_1__1_OtherPurchasedGoodsAndServices(F439,IF(I439,I439,G439)*10^-3)</f>
        <v>0</v>
      </c>
      <c r="K439" s="43"/>
      <c r="L439" s="23"/>
      <c r="M439" s="43"/>
    </row>
    <row r="441" spans="4:13" ht="20.25" x14ac:dyDescent="0.25">
      <c r="D441" s="278" t="s">
        <v>1139</v>
      </c>
      <c r="E441" s="136">
        <f>SUM(H430:H439)</f>
        <v>0.50509999999999999</v>
      </c>
      <c r="F441" s="137" t="str">
        <f>$E$155</f>
        <v>t CO2e</v>
      </c>
    </row>
    <row r="442" spans="4:13" ht="20.25" x14ac:dyDescent="0.25">
      <c r="D442" s="278" t="s">
        <v>1142</v>
      </c>
      <c r="E442" s="136">
        <f>SUM(J430:J439)</f>
        <v>2.73</v>
      </c>
      <c r="F442" s="137" t="str">
        <f>$E$155</f>
        <v>t CO2e</v>
      </c>
    </row>
    <row r="445" spans="4:13" ht="18.75" x14ac:dyDescent="0.25">
      <c r="D445" s="267" t="s">
        <v>1236</v>
      </c>
    </row>
    <row r="447" spans="4:13" x14ac:dyDescent="0.25">
      <c r="D447" s="94" t="s">
        <v>1133</v>
      </c>
      <c r="E447" s="276" t="s">
        <v>1234</v>
      </c>
      <c r="F447" s="276" t="s">
        <v>1097</v>
      </c>
      <c r="G447" s="124" t="s">
        <v>1237</v>
      </c>
      <c r="H447" s="124" t="s">
        <v>1139</v>
      </c>
      <c r="I447" s="94" t="s">
        <v>1238</v>
      </c>
      <c r="J447" s="124" t="s">
        <v>1142</v>
      </c>
      <c r="K447" s="94" t="s">
        <v>1143</v>
      </c>
      <c r="L447" s="94" t="s">
        <v>1144</v>
      </c>
      <c r="M447" s="94" t="s">
        <v>1145</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7" cm="1">
        <f t="array" ref="H448">Scope3_Equations.VEERG_15_10_1_1__1_OtherPurchasedGoodsAndServices(F448,G448*10^-3)</f>
        <v>5.47E-3</v>
      </c>
      <c r="I448" s="85">
        <v>0.05</v>
      </c>
      <c r="J448" s="277" cm="1">
        <f t="array" ref="J448">Scope3_Equations.VEERG_15_10_1_1__1_OtherPurchasedGoodsAndServices(F448,IF(I448,I448,G448)*10^-3)</f>
        <v>5.0000000000000001E-3</v>
      </c>
      <c r="K448" s="43"/>
      <c r="L448" s="23"/>
      <c r="M448" s="43"/>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7" cm="1">
        <f t="array" ref="H449">Scope3_Equations.VEERG_15_10_1_1__1_OtherPurchasedGoodsAndServices(F449,G449*10^-3)</f>
        <v>1.42E-3</v>
      </c>
      <c r="I449" s="85">
        <v>0.01</v>
      </c>
      <c r="J449" s="277" cm="1">
        <f t="array" ref="J449">Scope3_Equations.VEERG_15_10_1_1__1_OtherPurchasedGoodsAndServices(F449,IF(I449,I449,G449)*10^-3)</f>
        <v>1E-3</v>
      </c>
      <c r="K449" s="43"/>
      <c r="L449" s="23"/>
      <c r="M449" s="43"/>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7" cm="1">
        <f t="array" ref="H450">Scope3_Equations.VEERG_15_10_1_1__1_OtherPurchasedGoodsAndServices(F450,G450*10^-3)</f>
        <v>1.4300000000000001E-3</v>
      </c>
      <c r="I450" s="85">
        <v>0.01</v>
      </c>
      <c r="J450" s="277" cm="1">
        <f t="array" ref="J450">Scope3_Equations.VEERG_15_10_1_1__1_OtherPurchasedGoodsAndServices(F450,IF(I450,I450,G450)*10^-3)</f>
        <v>1E-3</v>
      </c>
      <c r="K450" s="43"/>
      <c r="L450" s="23"/>
      <c r="M450" s="43"/>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7" cm="1">
        <f t="array" ref="H451">Scope3_Equations.VEERG_15_10_1_1__1_OtherPurchasedGoodsAndServices(F451,G451*10^-3)</f>
        <v>4.26E-4</v>
      </c>
      <c r="I451" s="85">
        <v>4.0000000000000001E-3</v>
      </c>
      <c r="J451" s="277" cm="1">
        <f t="array" ref="J451">Scope3_Equations.VEERG_15_10_1_1__1_OtherPurchasedGoodsAndServices(F451,IF(I451,I451,G451)*10^-3)</f>
        <v>3.9999999999999996E-4</v>
      </c>
      <c r="K451" s="43"/>
      <c r="L451" s="23"/>
      <c r="M451" s="43"/>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7" cm="1">
        <f t="array" ref="H452">Scope3_Equations.VEERG_15_10_1_1__1_OtherPurchasedGoodsAndServices(F452,G452*10^-3)</f>
        <v>5.47E-3</v>
      </c>
      <c r="I452" s="85">
        <v>0.05</v>
      </c>
      <c r="J452" s="277" cm="1">
        <f t="array" ref="J452">Scope3_Equations.VEERG_15_10_1_1__1_OtherPurchasedGoodsAndServices(F452,IF(I452,I452,G452)*10^-3)</f>
        <v>5.0000000000000001E-3</v>
      </c>
      <c r="K452" s="43"/>
      <c r="L452" s="23"/>
      <c r="M452" s="43"/>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7" cm="1">
        <f t="array" ref="H453">Scope3_Equations.VEERG_15_10_1_1__1_OtherPurchasedGoodsAndServices(F453,G453*10^-3)</f>
        <v>1.42E-3</v>
      </c>
      <c r="I453" s="85">
        <v>0.01</v>
      </c>
      <c r="J453" s="277" cm="1">
        <f t="array" ref="J453">Scope3_Equations.VEERG_15_10_1_1__1_OtherPurchasedGoodsAndServices(F453,IF(I453,I453,G453)*10^-3)</f>
        <v>1E-3</v>
      </c>
      <c r="K453" s="43"/>
      <c r="L453" s="23"/>
      <c r="M453" s="43"/>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7" cm="1">
        <f t="array" ref="H454">Scope3_Equations.VEERG_15_10_1_1__1_OtherPurchasedGoodsAndServices(F454,G454*10^-3)</f>
        <v>0</v>
      </c>
      <c r="I454" s="85"/>
      <c r="J454" s="277" cm="1">
        <f t="array" ref="J454">Scope3_Equations.VEERG_15_10_1_1__1_OtherPurchasedGoodsAndServices(F454,IF(I454,I454,G454)*10^-3)</f>
        <v>0</v>
      </c>
      <c r="K454" s="43"/>
      <c r="L454" s="23"/>
      <c r="M454" s="43"/>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7" cm="1">
        <f t="array" ref="H455">Scope3_Equations.VEERG_15_10_1_1__1_OtherPurchasedGoodsAndServices(F455,G455*10^-3)</f>
        <v>0</v>
      </c>
      <c r="I455" s="85"/>
      <c r="J455" s="277" cm="1">
        <f t="array" ref="J455">Scope3_Equations.VEERG_15_10_1_1__1_OtherPurchasedGoodsAndServices(F455,IF(I455,I455,G455)*10^-3)</f>
        <v>0</v>
      </c>
      <c r="K455" s="43"/>
      <c r="L455" s="23"/>
      <c r="M455" s="43"/>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7" cm="1">
        <f t="array" ref="H456">Scope3_Equations.VEERG_15_10_1_1__1_OtherPurchasedGoodsAndServices(F456,G456*10^-3)</f>
        <v>0</v>
      </c>
      <c r="I456" s="85"/>
      <c r="J456" s="277" cm="1">
        <f t="array" ref="J456">Scope3_Equations.VEERG_15_10_1_1__1_OtherPurchasedGoodsAndServices(F456,IF(I456,I456,G456)*10^-3)</f>
        <v>0</v>
      </c>
      <c r="K456" s="43"/>
      <c r="L456" s="23"/>
      <c r="M456" s="43"/>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7" cm="1">
        <f t="array" ref="H457">Scope3_Equations.VEERG_15_10_1_1__1_OtherPurchasedGoodsAndServices(F457,G457*10^-3)</f>
        <v>0</v>
      </c>
      <c r="I457" s="85"/>
      <c r="J457" s="277" cm="1">
        <f t="array" ref="J457">Scope3_Equations.VEERG_15_10_1_1__1_OtherPurchasedGoodsAndServices(F457,IF(I457,I457,G457)*10^-3)</f>
        <v>0</v>
      </c>
      <c r="K457" s="43"/>
      <c r="L457" s="23"/>
      <c r="M457" s="43"/>
    </row>
    <row r="459" spans="4:13" ht="20.25" x14ac:dyDescent="0.25">
      <c r="D459" s="278" t="s">
        <v>1139</v>
      </c>
      <c r="E459" s="136">
        <f>SUM(H448:H457)</f>
        <v>1.5636000000000001E-2</v>
      </c>
      <c r="F459" s="137" t="str">
        <f>$E$155</f>
        <v>t CO2e</v>
      </c>
    </row>
    <row r="460" spans="4:13" ht="20.25" x14ac:dyDescent="0.25">
      <c r="D460" s="278" t="s">
        <v>1142</v>
      </c>
      <c r="E460" s="136">
        <f>SUM(J448:J457)</f>
        <v>1.3400000000000002E-2</v>
      </c>
      <c r="F460" s="137" t="str">
        <f>$E$155</f>
        <v>t CO2e</v>
      </c>
    </row>
    <row r="463" spans="4:13" ht="18.75" x14ac:dyDescent="0.25">
      <c r="D463" s="267" t="s">
        <v>1069</v>
      </c>
    </row>
    <row r="465" spans="4:12" x14ac:dyDescent="0.25">
      <c r="D465" s="94" t="s">
        <v>1019</v>
      </c>
      <c r="E465" s="94" t="s">
        <v>1239</v>
      </c>
      <c r="F465" s="124" t="s">
        <v>1237</v>
      </c>
      <c r="G465" s="124" t="s">
        <v>1139</v>
      </c>
      <c r="H465" s="94" t="s">
        <v>1238</v>
      </c>
      <c r="I465" s="124" t="s">
        <v>1142</v>
      </c>
      <c r="J465" s="94" t="s">
        <v>1143</v>
      </c>
      <c r="K465" s="94" t="s">
        <v>1144</v>
      </c>
      <c r="L465" s="94" t="s">
        <v>1145</v>
      </c>
    </row>
    <row r="466" spans="4:12" x14ac:dyDescent="0.25">
      <c r="D466" s="25" t="str">
        <f>'Input - Crop pasture farm input'!D23</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7" cm="1">
        <f t="array" ref="G466">Scope3_Equations.VEERG_15_10_1_1__1_OtherPurchasedGoodsAndServices(E466,F466*10^-3)</f>
        <v>0.1195</v>
      </c>
      <c r="H466" s="85">
        <v>0.2</v>
      </c>
      <c r="I466" s="277" cm="1">
        <f t="array" ref="I466">Scope3_Equations.VEERG_15_10_1_1__1_OtherPurchasedGoodsAndServices(E466,IF(H466,H466,F466)*10^-3)</f>
        <v>0.1</v>
      </c>
      <c r="J466" s="43"/>
      <c r="K466" s="23"/>
      <c r="L466" s="43"/>
    </row>
    <row r="467" spans="4:12" x14ac:dyDescent="0.25">
      <c r="D467" s="25" t="str">
        <f>'Input - Crop pasture farm input'!D24</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7" cm="1">
        <f t="array" ref="G467">Scope3_Equations.VEERG_15_10_1_1__1_OtherPurchasedGoodsAndServices(E467,F467*10^-3)</f>
        <v>0.1086</v>
      </c>
      <c r="H467" s="85"/>
      <c r="I467" s="277" cm="1">
        <f t="array" ref="I467">Scope3_Equations.VEERG_15_10_1_1__1_OtherPurchasedGoodsAndServices(E467,IF(H467,H467,F467)*10^-3)</f>
        <v>0.1086</v>
      </c>
      <c r="J467" s="43"/>
      <c r="K467" s="23"/>
      <c r="L467" s="43"/>
    </row>
    <row r="468" spans="4:12" x14ac:dyDescent="0.25">
      <c r="D468" s="25" t="str">
        <f>'Input - Crop pasture farm input'!D25</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7" cm="1">
        <f t="array" ref="G468">Scope3_Equations.VEERG_15_10_1_1__1_OtherPurchasedGoodsAndServices(E468,F468*10^-3)</f>
        <v>0.189</v>
      </c>
      <c r="H468" s="85">
        <v>0.2</v>
      </c>
      <c r="I468" s="277" cm="1">
        <f t="array" ref="I468">Scope3_Equations.VEERG_15_10_1_1__1_OtherPurchasedGoodsAndServices(E468,IF(H468,H468,F468)*10^-3)</f>
        <v>0.14000000000000001</v>
      </c>
      <c r="J468" s="43"/>
      <c r="K468" s="23"/>
      <c r="L468" s="43"/>
    </row>
    <row r="469" spans="4:12" x14ac:dyDescent="0.25">
      <c r="D469" s="25" t="str">
        <f>'Input - Crop pasture farm input'!D26</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7" cm="1">
        <f t="array" ref="G469">Scope3_Equations.VEERG_15_10_1_1__1_OtherPurchasedGoodsAndServices(E469,F469*10^-3)</f>
        <v>0.18560000000000001</v>
      </c>
      <c r="H469" s="85"/>
      <c r="I469" s="277" cm="1">
        <f t="array" ref="I469">Scope3_Equations.VEERG_15_10_1_1__1_OtherPurchasedGoodsAndServices(E469,IF(H469,H469,F469)*10^-3)</f>
        <v>0.18560000000000001</v>
      </c>
      <c r="J469" s="43"/>
      <c r="K469" s="23"/>
      <c r="L469" s="43"/>
    </row>
    <row r="470" spans="4:12" x14ac:dyDescent="0.25">
      <c r="D470" s="25" t="str">
        <f>'Input - Crop pasture farm input'!D27</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7" cm="1">
        <f t="array" ref="G470">Scope3_Equations.VEERG_15_10_1_1__1_OtherPurchasedGoodsAndServices(E470,F470*10^-3)</f>
        <v>0.2412</v>
      </c>
      <c r="H470" s="85">
        <v>0.2</v>
      </c>
      <c r="I470" s="277" cm="1">
        <f t="array" ref="I470">Scope3_Equations.VEERG_15_10_1_1__1_OtherPurchasedGoodsAndServices(E470,IF(H470,H470,F470)*10^-3)</f>
        <v>0.18000000000000002</v>
      </c>
      <c r="J470" s="43"/>
      <c r="K470" s="23"/>
      <c r="L470" s="43"/>
    </row>
    <row r="472" spans="4:12" ht="20.25" x14ac:dyDescent="0.25">
      <c r="D472" s="278" t="s">
        <v>1139</v>
      </c>
      <c r="E472" s="136">
        <f>SUM(G466:G470)</f>
        <v>0.84389999999999998</v>
      </c>
      <c r="F472" s="137" t="str">
        <f>$E$155</f>
        <v>t CO2e</v>
      </c>
    </row>
    <row r="473" spans="4:12" ht="20.25" x14ac:dyDescent="0.25">
      <c r="D473" s="278" t="s">
        <v>1142</v>
      </c>
      <c r="E473" s="136">
        <f>SUM(I466:I470)</f>
        <v>0.71420000000000006</v>
      </c>
      <c r="F473" s="137" t="str">
        <f>$E$155</f>
        <v>t CO2e</v>
      </c>
    </row>
    <row r="476" spans="4:12" ht="18.75" x14ac:dyDescent="0.25">
      <c r="D476" s="267" t="s">
        <v>1240</v>
      </c>
    </row>
    <row r="478" spans="4:12" x14ac:dyDescent="0.25">
      <c r="D478" s="94" t="s">
        <v>1019</v>
      </c>
      <c r="E478" s="94" t="s">
        <v>1239</v>
      </c>
      <c r="F478" s="124" t="s">
        <v>1237</v>
      </c>
      <c r="G478" s="124" t="s">
        <v>1139</v>
      </c>
      <c r="H478" s="94" t="s">
        <v>1238</v>
      </c>
      <c r="I478" s="124" t="s">
        <v>1142</v>
      </c>
      <c r="J478" s="94" t="s">
        <v>1143</v>
      </c>
      <c r="K478" s="94" t="s">
        <v>1144</v>
      </c>
      <c r="L478" s="94" t="s">
        <v>1145</v>
      </c>
    </row>
    <row r="479" spans="4:12" x14ac:dyDescent="0.25">
      <c r="D479" s="25" t="str">
        <f>'Input - Livestock farm Inputs'!D47</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7" cm="1">
        <f t="array" ref="G479">Scope3_Equations.VEERG_15_10_1_1__1_OtherPurchasedGoodsAndServices(E479,F479*10^-3)</f>
        <v>4.2399999999999998E-3</v>
      </c>
      <c r="H479" s="85">
        <v>0.2</v>
      </c>
      <c r="I479" s="277" cm="1">
        <f t="array" ref="I479">Scope3_Equations.VEERG_15_10_1_1__1_OtherPurchasedGoodsAndServices(E479,IF(H479,H479,F479)*10^-3)</f>
        <v>0.02</v>
      </c>
      <c r="J479" s="43"/>
      <c r="K479" s="23"/>
      <c r="L479" s="43"/>
    </row>
    <row r="480" spans="4:12" x14ac:dyDescent="0.25">
      <c r="D480" s="25" t="str">
        <f>'Input - Livestock farm Inputs'!D48</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7" cm="1">
        <f t="array" ref="G480">Scope3_Equations.VEERG_15_10_1_1__1_OtherPurchasedGoodsAndServices(E480,F480*10^-3)</f>
        <v>5.8599999999999998E-3</v>
      </c>
      <c r="H480" s="85"/>
      <c r="I480" s="277" cm="1">
        <f t="array" ref="I480">Scope3_Equations.VEERG_15_10_1_1__1_OtherPurchasedGoodsAndServices(E480,IF(H480,H480,F480)*10^-3)</f>
        <v>5.8599999999999998E-3</v>
      </c>
      <c r="J480" s="43"/>
      <c r="K480" s="23"/>
      <c r="L480" s="43"/>
    </row>
    <row r="481" spans="4:14" x14ac:dyDescent="0.25">
      <c r="D481" s="25"/>
      <c r="E481" s="25" t="e">
        <f>X_Cell_FarmInputs_Misc_NylonNetting</f>
        <v>#REF!</v>
      </c>
      <c r="F481" s="25" cm="1">
        <f t="array" ref="F481">Common_InputFunctions.Utility_LookupValueInTableNumber(D481,Table_SourceData_Scope3_Other[Product],Table_SourceData_Scope3_Other[AusLCI Emissions intensity])</f>
        <v>0</v>
      </c>
      <c r="G481" s="277" t="e" cm="1">
        <f t="array" ref="G481">Scope3_Equations.VEERG_15_10_1_1__1_OtherPurchasedGoodsAndServices(E481,F481*10^-3)</f>
        <v>#REF!</v>
      </c>
      <c r="H481" s="85">
        <v>0.2</v>
      </c>
      <c r="I481" s="277" t="e" cm="1">
        <f t="array" ref="I481">Scope3_Equations.VEERG_15_10_1_1__1_OtherPurchasedGoodsAndServices(E481,IF(H481,H481,F481)*10^-3)</f>
        <v>#REF!</v>
      </c>
      <c r="J481" s="43"/>
      <c r="K481" s="23"/>
      <c r="L481" s="43"/>
    </row>
    <row r="483" spans="4:14" ht="20.25" x14ac:dyDescent="0.25">
      <c r="D483" s="278" t="s">
        <v>1139</v>
      </c>
      <c r="E483" s="136" t="e">
        <f>SUM(G479:G481)</f>
        <v>#REF!</v>
      </c>
      <c r="F483" s="137" t="str">
        <f>$E$155</f>
        <v>t CO2e</v>
      </c>
    </row>
    <row r="484" spans="4:14" ht="20.25" x14ac:dyDescent="0.25">
      <c r="D484" s="278" t="s">
        <v>1142</v>
      </c>
      <c r="E484" s="136" t="e">
        <f>SUM(I479:I481)</f>
        <v>#REF!</v>
      </c>
      <c r="F484" s="137" t="str">
        <f>$E$155</f>
        <v>t CO2e</v>
      </c>
    </row>
    <row r="487" spans="4:14" ht="18.75" x14ac:dyDescent="0.25">
      <c r="D487" s="267" t="s">
        <v>1241</v>
      </c>
    </row>
    <row r="489" spans="4:14" x14ac:dyDescent="0.25">
      <c r="D489" s="94" t="s">
        <v>1019</v>
      </c>
      <c r="E489" s="94" t="s">
        <v>883</v>
      </c>
      <c r="F489" s="94" t="s">
        <v>791</v>
      </c>
      <c r="G489" s="124" t="s">
        <v>1221</v>
      </c>
      <c r="H489" s="124" t="s">
        <v>1222</v>
      </c>
      <c r="I489" s="94" t="s">
        <v>1223</v>
      </c>
      <c r="J489" s="94" t="s">
        <v>1242</v>
      </c>
      <c r="K489" s="124" t="s">
        <v>1224</v>
      </c>
      <c r="L489" s="94" t="s">
        <v>1143</v>
      </c>
      <c r="M489" s="94" t="s">
        <v>1144</v>
      </c>
      <c r="N489" s="94" t="s">
        <v>1145</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1226</v>
      </c>
      <c r="H490" s="25" t="s">
        <v>1226</v>
      </c>
      <c r="I490" s="85">
        <v>4</v>
      </c>
      <c r="J490" s="23" t="s">
        <v>1243</v>
      </c>
      <c r="K490" s="277" cm="1">
        <f t="array" ref="K490">Scope3_Equations.VEERG_15_10_1_1__1_OtherPurchasedGoodsAndServices(E490,IF(J490="kg / amount unit", I490*10^-3, I490))</f>
        <v>4000</v>
      </c>
      <c r="L490" s="43"/>
      <c r="M490" s="23"/>
      <c r="N490" s="43"/>
    </row>
    <row r="491" spans="4:14" x14ac:dyDescent="0.25">
      <c r="D491" s="25">
        <v>0</v>
      </c>
      <c r="E491" s="25">
        <v>0</v>
      </c>
      <c r="F491" s="25">
        <v>0</v>
      </c>
      <c r="G491" s="25" t="s">
        <v>1226</v>
      </c>
      <c r="H491" s="25" t="s">
        <v>1226</v>
      </c>
      <c r="I491" s="85">
        <v>2</v>
      </c>
      <c r="J491" s="23" t="s">
        <v>1243</v>
      </c>
      <c r="K491" s="277" cm="1">
        <f t="array" ref="K491">Scope3_Equations.VEERG_15_10_1_1__1_OtherPurchasedGoodsAndServices(E491,IF(J491="kg / amount unit", I491*10^-3, I491))</f>
        <v>0</v>
      </c>
      <c r="L491" s="43"/>
      <c r="M491" s="23"/>
      <c r="N491" s="43"/>
    </row>
    <row r="492" spans="4:14" x14ac:dyDescent="0.25">
      <c r="D492" s="25">
        <v>0</v>
      </c>
      <c r="E492" s="25">
        <v>0</v>
      </c>
      <c r="F492" s="25">
        <v>0</v>
      </c>
      <c r="G492" s="25" t="s">
        <v>1226</v>
      </c>
      <c r="H492" s="25" t="s">
        <v>1226</v>
      </c>
      <c r="I492" s="85"/>
      <c r="J492" s="23"/>
      <c r="K492" s="277" cm="1">
        <f t="array" ref="K492">Scope3_Equations.VEERG_15_10_1_1__1_OtherPurchasedGoodsAndServices(E492,IF(J492="kg / amount unit", I492*10^-3, I492))</f>
        <v>0</v>
      </c>
      <c r="L492" s="43"/>
      <c r="M492" s="23"/>
      <c r="N492" s="43"/>
    </row>
    <row r="493" spans="4:14" x14ac:dyDescent="0.25">
      <c r="D493" s="25">
        <v>0</v>
      </c>
      <c r="E493" s="25">
        <v>0</v>
      </c>
      <c r="F493" s="25">
        <v>0</v>
      </c>
      <c r="G493" s="25" t="s">
        <v>1226</v>
      </c>
      <c r="H493" s="25" t="s">
        <v>1226</v>
      </c>
      <c r="I493" s="85"/>
      <c r="J493" s="23"/>
      <c r="K493" s="277" cm="1">
        <f t="array" ref="K493">Scope3_Equations.VEERG_15_10_1_1__1_OtherPurchasedGoodsAndServices(E493,IF(J493="kg / amount unit", I493*10^-3, I493))</f>
        <v>0</v>
      </c>
      <c r="L493" s="43"/>
      <c r="M493" s="23"/>
      <c r="N493" s="43"/>
    </row>
    <row r="494" spans="4:14" x14ac:dyDescent="0.25">
      <c r="D494" s="25">
        <v>0</v>
      </c>
      <c r="E494" s="25">
        <v>0</v>
      </c>
      <c r="F494" s="25">
        <v>0</v>
      </c>
      <c r="G494" s="25" t="s">
        <v>1226</v>
      </c>
      <c r="H494" s="25" t="s">
        <v>1226</v>
      </c>
      <c r="I494" s="85"/>
      <c r="J494" s="23"/>
      <c r="K494" s="277" cm="1">
        <f t="array" ref="K494">Scope3_Equations.VEERG_15_10_1_1__1_OtherPurchasedGoodsAndServices(E494,IF(J494="kg / amount unit", I494*10^-3, I494))</f>
        <v>0</v>
      </c>
      <c r="L494" s="43"/>
      <c r="M494" s="23"/>
      <c r="N494" s="43"/>
    </row>
    <row r="495" spans="4:14" x14ac:dyDescent="0.25">
      <c r="D495" s="25">
        <v>0</v>
      </c>
      <c r="E495" s="25">
        <v>0</v>
      </c>
      <c r="F495" s="25">
        <v>0</v>
      </c>
      <c r="G495" s="25" t="s">
        <v>1226</v>
      </c>
      <c r="H495" s="25" t="s">
        <v>1226</v>
      </c>
      <c r="I495" s="85"/>
      <c r="J495" s="23"/>
      <c r="K495" s="277" cm="1">
        <f t="array" ref="K495">Scope3_Equations.VEERG_15_10_1_1__1_OtherPurchasedGoodsAndServices(E495,IF(J495="kg / amount unit", I495*10^-3, I495))</f>
        <v>0</v>
      </c>
      <c r="L495" s="43"/>
      <c r="M495" s="23"/>
      <c r="N495" s="43"/>
    </row>
    <row r="496" spans="4:14" x14ac:dyDescent="0.25">
      <c r="D496" s="25">
        <v>0</v>
      </c>
      <c r="E496" s="25">
        <v>0</v>
      </c>
      <c r="F496" s="25">
        <v>0</v>
      </c>
      <c r="G496" s="25" t="s">
        <v>1226</v>
      </c>
      <c r="H496" s="25" t="s">
        <v>1226</v>
      </c>
      <c r="I496" s="85"/>
      <c r="J496" s="23"/>
      <c r="K496" s="277" cm="1">
        <f t="array" ref="K496">Scope3_Equations.VEERG_15_10_1_1__1_OtherPurchasedGoodsAndServices(E496,IF(J496="kg / amount unit", I496*10^-3, I496))</f>
        <v>0</v>
      </c>
      <c r="L496" s="43"/>
      <c r="M496" s="23"/>
      <c r="N496" s="43"/>
    </row>
    <row r="497" spans="3:41" x14ac:dyDescent="0.25">
      <c r="D497" s="25">
        <v>0</v>
      </c>
      <c r="E497" s="25">
        <v>0</v>
      </c>
      <c r="F497" s="25">
        <v>0</v>
      </c>
      <c r="G497" s="25" t="s">
        <v>1226</v>
      </c>
      <c r="H497" s="25" t="s">
        <v>1226</v>
      </c>
      <c r="I497" s="85"/>
      <c r="J497" s="23"/>
      <c r="K497" s="277" cm="1">
        <f t="array" ref="K497">Scope3_Equations.VEERG_15_10_1_1__1_OtherPurchasedGoodsAndServices(E497,IF(J497="kg / amount unit", I497*10^-3, I497))</f>
        <v>0</v>
      </c>
      <c r="L497" s="43"/>
      <c r="M497" s="23"/>
      <c r="N497" s="43"/>
    </row>
    <row r="498" spans="3:41" x14ac:dyDescent="0.25">
      <c r="D498" s="25">
        <v>0</v>
      </c>
      <c r="E498" s="25">
        <v>0</v>
      </c>
      <c r="F498" s="25">
        <v>0</v>
      </c>
      <c r="G498" s="25" t="s">
        <v>1226</v>
      </c>
      <c r="H498" s="25" t="s">
        <v>1226</v>
      </c>
      <c r="I498" s="85"/>
      <c r="J498" s="23"/>
      <c r="K498" s="277" cm="1">
        <f t="array" ref="K498">Scope3_Equations.VEERG_15_10_1_1__1_OtherPurchasedGoodsAndServices(E498,IF(J498="kg / amount unit", I498*10^-3, I498))</f>
        <v>0</v>
      </c>
      <c r="L498" s="43"/>
      <c r="M498" s="23"/>
      <c r="N498" s="43"/>
    </row>
    <row r="499" spans="3:41" x14ac:dyDescent="0.25">
      <c r="D499" s="25">
        <v>0</v>
      </c>
      <c r="E499" s="25">
        <v>0</v>
      </c>
      <c r="F499" s="25">
        <v>0</v>
      </c>
      <c r="G499" s="25" t="s">
        <v>1226</v>
      </c>
      <c r="H499" s="25" t="s">
        <v>1226</v>
      </c>
      <c r="I499" s="85"/>
      <c r="J499" s="23"/>
      <c r="K499" s="277" cm="1">
        <f t="array" ref="K499">Scope3_Equations.VEERG_15_10_1_1__1_OtherPurchasedGoodsAndServices(E499,IF(J499="kg / amount unit", I499*10^-3, I499))</f>
        <v>0</v>
      </c>
      <c r="L499" s="43"/>
      <c r="M499" s="23"/>
      <c r="N499" s="43"/>
    </row>
    <row r="501" spans="3:41" ht="20.25" x14ac:dyDescent="0.25">
      <c r="D501" s="278" t="s">
        <v>1139</v>
      </c>
      <c r="E501" s="136" t="s">
        <v>1226</v>
      </c>
      <c r="F501" s="137" t="str">
        <f>$E$155</f>
        <v>t CO2e</v>
      </c>
    </row>
    <row r="502" spans="3:41" ht="20.25" x14ac:dyDescent="0.25">
      <c r="D502" s="278" t="s">
        <v>1142</v>
      </c>
      <c r="E502" s="136">
        <f>SUM(K490:K499)</f>
        <v>4000</v>
      </c>
      <c r="F502" s="137" t="str">
        <f>$E$155</f>
        <v>t CO2e</v>
      </c>
    </row>
    <row r="505" spans="3:41" x14ac:dyDescent="0.25">
      <c r="C505" s="101"/>
      <c r="D505" s="101"/>
      <c r="E505" s="101"/>
      <c r="F505" s="101"/>
      <c r="G505" s="101"/>
      <c r="H505" s="101"/>
      <c r="I505" s="101"/>
      <c r="J505" s="101"/>
      <c r="K505" s="101"/>
      <c r="L505" s="101"/>
      <c r="M505" s="101"/>
      <c r="N505" s="101"/>
      <c r="O505" s="101"/>
      <c r="P505" s="101"/>
      <c r="Q505" s="101"/>
      <c r="R505" s="101"/>
      <c r="S505" s="101"/>
      <c r="T505" s="101"/>
      <c r="U505" s="101"/>
      <c r="V505" s="101"/>
      <c r="W505" s="101"/>
      <c r="X505" s="101"/>
      <c r="Y505" s="101"/>
      <c r="Z505" s="101"/>
      <c r="AA505" s="101"/>
      <c r="AB505" s="101"/>
      <c r="AC505" s="101"/>
      <c r="AD505" s="101"/>
      <c r="AE505" s="101"/>
      <c r="AF505" s="101"/>
      <c r="AG505" s="101"/>
      <c r="AH505" s="101"/>
      <c r="AI505" s="101"/>
      <c r="AJ505" s="101"/>
      <c r="AK505" s="101"/>
      <c r="AL505" s="101"/>
      <c r="AM505" s="101"/>
      <c r="AN505" s="101"/>
      <c r="AO505" s="101"/>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8" t="s">
        <v>262</v>
      </c>
      <c r="E508" s="118" t="str">
        <f ca="1">Common_InputFunctions.Utility_DisplayFunctionName(VEERG_15_11_1_1__1_TotalUpstreamEmissionsFromFuel_Result)</f>
        <v>=Scope3_Equations.VEERG_15_11_1_1__1_TotalUpstreamEmissionsFromFuel</v>
      </c>
    </row>
    <row r="512" spans="3:41" x14ac:dyDescent="0.25">
      <c r="D512" s="87" t="s">
        <v>263</v>
      </c>
      <c r="E512" s="1" t="str" cm="1">
        <f t="array" ref="E512">Scope3_Equations.VEERG_15_11_1_1__1_TotalUpstreamEmissionsFromFuel_Variable()</f>
        <v>E</v>
      </c>
    </row>
    <row r="513" spans="3:41" x14ac:dyDescent="0.25">
      <c r="D513" s="87" t="s">
        <v>122</v>
      </c>
      <c r="E513" s="15" t="str" cm="1">
        <f t="array" ref="E513">Scope3_Equations.VEERG_15_11_1_1__1_TotalUpstreamEmissionsFromFuel_Unit()</f>
        <v>t CO2e</v>
      </c>
    </row>
    <row r="515" spans="3:41" x14ac:dyDescent="0.25">
      <c r="D515" s="120" t="str" cm="1">
        <f t="array" ref="D515:E516">_xlfn.CHOOSECOLS(Scope3_Equations.VEERG_15_11_1_1__1_TotalUpstreamEmissionsFromFuel_Arguments(),1,2)</f>
        <v>E_WTTtransq</v>
      </c>
      <c r="E515" s="125" t="str">
        <v>upstream emissions from scope 1 transport fuel use</v>
      </c>
      <c r="F515" s="126"/>
      <c r="G515" s="120" t="str" cm="1">
        <f t="array" ref="G515:H516">_xlfn.CHOOSECOLS(Scope3_Equations.VEERG_15_11_1_1__1_TotalUpstreamEmissionsFromFuel_Arguments(),3,4)</f>
        <v>t CO2e</v>
      </c>
      <c r="H515" s="128" t="str">
        <v>Calculated by 15.11.1.1 (2)</v>
      </c>
      <c r="I515" s="120">
        <f>VEERG_8_1_1_1__1_FuelCombustionTransport_Result</f>
        <v>20.5016</v>
      </c>
    </row>
    <row r="516" spans="3:41" x14ac:dyDescent="0.25">
      <c r="D516" s="120" t="str">
        <v>E_WTTSCq</v>
      </c>
      <c r="E516" s="125" t="str">
        <v>upstream emissions from scope 1 stationary combustion fuel use</v>
      </c>
      <c r="F516" s="126"/>
      <c r="G516" s="120" t="str">
        <v>t CO2e</v>
      </c>
      <c r="H516" s="128" t="str">
        <v>Calculated by 15.11.1.1 (3)</v>
      </c>
      <c r="I516" s="120">
        <f>VEERG_8_2_1_1__1_FuelCombustionStationary_Result</f>
        <v>6.2923999999999998</v>
      </c>
    </row>
    <row r="518" spans="3:41" ht="20.25" x14ac:dyDescent="0.25">
      <c r="D518" s="278" t="s">
        <v>1244</v>
      </c>
      <c r="E518" s="136" cm="1">
        <f t="array" ref="E518">Scope3_Equations.VEERG_15_11_1_1__1_TotalUpstreamEmissionsFromFuel(I515,I516)</f>
        <v>26.794</v>
      </c>
      <c r="F518" s="137" t="str">
        <f>$E$155</f>
        <v>t CO2e</v>
      </c>
    </row>
    <row r="520" spans="3:41" x14ac:dyDescent="0.25">
      <c r="C520" s="101"/>
      <c r="D520" s="101"/>
      <c r="E520" s="101"/>
      <c r="F520" s="101"/>
      <c r="G520" s="101"/>
      <c r="H520" s="101"/>
      <c r="I520" s="101"/>
      <c r="J520" s="101"/>
      <c r="K520" s="101"/>
      <c r="L520" s="101"/>
      <c r="M520" s="101"/>
      <c r="N520" s="101"/>
      <c r="O520" s="101"/>
      <c r="P520" s="101"/>
      <c r="Q520" s="101"/>
      <c r="R520" s="101"/>
      <c r="S520" s="101"/>
      <c r="T520" s="101"/>
      <c r="U520" s="101"/>
      <c r="V520" s="101"/>
      <c r="W520" s="101"/>
      <c r="X520" s="101"/>
      <c r="Y520" s="101"/>
      <c r="Z520" s="101"/>
      <c r="AA520" s="101"/>
      <c r="AB520" s="101"/>
      <c r="AC520" s="101"/>
      <c r="AD520" s="101"/>
      <c r="AE520" s="101"/>
      <c r="AF520" s="101"/>
      <c r="AG520" s="101"/>
      <c r="AH520" s="101"/>
      <c r="AI520" s="101"/>
      <c r="AJ520" s="101"/>
      <c r="AK520" s="101"/>
      <c r="AL520" s="101"/>
      <c r="AM520" s="101"/>
      <c r="AN520" s="101"/>
      <c r="AO520" s="101"/>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8" t="s">
        <v>262</v>
      </c>
      <c r="E523" s="118" t="str">
        <f ca="1">Common_InputFunctions.Utility_DisplayFunctionName(VEERG_15_12_1_1__1_UpstreamPurchasedElectricityLocationBased_Result)</f>
        <v>=Scope3_Equations.VEERG_15_12_1_1__1_UpstreamPurchasedElectricityLocationBased</v>
      </c>
    </row>
    <row r="526" spans="3:41" x14ac:dyDescent="0.25">
      <c r="D526" s="87" t="s">
        <v>263</v>
      </c>
      <c r="E526" s="1" t="str" cm="1">
        <f t="array" ref="E526">Scope3_Equations.VEERG_15_12_1_1__1_UpstreamPurchasedElectricityLocationBased_Variable()</f>
        <v>E_3elec</v>
      </c>
    </row>
    <row r="527" spans="3:41" x14ac:dyDescent="0.25">
      <c r="D527" s="87" t="s">
        <v>122</v>
      </c>
      <c r="E527" s="1" t="str" cm="1">
        <f t="array" ref="E527">Scope3_Equations.VEERG_15_12_1_1__1_UpstreamPurchasedElectricityLocationBased_Unit()</f>
        <v>t CO2e</v>
      </c>
    </row>
    <row r="529" spans="3:41" x14ac:dyDescent="0.25">
      <c r="D529" s="120" t="str" cm="1">
        <f t="array" ref="D529:E531">_xlfn.CHOOSECOLS(Scope3_Equations.VEERG_15_12_1_1__1_UpstreamPurchasedElectricityLocationBased_Arguments(),1,2)</f>
        <v>Q_elec</v>
      </c>
      <c r="E529" s="120" t="str">
        <v>amount of electricity purchased from the grid</v>
      </c>
      <c r="F529" s="120"/>
      <c r="G529" s="120" t="str" cm="1">
        <f t="array" ref="G529:H531">_xlfn.CHOOSECOLS(Scope3_Equations.VEERG_15_12_1_1__1_UpstreamPurchasedElectricityLocationBased_Arguments(),3,4)</f>
        <v>kWh</v>
      </c>
      <c r="H529" s="275" t="str">
        <v>Input</v>
      </c>
      <c r="I529" s="125">
        <f>X_Cell_Electricity_Location_AmountPurchasedInkWh</f>
        <v>30000</v>
      </c>
      <c r="J529" s="126"/>
    </row>
    <row r="530" spans="3:41" x14ac:dyDescent="0.25">
      <c r="D530" s="120" t="str">
        <v>EF_3elec</v>
      </c>
      <c r="E530" s="120" t="str">
        <v>scope 3 emission factor for purchased electricity</v>
      </c>
      <c r="F530" s="120"/>
      <c r="G530" s="120" t="str">
        <v>kg CO2e/kWh</v>
      </c>
      <c r="H530" s="128" t="str">
        <v>Constant</v>
      </c>
      <c r="I530" s="125" cm="1">
        <f t="array" ref="I530">Common_InputFunctions.Utility_LookupValueInTableNumber(I531,Table_SourceData_ElectricityEFs[State, Territory or grid description],Table_SourceData_ElectricityEFs[Scope 3 Emission Factors (kg CO2-e/kWh)])</f>
        <v>0.09</v>
      </c>
      <c r="J530" s="126"/>
    </row>
    <row r="531" spans="3:41" x14ac:dyDescent="0.25">
      <c r="D531" s="120" t="str">
        <v>g</v>
      </c>
      <c r="E531" s="125" t="str">
        <v>grid electricity was purchased from</v>
      </c>
      <c r="F531" s="126"/>
      <c r="G531" s="120" t="str">
        <v/>
      </c>
      <c r="H531" s="275" t="str">
        <v>Input</v>
      </c>
      <c r="I531" s="125" t="str">
        <f>X_Cell_Electricity_Location_GridElectricityPurchasedFrom</f>
        <v>Western Australia - North Western Interconnected System (NWIS)</v>
      </c>
      <c r="J531" s="126"/>
    </row>
    <row r="533" spans="3:41" ht="20.25" x14ac:dyDescent="0.25">
      <c r="D533" s="278" t="s">
        <v>1245</v>
      </c>
      <c r="E533" s="136" cm="1">
        <f t="array" ref="E533">Scope3_Equations.VEERG_15_12_1_1__1_UpstreamPurchasedElectricityLocationBased(I529,I530)</f>
        <v>2.7</v>
      </c>
      <c r="F533" s="137" t="str">
        <f>$E$155</f>
        <v>t CO2e</v>
      </c>
    </row>
    <row r="536" spans="3:41" x14ac:dyDescent="0.25">
      <c r="C536" s="101"/>
      <c r="D536" s="101"/>
      <c r="E536" s="101"/>
      <c r="F536" s="101"/>
      <c r="G536" s="101"/>
      <c r="H536" s="101"/>
      <c r="I536" s="101"/>
      <c r="J536" s="101"/>
      <c r="K536" s="101"/>
      <c r="L536" s="101"/>
      <c r="M536" s="101"/>
      <c r="N536" s="101"/>
      <c r="O536" s="101"/>
      <c r="P536" s="101"/>
      <c r="Q536" s="101"/>
      <c r="R536" s="101"/>
      <c r="S536" s="101"/>
      <c r="T536" s="101"/>
      <c r="U536" s="101"/>
      <c r="V536" s="101"/>
      <c r="W536" s="101"/>
      <c r="X536" s="101"/>
      <c r="Y536" s="101"/>
      <c r="Z536" s="101"/>
      <c r="AA536" s="101"/>
      <c r="AB536" s="101"/>
      <c r="AC536" s="101"/>
      <c r="AD536" s="101"/>
      <c r="AE536" s="101"/>
      <c r="AF536" s="101"/>
      <c r="AG536" s="101"/>
      <c r="AH536" s="101"/>
      <c r="AI536" s="101"/>
      <c r="AJ536" s="101"/>
      <c r="AK536" s="101"/>
      <c r="AL536" s="101"/>
      <c r="AM536" s="101"/>
      <c r="AN536" s="101"/>
      <c r="AO536" s="101"/>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5"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8" t="s">
        <v>262</v>
      </c>
      <c r="E540" s="118" t="str">
        <f ca="1">Common_InputFunctions.Utility_DisplayFunctionName(VEERG_15_12_1_2__1_UpstreamPurchasedElectricityMarketBasedVariation_Result)</f>
        <v>=Scope3_Equations.VEERG_15_12_1_2__1_UpstreamPurchasedElectricityMarketBasedVariation</v>
      </c>
    </row>
    <row r="544" spans="3:41" x14ac:dyDescent="0.25">
      <c r="D544" s="87" t="s">
        <v>263</v>
      </c>
      <c r="E544" s="1" t="str" cm="1">
        <f t="array" ref="E544">Scope3_Equations.VEERG_15_12_1_2__1_UpstreamPurchasedElectricityMarketBased_Variable()</f>
        <v>E_3elec</v>
      </c>
    </row>
    <row r="545" spans="3:41" x14ac:dyDescent="0.25">
      <c r="D545" s="87" t="s">
        <v>122</v>
      </c>
      <c r="E545" s="1" t="str" cm="1">
        <f t="array" ref="E545">Scope3_Equations.VEERG_15_12_1_2__1_UpstreamPurchasedElectricityMarketBased_Unit()</f>
        <v>t CO2e</v>
      </c>
    </row>
    <row r="547" spans="3:41" x14ac:dyDescent="0.25">
      <c r="D547" s="120" t="str" cm="1">
        <f t="array" ref="D547:E553">_xlfn.CHOOSECOLS(Scope3_Equations.VEERG_15_12_1_2__1_UpstreamPurchasedElectricityMarketBased_Arguments(),1,2)</f>
        <v>Q_elec</v>
      </c>
      <c r="E547" s="125" t="str">
        <v>amount of electricity purchased from the grid</v>
      </c>
      <c r="F547" s="126"/>
      <c r="G547" s="120" t="str" cm="1">
        <f t="array" ref="G547:H553">_xlfn.CHOOSECOLS(Scope3_Equations.VEERG_15_12_1_2__1_UpstreamPurchasedElectricityMarketBased_Arguments(),3,4)</f>
        <v>kWh</v>
      </c>
      <c r="H547" s="275" t="str">
        <v>Input</v>
      </c>
      <c r="I547" s="279">
        <f>X_Cell_Electricity_Market_AmountPurchasedExcludingGreenPower</f>
        <v>30000</v>
      </c>
    </row>
    <row r="548" spans="3:41" x14ac:dyDescent="0.25">
      <c r="D548" s="120" t="str">
        <v>RPP</v>
      </c>
      <c r="E548" s="125" t="str">
        <v>renewable power percentage under LRET for the applicable period</v>
      </c>
      <c r="F548" s="126"/>
      <c r="G548" s="120" t="str">
        <v>fraction</v>
      </c>
      <c r="H548" s="275" t="str">
        <v>Input</v>
      </c>
      <c r="I548" s="208">
        <f>X_Cell_Electricity_Market_RenewablePowerPercentage</f>
        <v>0.1</v>
      </c>
    </row>
    <row r="549" spans="3:41" x14ac:dyDescent="0.25">
      <c r="D549" s="120" t="str">
        <v>JRPP</v>
      </c>
      <c r="E549" s="125" t="str">
        <v>jurisdictional renewable power percentage for the applicable period</v>
      </c>
      <c r="F549" s="126"/>
      <c r="G549" s="120" t="str">
        <v>fraction</v>
      </c>
      <c r="H549" s="275" t="str">
        <v>Input</v>
      </c>
      <c r="I549" s="208">
        <f>X_Cell_Electricity_Market_JurisdictionalRenewablePowerPercentage</f>
        <v>0.1</v>
      </c>
    </row>
    <row r="550" spans="3:41" x14ac:dyDescent="0.25">
      <c r="D550" s="120" t="str">
        <v>REC_surrendered</v>
      </c>
      <c r="E550" s="125" t="str">
        <v>eligible renewable energy certificates voluntarily surrendered</v>
      </c>
      <c r="F550" s="126"/>
      <c r="G550" s="120" t="str">
        <v>MWh</v>
      </c>
      <c r="H550" s="275" t="str">
        <v>Input</v>
      </c>
      <c r="I550" s="120">
        <f>(X_Cell_Electricity_Market_AmountPurchasedGreenPower*10^-3)+X_Cell_TotalElegibleVoluntarilySurrenderedRECs</f>
        <v>20</v>
      </c>
    </row>
    <row r="551" spans="3:41" x14ac:dyDescent="0.25">
      <c r="D551" s="120" t="str">
        <v>REC_onsite</v>
      </c>
      <c r="E551" s="125" t="str">
        <v>eligible renewable energy certificates issued for onsite generated electricity</v>
      </c>
      <c r="F551" s="126"/>
      <c r="G551" s="120" t="str">
        <v>MWh</v>
      </c>
      <c r="H551" s="275" t="str">
        <v>Input</v>
      </c>
      <c r="I551" s="120">
        <f>X_Cell_TotalElegibleRECsForElectricityProducedOnSite</f>
        <v>11</v>
      </c>
    </row>
    <row r="552" spans="3:41" x14ac:dyDescent="0.25">
      <c r="D552" s="120" t="str">
        <v>EF_RMF3elec</v>
      </c>
      <c r="E552" s="125" t="str">
        <v>scope 3 residual mix emission factor for electricity</v>
      </c>
      <c r="F552" s="126"/>
      <c r="G552" s="120" t="str">
        <v>kg CO2e/kWh</v>
      </c>
      <c r="H552" s="128" t="str">
        <v>Constant</v>
      </c>
      <c r="I552" s="120" cm="1">
        <f t="array" ref="I552">Table_SourceData_ElectricityEFsMarketBased[Scope 3 EF (kg CO2-e/kWh)]</f>
        <v>0.1</v>
      </c>
    </row>
    <row r="553" spans="3:41" x14ac:dyDescent="0.25">
      <c r="D553" s="120" t="str">
        <v>i</v>
      </c>
      <c r="E553" s="125" t="str">
        <v>state</v>
      </c>
      <c r="F553" s="126"/>
      <c r="G553" s="120" t="str">
        <v/>
      </c>
      <c r="H553" s="275" t="str">
        <v>Input</v>
      </c>
      <c r="I553" s="120" t="str">
        <f>X_Cell_Site_State</f>
        <v>Western Australia</v>
      </c>
    </row>
    <row r="555" spans="3:41" ht="20.25" x14ac:dyDescent="0.25">
      <c r="D555" s="278" t="s">
        <v>1245</v>
      </c>
      <c r="E555" s="136" cm="1">
        <f t="array" ref="E555">Scope3_Equations.VEERG_15_12_1_2__1_UpstreamPurchasedElectricityMarketBasedVariation(I547,I548,I549,I550,I551,I552)</f>
        <v>1.5</v>
      </c>
      <c r="F555" s="137" t="str">
        <f>$E$155</f>
        <v>t CO2e</v>
      </c>
    </row>
    <row r="558" spans="3:41" x14ac:dyDescent="0.25">
      <c r="C558" s="101"/>
      <c r="D558" s="101"/>
      <c r="E558" s="101"/>
      <c r="F558" s="101"/>
      <c r="G558" s="101"/>
      <c r="H558" s="101"/>
      <c r="I558" s="101"/>
      <c r="J558" s="101"/>
      <c r="K558" s="101"/>
      <c r="L558" s="101"/>
      <c r="M558" s="101"/>
      <c r="N558" s="101"/>
      <c r="O558" s="101"/>
      <c r="P558" s="101"/>
      <c r="Q558" s="101"/>
      <c r="R558" s="101"/>
      <c r="S558" s="101"/>
      <c r="T558" s="101"/>
      <c r="U558" s="101"/>
      <c r="V558" s="101"/>
      <c r="W558" s="101"/>
      <c r="X558" s="101"/>
      <c r="Y558" s="101"/>
      <c r="Z558" s="101"/>
      <c r="AA558" s="101"/>
      <c r="AB558" s="101"/>
      <c r="AC558" s="101"/>
      <c r="AD558" s="101"/>
      <c r="AE558" s="101"/>
      <c r="AF558" s="101"/>
      <c r="AG558" s="101"/>
      <c r="AH558" s="101"/>
      <c r="AI558" s="101"/>
      <c r="AJ558" s="101"/>
      <c r="AK558" s="101"/>
      <c r="AL558" s="101"/>
      <c r="AM558" s="101"/>
      <c r="AN558" s="101"/>
      <c r="AO558" s="101"/>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8" t="s">
        <v>262</v>
      </c>
      <c r="E561" s="118" t="str" cm="1">
        <f t="array" aca="1" ref="E561" ca="1">Common_InputFunctions.Utility_DisplayFunctionName(E573)</f>
        <v>=Scope3_Equations.VEERG_15_13_1_1__1_EmissionsFromManureSentOffSite</v>
      </c>
    </row>
    <row r="564" spans="4:18" x14ac:dyDescent="0.25">
      <c r="D564" s="87" t="s">
        <v>263</v>
      </c>
      <c r="E564" s="1" t="str" cm="1">
        <f t="array" ref="E564">Scope3_Equations.VEERG_15_13_1_1__1_EmissionsFromManureSentOffSite_Variable()</f>
        <v>E</v>
      </c>
    </row>
    <row r="565" spans="4:18" x14ac:dyDescent="0.25">
      <c r="D565" s="87" t="s">
        <v>122</v>
      </c>
      <c r="E565" s="15" t="str" cm="1">
        <f t="array" ref="E565">Scope3_Equations.VEERG_15_13_1_1__1_EmissionsFromManureSentOffSite_Unit()</f>
        <v>t N2O</v>
      </c>
    </row>
    <row r="567" spans="4:18" x14ac:dyDescent="0.25">
      <c r="D567" s="34" t="s">
        <v>136</v>
      </c>
      <c r="L567" s="34" t="s">
        <v>137</v>
      </c>
    </row>
    <row r="569" spans="4:18" x14ac:dyDescent="0.25">
      <c r="D569" s="120" t="str" cm="1">
        <f t="array" ref="D569:E571">_xlfn.CHOOSECOLS(Scope3_Equations.VEERG_15_13_1_1__1_EmissionsFromManureSentOffSite_Arguments(),1,2)</f>
        <v>E_N2O</v>
      </c>
      <c r="E569" s="125" t="str">
        <v>direct nitrous oxide emissions from application of manure to soils outside of scope 1 boundary</v>
      </c>
      <c r="F569" s="133"/>
      <c r="G569" s="126"/>
      <c r="H569" s="120" t="str" cm="1">
        <f t="array" ref="H569:I571">_xlfn.CHOOSECOLS(Scope3_Equations.VEERG_15_13_1_1__1_EmissionsFromManureSentOffSite_Arguments(),3,4)</f>
        <v>t N2O</v>
      </c>
      <c r="I569" s="128" t="str">
        <v>Calculated</v>
      </c>
      <c r="J569" s="120">
        <f>VEERG_5_2_1_1__1_OrganicFertiliserApplicationN2OEmissions_Result_Method1</f>
        <v>7.8571428571428577E-3</v>
      </c>
      <c r="L569" s="120" t="str" cm="1">
        <f t="array" ref="L569:M571">_xlfn.CHOOSECOLS(Scope3_Equations.VEERG_15_13_1_1__1_EmissionsFromManureSentOffSite_Arguments(),1,2)</f>
        <v>E_N2O</v>
      </c>
      <c r="M569" s="125" t="str">
        <v>direct nitrous oxide emissions from application of manure to soils outside of scope 1 boundary</v>
      </c>
      <c r="N569" s="133"/>
      <c r="O569" s="126"/>
      <c r="P569" s="120" t="str" cm="1">
        <f t="array" ref="P569:Q571">_xlfn.CHOOSECOLS(Scope3_Equations.VEERG_15_13_1_1__1_EmissionsFromManureSentOffSite_Arguments(),3,4)</f>
        <v>t N2O</v>
      </c>
      <c r="Q569" s="128" t="str">
        <v>Calculated</v>
      </c>
      <c r="R569" s="120">
        <f>VEERG_5_2_1_1__1_OrganicFertiliserApplicationN2OEmissions_Result_Method2</f>
        <v>1.5714285714285715E-2</v>
      </c>
    </row>
    <row r="570" spans="4:18" x14ac:dyDescent="0.25">
      <c r="D570" s="120" t="str">
        <v>E_ad</v>
      </c>
      <c r="E570" s="125" t="str">
        <v>nitrous oxide emissions from atmospheric deposition of manure to soils</v>
      </c>
      <c r="F570" s="133"/>
      <c r="G570" s="126"/>
      <c r="H570" s="120" t="str">
        <v>t N2O</v>
      </c>
      <c r="I570" s="128" t="str">
        <v>Calculated</v>
      </c>
      <c r="J570" s="120">
        <f>VEERG_5_4_1_3__1_OrganicFertiliserAtmosphericDepositionN2OEmissions_Result_Method1</f>
        <v>2.31E-3</v>
      </c>
      <c r="L570" s="120" t="str">
        <v>E_ad</v>
      </c>
      <c r="M570" s="125" t="str">
        <v>nitrous oxide emissions from atmospheric deposition of manure to soils</v>
      </c>
      <c r="N570" s="133"/>
      <c r="O570" s="126"/>
      <c r="P570" s="120" t="str">
        <v>t N2O</v>
      </c>
      <c r="Q570" s="128" t="str">
        <v>Calculated</v>
      </c>
      <c r="R570" s="120">
        <f>VEERG_5_4_1_3__1_OrganicFertiliserAtmosphericDepositionN2OEmissions_Result_Method2</f>
        <v>4.62E-3</v>
      </c>
    </row>
    <row r="571" spans="4:18" x14ac:dyDescent="0.25">
      <c r="D571" s="120" t="str">
        <v>E_leach</v>
      </c>
      <c r="E571" s="125" t="str">
        <v>nitrous oxide emissions from nitrogen leaching and runoff of manure to soils</v>
      </c>
      <c r="F571" s="133"/>
      <c r="G571" s="126"/>
      <c r="H571" s="120" t="str">
        <v>t N2O</v>
      </c>
      <c r="I571" s="128" t="str">
        <v>Calculated</v>
      </c>
      <c r="J571" s="120">
        <f>VEERG_5_5_1_1__1_FertiliserLeachingAndRunoffN2OEmissions_Result_Method1</f>
        <v>4.1485714285714277E-3</v>
      </c>
      <c r="L571" s="120" t="str">
        <v>E_leach</v>
      </c>
      <c r="M571" s="125" t="str">
        <v>nitrous oxide emissions from nitrogen leaching and runoff of manure to soils</v>
      </c>
      <c r="N571" s="133"/>
      <c r="O571" s="126"/>
      <c r="P571" s="120" t="str">
        <v>t N2O</v>
      </c>
      <c r="Q571" s="128" t="str">
        <v>Calculated</v>
      </c>
      <c r="R571" s="120">
        <f>VEERG_5_5_1_1__1_FertiliserLeachingAndRunoffN2OEmissions_Result_Method2</f>
        <v>8.2971428571428554E-3</v>
      </c>
    </row>
    <row r="573" spans="4:18" ht="20.25" x14ac:dyDescent="0.25">
      <c r="D573" s="278" t="s">
        <v>1245</v>
      </c>
      <c r="E573" s="136" cm="1">
        <f t="array" ref="E573">Scope3_Equations.VEERG_15_13_1_1__1_EmissionsFromManureSentOffSite(J569,J570,J571)</f>
        <v>1.4315714285714286E-2</v>
      </c>
      <c r="F573" s="137" t="str">
        <f>$E$565</f>
        <v>t N2O</v>
      </c>
      <c r="L573" s="278" t="s">
        <v>1245</v>
      </c>
      <c r="M573" s="136" cm="1">
        <f t="array" ref="M573">Scope3_Equations.VEERG_15_13_1_1__1_EmissionsFromManureSentOffSite(R569,R570,R571)</f>
        <v>2.8631428571428572E-2</v>
      </c>
      <c r="N573" s="137" t="str">
        <f>$E$565</f>
        <v>t N2O</v>
      </c>
    </row>
    <row r="575" spans="4:18" x14ac:dyDescent="0.25">
      <c r="D575" s="132" t="str" cm="1">
        <f t="array" ref="D575:E576">Common_Equations.Common_ConvertN2OToCO2e_Arguments()</f>
        <v>EN2O</v>
      </c>
      <c r="E575" s="138" t="str">
        <v>Nitrous oxide emissions (t N2O)</v>
      </c>
      <c r="F575" s="139"/>
      <c r="G575" s="25">
        <f>E573</f>
        <v>1.4315714285714286E-2</v>
      </c>
      <c r="L575" s="132" t="str" cm="1">
        <f t="array" ref="L575:M576">Common_Equations.Common_ConvertN2OToCO2e_Arguments()</f>
        <v>EN2O</v>
      </c>
      <c r="M575" s="138" t="str">
        <v>Nitrous oxide emissions (t N2O)</v>
      </c>
      <c r="N575" s="139"/>
      <c r="O575" s="25">
        <f>M573</f>
        <v>2.8631428571428572E-2</v>
      </c>
    </row>
    <row r="576" spans="4:18" x14ac:dyDescent="0.25">
      <c r="D576" s="132" t="str">
        <v>GWPN2O</v>
      </c>
      <c r="E576" s="138" t="str">
        <v>Global warming potential for nitrous oxide (t CO2-e / t N2O)</v>
      </c>
      <c r="F576" s="139"/>
      <c r="G576" s="25">
        <f>Common_InputFunctions.Utility_LookupValueInTableNumber("N2O",Table_GWPData[Gas],Table_GWPData[CO2-e factor])</f>
        <v>265</v>
      </c>
      <c r="L576" s="132" t="str">
        <v>GWPN2O</v>
      </c>
      <c r="M576" s="138" t="str">
        <v>Global warming potential for nitrous oxide (t CO2-e / t N2O)</v>
      </c>
      <c r="N576" s="139"/>
      <c r="O576" s="25">
        <f>Common_InputFunctions.Utility_LookupValueInTableNumber("N2O",Table_GWPData[Gas],Table_GWPData[CO2-e factor])</f>
        <v>265</v>
      </c>
    </row>
    <row r="578" spans="3:41" ht="18.75" x14ac:dyDescent="0.25">
      <c r="D578" s="101" t="s">
        <v>412</v>
      </c>
      <c r="E578" s="101" cm="1">
        <f t="array" ref="E578">Common_Equations.Common_ConvertN2OToCO2e(G575,G576)</f>
        <v>3.7936642857142857</v>
      </c>
      <c r="F578" s="140" t="str" cm="1">
        <f t="array" ref="F578">Common_Equations.Common_ConvertN2OToCO2e_Unit()</f>
        <v>t CO2e</v>
      </c>
      <c r="L578" s="101" t="s">
        <v>412</v>
      </c>
      <c r="M578" s="101" cm="1">
        <f t="array" ref="M578">Common_Equations.Common_ConvertN2OToCO2e(O575,O576)</f>
        <v>7.5873285714285714</v>
      </c>
      <c r="N578" s="140" t="str" cm="1">
        <f t="array" ref="N578">Common_Equations.Common_ConvertN2OToCO2e_Unit()</f>
        <v>t CO2e</v>
      </c>
    </row>
    <row r="581" spans="3:41" x14ac:dyDescent="0.25">
      <c r="C581" s="101"/>
      <c r="D581" s="101"/>
      <c r="E581" s="101"/>
      <c r="F581" s="101"/>
      <c r="G581" s="101"/>
      <c r="H581" s="101"/>
      <c r="I581" s="101"/>
      <c r="J581" s="101"/>
      <c r="K581" s="101"/>
      <c r="L581" s="101"/>
      <c r="M581" s="101"/>
      <c r="N581" s="101"/>
      <c r="O581" s="101"/>
      <c r="P581" s="101"/>
      <c r="Q581" s="101"/>
      <c r="R581" s="101"/>
      <c r="S581" s="101"/>
      <c r="T581" s="101"/>
      <c r="U581" s="101"/>
      <c r="V581" s="101"/>
      <c r="W581" s="101"/>
      <c r="X581" s="101"/>
      <c r="Y581" s="101"/>
      <c r="Z581" s="101"/>
      <c r="AA581" s="101"/>
      <c r="AB581" s="101"/>
      <c r="AC581" s="101"/>
      <c r="AD581" s="101"/>
      <c r="AE581" s="101"/>
      <c r="AF581" s="101"/>
      <c r="AG581" s="101"/>
      <c r="AH581" s="101"/>
      <c r="AI581" s="101"/>
      <c r="AJ581" s="101"/>
      <c r="AK581" s="101"/>
      <c r="AL581" s="101"/>
      <c r="AM581" s="101"/>
      <c r="AN581" s="101"/>
      <c r="AO581" s="101"/>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7" t="s">
        <v>263</v>
      </c>
      <c r="E585" s="1" t="str" cm="1">
        <f t="array" ref="E585">Scope3_Equations.VEERG_15_13_1_3__1_EmissionsFromSolidWasteTreatmentFacility_Variable()</f>
        <v>E</v>
      </c>
    </row>
    <row r="586" spans="3:41" x14ac:dyDescent="0.25">
      <c r="D586" s="87" t="s">
        <v>122</v>
      </c>
      <c r="E586" s="15" t="str" cm="1">
        <f t="array" ref="E586">Scope3_Equations.VEERG_15_13_1_3__1_EmissionsFromSolidWasteTreatmentFacility_Unit()</f>
        <v>t CO2e</v>
      </c>
    </row>
    <row r="588" spans="3:41" ht="20.25" x14ac:dyDescent="0.25">
      <c r="D588" s="278" t="s">
        <v>1245</v>
      </c>
      <c r="E588" s="136">
        <f>VEERG_10_1_1_1__1_EmissionsFromWasteManagement_Scope3_Result_Method1</f>
        <v>441.15000000000003</v>
      </c>
      <c r="F588" s="137" t="str">
        <f>E586</f>
        <v>t CO2e</v>
      </c>
    </row>
    <row r="591" spans="3:41" x14ac:dyDescent="0.25">
      <c r="C591" s="101"/>
      <c r="D591" s="101"/>
      <c r="E591" s="101"/>
      <c r="F591" s="101"/>
      <c r="G591" s="101"/>
      <c r="H591" s="101"/>
      <c r="I591" s="101"/>
      <c r="J591" s="101"/>
      <c r="K591" s="101"/>
      <c r="L591" s="101"/>
      <c r="M591" s="101"/>
      <c r="N591" s="101"/>
      <c r="O591" s="101"/>
      <c r="P591" s="101"/>
      <c r="Q591" s="101"/>
      <c r="R591" s="101"/>
      <c r="S591" s="101"/>
      <c r="T591" s="101"/>
      <c r="U591" s="101"/>
      <c r="V591" s="101"/>
      <c r="W591" s="101"/>
      <c r="X591" s="101"/>
      <c r="Y591" s="101"/>
      <c r="Z591" s="101"/>
      <c r="AA591" s="101"/>
      <c r="AB591" s="101"/>
      <c r="AC591" s="101"/>
      <c r="AD591" s="101"/>
      <c r="AE591" s="101"/>
      <c r="AF591" s="101"/>
      <c r="AG591" s="101"/>
      <c r="AH591" s="101"/>
      <c r="AI591" s="101"/>
      <c r="AJ591" s="101"/>
      <c r="AK591" s="101"/>
      <c r="AL591" s="101"/>
      <c r="AM591" s="101"/>
      <c r="AN591" s="101"/>
      <c r="AO591" s="101"/>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8" t="s">
        <v>262</v>
      </c>
      <c r="E594" s="118" t="str" cm="1">
        <f t="array" aca="1" ref="E594" ca="1">Common_InputFunctions.Utility_DisplayFunctionName(J609)</f>
        <v>=Scope3_Equations.VEERG_15_14_1_1__1_EmbeddedEmissionsFromUpstreamFreight</v>
      </c>
    </row>
    <row r="598" spans="4:13" x14ac:dyDescent="0.25">
      <c r="D598" s="87" t="s">
        <v>263</v>
      </c>
      <c r="E598" s="1" t="str" cm="1">
        <f t="array" ref="E598">Scope3_Equations.VEERG_15_14_1_1__1_EmbeddedEmissionsFromUpstreamFreight_Variable()</f>
        <v>E</v>
      </c>
    </row>
    <row r="599" spans="4:13" x14ac:dyDescent="0.25">
      <c r="D599" s="87" t="s">
        <v>122</v>
      </c>
      <c r="E599" s="15" t="str" cm="1">
        <f t="array" ref="E599">Scope3_Equations.VEERG_15_14_1_1__1_EmbeddedEmissionsFromUpstreamFreight_Unit()</f>
        <v>t CO2e</v>
      </c>
    </row>
    <row r="601" spans="4:13" x14ac:dyDescent="0.25">
      <c r="D601" s="120" t="str" cm="1">
        <f t="array" ref="D601:E604">_xlfn.CHOOSECOLS(Scope3_Equations.VEERG_15_14_1_1__1_EmbeddedEmissionsFromUpstreamFreight_Arguments(),1,2)</f>
        <v>W_f</v>
      </c>
      <c r="E601" s="125" t="str">
        <v>total mass of goods transported per freight type f</v>
      </c>
      <c r="F601" s="126"/>
      <c r="G601" s="120" t="str" cm="1">
        <f t="array" ref="G601:H604">_xlfn.CHOOSECOLS(Scope3_Equations.VEERG_15_14_1_1__1_EmbeddedEmissionsFromUpstreamFreight_Arguments(),3,4)</f>
        <v>t</v>
      </c>
      <c r="H601" s="275" t="str">
        <v>Input</v>
      </c>
    </row>
    <row r="602" spans="4:13" x14ac:dyDescent="0.25">
      <c r="D602" s="120" t="str">
        <v>D_f</v>
      </c>
      <c r="E602" s="125" t="str">
        <v>total distance transported per freight type f</v>
      </c>
      <c r="F602" s="126"/>
      <c r="G602" s="120" t="str">
        <v>km</v>
      </c>
      <c r="H602" s="275" t="str">
        <v>Input</v>
      </c>
    </row>
    <row r="603" spans="4:13" x14ac:dyDescent="0.25">
      <c r="D603" s="120" t="str">
        <v>EF_f</v>
      </c>
      <c r="E603" s="125" t="str">
        <v>emission factor for freight type f</v>
      </c>
      <c r="F603" s="126"/>
      <c r="G603" s="120" t="str">
        <v>t CO2e/(t km)</v>
      </c>
      <c r="H603" s="128" t="str">
        <v>Constant</v>
      </c>
    </row>
    <row r="604" spans="4:13" x14ac:dyDescent="0.25">
      <c r="D604" s="120" t="str">
        <v>f</v>
      </c>
      <c r="E604" s="125" t="str">
        <v>freight type</v>
      </c>
      <c r="F604" s="126"/>
      <c r="G604" s="120" t="str">
        <v/>
      </c>
      <c r="H604" s="275" t="str">
        <v>Input</v>
      </c>
    </row>
    <row r="606" spans="4:13" ht="18.75" x14ac:dyDescent="0.25">
      <c r="D606" s="267" t="s">
        <v>1109</v>
      </c>
    </row>
    <row r="608" spans="4:13" ht="17.25" x14ac:dyDescent="0.25">
      <c r="D608" s="94" t="s">
        <v>1246</v>
      </c>
      <c r="E608" s="94" t="s">
        <v>1247</v>
      </c>
      <c r="F608" s="94" t="s">
        <v>1248</v>
      </c>
      <c r="G608" s="124" t="s">
        <v>1249</v>
      </c>
      <c r="H608" s="124" t="s">
        <v>1139</v>
      </c>
      <c r="I608" s="94" t="s">
        <v>1187</v>
      </c>
      <c r="J608" s="124" t="s">
        <v>1142</v>
      </c>
      <c r="K608" s="94" t="s">
        <v>1143</v>
      </c>
      <c r="L608" s="94" t="s">
        <v>1144</v>
      </c>
      <c r="M608" s="94" t="s">
        <v>1145</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1226</v>
      </c>
      <c r="H609" s="25" t="s">
        <v>1226</v>
      </c>
      <c r="I609" s="85">
        <v>10</v>
      </c>
      <c r="J609" s="25" cm="1">
        <f t="array" ref="J609">Scope3_Equations.VEERG_15_14_1_1__1_EmbeddedEmissionsFromUpstreamFreight(E609,F609,I609)</f>
        <v>5127200</v>
      </c>
      <c r="K609" s="43"/>
      <c r="L609" s="23"/>
      <c r="M609" s="43"/>
    </row>
    <row r="610" spans="4:13" x14ac:dyDescent="0.25">
      <c r="D610" s="25" t="str">
        <v>Fertiliser supplier to farm</v>
      </c>
      <c r="E610" s="25">
        <v>10</v>
      </c>
      <c r="F610" s="25">
        <v>390</v>
      </c>
      <c r="G610" s="25" t="s">
        <v>1226</v>
      </c>
      <c r="H610" s="25" t="s">
        <v>1226</v>
      </c>
      <c r="I610" s="85">
        <v>5</v>
      </c>
      <c r="J610" s="25" cm="1">
        <f t="array" ref="J610">Scope3_Equations.VEERG_15_14_1_1__1_EmbeddedEmissionsFromUpstreamFreight(E610,F610,I610)</f>
        <v>19500</v>
      </c>
      <c r="K610" s="43"/>
      <c r="L610" s="23"/>
      <c r="M610" s="43"/>
    </row>
    <row r="611" spans="4:13" x14ac:dyDescent="0.25">
      <c r="D611" s="25">
        <v>0</v>
      </c>
      <c r="E611" s="25">
        <v>0</v>
      </c>
      <c r="F611" s="25">
        <v>0</v>
      </c>
      <c r="G611" s="25" t="s">
        <v>1226</v>
      </c>
      <c r="H611" s="25" t="s">
        <v>1226</v>
      </c>
      <c r="I611" s="85"/>
      <c r="J611" s="25" cm="1">
        <f t="array" ref="J611">Scope3_Equations.VEERG_15_14_1_1__1_EmbeddedEmissionsFromUpstreamFreight(E611,F611,I611)</f>
        <v>0</v>
      </c>
      <c r="K611" s="43"/>
      <c r="L611" s="23"/>
      <c r="M611" s="43"/>
    </row>
    <row r="612" spans="4:13" x14ac:dyDescent="0.25">
      <c r="D612" s="25">
        <v>0</v>
      </c>
      <c r="E612" s="25">
        <v>0</v>
      </c>
      <c r="F612" s="25">
        <v>0</v>
      </c>
      <c r="G612" s="25" t="s">
        <v>1226</v>
      </c>
      <c r="H612" s="25" t="s">
        <v>1226</v>
      </c>
      <c r="I612" s="85"/>
      <c r="J612" s="25" cm="1">
        <f t="array" ref="J612">Scope3_Equations.VEERG_15_14_1_1__1_EmbeddedEmissionsFromUpstreamFreight(E612,F612,I612)</f>
        <v>0</v>
      </c>
      <c r="K612" s="43"/>
      <c r="L612" s="23"/>
      <c r="M612" s="43"/>
    </row>
    <row r="613" spans="4:13" x14ac:dyDescent="0.25">
      <c r="D613" s="25">
        <v>0</v>
      </c>
      <c r="E613" s="25">
        <v>0</v>
      </c>
      <c r="F613" s="25">
        <v>0</v>
      </c>
      <c r="G613" s="25" t="s">
        <v>1226</v>
      </c>
      <c r="H613" s="25" t="s">
        <v>1226</v>
      </c>
      <c r="I613" s="85"/>
      <c r="J613" s="25" cm="1">
        <f t="array" ref="J613">Scope3_Equations.VEERG_15_14_1_1__1_EmbeddedEmissionsFromUpstreamFreight(E613,F613,I613)</f>
        <v>0</v>
      </c>
      <c r="K613" s="43"/>
      <c r="L613" s="23"/>
      <c r="M613" s="43"/>
    </row>
    <row r="614" spans="4:13" x14ac:dyDescent="0.25">
      <c r="D614" s="25">
        <v>0</v>
      </c>
      <c r="E614" s="25">
        <v>0</v>
      </c>
      <c r="F614" s="25">
        <v>0</v>
      </c>
      <c r="G614" s="25" t="s">
        <v>1226</v>
      </c>
      <c r="H614" s="25" t="s">
        <v>1226</v>
      </c>
      <c r="I614" s="85"/>
      <c r="J614" s="25" cm="1">
        <f t="array" ref="J614">Scope3_Equations.VEERG_15_14_1_1__1_EmbeddedEmissionsFromUpstreamFreight(E614,F614,I614)</f>
        <v>0</v>
      </c>
      <c r="K614" s="43"/>
      <c r="L614" s="23"/>
      <c r="M614" s="43"/>
    </row>
    <row r="615" spans="4:13" x14ac:dyDescent="0.25">
      <c r="D615" s="25">
        <v>0</v>
      </c>
      <c r="E615" s="25">
        <v>0</v>
      </c>
      <c r="F615" s="25">
        <v>0</v>
      </c>
      <c r="G615" s="25" t="s">
        <v>1226</v>
      </c>
      <c r="H615" s="25" t="s">
        <v>1226</v>
      </c>
      <c r="I615" s="85"/>
      <c r="J615" s="25" cm="1">
        <f t="array" ref="J615">Scope3_Equations.VEERG_15_14_1_1__1_EmbeddedEmissionsFromUpstreamFreight(E615,F615,I615)</f>
        <v>0</v>
      </c>
      <c r="K615" s="43"/>
      <c r="L615" s="23"/>
      <c r="M615" s="43"/>
    </row>
    <row r="616" spans="4:13" x14ac:dyDescent="0.25">
      <c r="D616" s="25">
        <v>0</v>
      </c>
      <c r="E616" s="25">
        <v>0</v>
      </c>
      <c r="F616" s="25">
        <v>0</v>
      </c>
      <c r="G616" s="25" t="s">
        <v>1226</v>
      </c>
      <c r="H616" s="25" t="s">
        <v>1226</v>
      </c>
      <c r="I616" s="85"/>
      <c r="J616" s="25" cm="1">
        <f t="array" ref="J616">Scope3_Equations.VEERG_15_14_1_1__1_EmbeddedEmissionsFromUpstreamFreight(E616,F616,I616)</f>
        <v>0</v>
      </c>
      <c r="K616" s="43"/>
      <c r="L616" s="23"/>
      <c r="M616" s="43"/>
    </row>
    <row r="617" spans="4:13" x14ac:dyDescent="0.25">
      <c r="D617" s="25">
        <v>0</v>
      </c>
      <c r="E617" s="25">
        <v>0</v>
      </c>
      <c r="F617" s="25">
        <v>0</v>
      </c>
      <c r="G617" s="25" t="s">
        <v>1226</v>
      </c>
      <c r="H617" s="25" t="s">
        <v>1226</v>
      </c>
      <c r="I617" s="85"/>
      <c r="J617" s="25" cm="1">
        <f t="array" ref="J617">Scope3_Equations.VEERG_15_14_1_1__1_EmbeddedEmissionsFromUpstreamFreight(E617,F617,I617)</f>
        <v>0</v>
      </c>
      <c r="K617" s="43"/>
      <c r="L617" s="23"/>
      <c r="M617" s="43"/>
    </row>
    <row r="618" spans="4:13" x14ac:dyDescent="0.25">
      <c r="D618" s="25">
        <v>0</v>
      </c>
      <c r="E618" s="25">
        <v>0</v>
      </c>
      <c r="F618" s="25">
        <v>0</v>
      </c>
      <c r="G618" s="25" t="s">
        <v>1226</v>
      </c>
      <c r="H618" s="25" t="s">
        <v>1226</v>
      </c>
      <c r="I618" s="85"/>
      <c r="J618" s="25" cm="1">
        <f t="array" ref="J618">Scope3_Equations.VEERG_15_14_1_1__1_EmbeddedEmissionsFromUpstreamFreight(E618,F618,I618)</f>
        <v>0</v>
      </c>
      <c r="K618" s="43"/>
      <c r="L618" s="23"/>
      <c r="M618" s="43"/>
    </row>
    <row r="620" spans="4:13" x14ac:dyDescent="0.25">
      <c r="D620" s="142" t="s">
        <v>1250</v>
      </c>
      <c r="E620" s="101" t="s">
        <v>1226</v>
      </c>
      <c r="F620" s="140" t="str">
        <f>$E$104</f>
        <v>t CO2e</v>
      </c>
    </row>
    <row r="621" spans="4:13" x14ac:dyDescent="0.25">
      <c r="D621" s="142" t="s">
        <v>1251</v>
      </c>
      <c r="E621" s="101">
        <f>SUM(J609:J618)</f>
        <v>5146700</v>
      </c>
      <c r="F621" s="140" t="str">
        <f>$E$104</f>
        <v>t CO2e</v>
      </c>
    </row>
    <row r="624" spans="4:13" ht="18.75" x14ac:dyDescent="0.25">
      <c r="D624" s="267" t="s">
        <v>1119</v>
      </c>
    </row>
    <row r="626" spans="4:13" ht="17.25" x14ac:dyDescent="0.25">
      <c r="D626" s="94" t="s">
        <v>1246</v>
      </c>
      <c r="E626" s="94" t="s">
        <v>1247</v>
      </c>
      <c r="F626" s="94" t="s">
        <v>1248</v>
      </c>
      <c r="G626" s="124" t="s">
        <v>1249</v>
      </c>
      <c r="H626" s="124" t="s">
        <v>1139</v>
      </c>
      <c r="I626" s="94" t="s">
        <v>1187</v>
      </c>
      <c r="J626" s="124" t="s">
        <v>1142</v>
      </c>
      <c r="K626" s="94" t="s">
        <v>1143</v>
      </c>
      <c r="L626" s="94" t="s">
        <v>1144</v>
      </c>
      <c r="M626" s="94" t="s">
        <v>1145</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1226</v>
      </c>
      <c r="H627" s="25" t="s">
        <v>1226</v>
      </c>
      <c r="I627" s="85">
        <v>6.4</v>
      </c>
      <c r="J627" s="25" cm="1">
        <f t="array" ref="J627">Scope3_Equations.VEERG_15_14_1_1__1_EmbeddedEmissionsFromUpstreamFreight(E627,F627,I627)</f>
        <v>432640</v>
      </c>
      <c r="K627" s="43"/>
      <c r="L627" s="23"/>
      <c r="M627" s="43"/>
    </row>
    <row r="628" spans="4:13" x14ac:dyDescent="0.25">
      <c r="D628" s="25">
        <v>0</v>
      </c>
      <c r="E628" s="25">
        <v>0</v>
      </c>
      <c r="F628" s="25">
        <v>0</v>
      </c>
      <c r="G628" s="25" t="s">
        <v>1226</v>
      </c>
      <c r="H628" s="25" t="s">
        <v>1226</v>
      </c>
      <c r="I628" s="85"/>
      <c r="J628" s="25" cm="1">
        <f t="array" ref="J628">Scope3_Equations.VEERG_15_14_1_1__1_EmbeddedEmissionsFromUpstreamFreight(E628,F628,I628)</f>
        <v>0</v>
      </c>
      <c r="K628" s="43"/>
      <c r="L628" s="23"/>
      <c r="M628" s="43"/>
    </row>
    <row r="629" spans="4:13" x14ac:dyDescent="0.25">
      <c r="D629" s="25">
        <v>0</v>
      </c>
      <c r="E629" s="25">
        <v>0</v>
      </c>
      <c r="F629" s="25">
        <v>0</v>
      </c>
      <c r="G629" s="25" t="s">
        <v>1226</v>
      </c>
      <c r="H629" s="25" t="s">
        <v>1226</v>
      </c>
      <c r="I629" s="85"/>
      <c r="J629" s="25" cm="1">
        <f t="array" ref="J629">Scope3_Equations.VEERG_15_14_1_1__1_EmbeddedEmissionsFromUpstreamFreight(E629,F629,I629)</f>
        <v>0</v>
      </c>
      <c r="K629" s="43"/>
      <c r="L629" s="23"/>
      <c r="M629" s="43"/>
    </row>
    <row r="630" spans="4:13" x14ac:dyDescent="0.25">
      <c r="D630" s="25">
        <v>0</v>
      </c>
      <c r="E630" s="25">
        <v>0</v>
      </c>
      <c r="F630" s="25">
        <v>0</v>
      </c>
      <c r="G630" s="25" t="s">
        <v>1226</v>
      </c>
      <c r="H630" s="25" t="s">
        <v>1226</v>
      </c>
      <c r="I630" s="85"/>
      <c r="J630" s="25" cm="1">
        <f t="array" ref="J630">Scope3_Equations.VEERG_15_14_1_1__1_EmbeddedEmissionsFromUpstreamFreight(E630,F630,I630)</f>
        <v>0</v>
      </c>
      <c r="K630" s="43"/>
      <c r="L630" s="23"/>
      <c r="M630" s="43"/>
    </row>
    <row r="631" spans="4:13" x14ac:dyDescent="0.25">
      <c r="D631" s="25">
        <v>0</v>
      </c>
      <c r="E631" s="25">
        <v>0</v>
      </c>
      <c r="F631" s="25">
        <v>0</v>
      </c>
      <c r="G631" s="25" t="s">
        <v>1226</v>
      </c>
      <c r="H631" s="25" t="s">
        <v>1226</v>
      </c>
      <c r="I631" s="85"/>
      <c r="J631" s="25" cm="1">
        <f t="array" ref="J631">Scope3_Equations.VEERG_15_14_1_1__1_EmbeddedEmissionsFromUpstreamFreight(E631,F631,I631)</f>
        <v>0</v>
      </c>
      <c r="K631" s="43"/>
      <c r="L631" s="23"/>
      <c r="M631" s="43"/>
    </row>
    <row r="632" spans="4:13" x14ac:dyDescent="0.25">
      <c r="D632" s="25">
        <v>0</v>
      </c>
      <c r="E632" s="25">
        <v>0</v>
      </c>
      <c r="F632" s="25">
        <v>0</v>
      </c>
      <c r="G632" s="25" t="s">
        <v>1226</v>
      </c>
      <c r="H632" s="25" t="s">
        <v>1226</v>
      </c>
      <c r="I632" s="85"/>
      <c r="J632" s="25" cm="1">
        <f t="array" ref="J632">Scope3_Equations.VEERG_15_14_1_1__1_EmbeddedEmissionsFromUpstreamFreight(E632,F632,I632)</f>
        <v>0</v>
      </c>
      <c r="K632" s="43"/>
      <c r="L632" s="23"/>
      <c r="M632" s="43"/>
    </row>
    <row r="633" spans="4:13" x14ac:dyDescent="0.25">
      <c r="D633" s="25">
        <v>0</v>
      </c>
      <c r="E633" s="25">
        <v>0</v>
      </c>
      <c r="F633" s="25">
        <v>0</v>
      </c>
      <c r="G633" s="25" t="s">
        <v>1226</v>
      </c>
      <c r="H633" s="25" t="s">
        <v>1226</v>
      </c>
      <c r="I633" s="85"/>
      <c r="J633" s="25" cm="1">
        <f t="array" ref="J633">Scope3_Equations.VEERG_15_14_1_1__1_EmbeddedEmissionsFromUpstreamFreight(E633,F633,I633)</f>
        <v>0</v>
      </c>
      <c r="K633" s="43"/>
      <c r="L633" s="23"/>
      <c r="M633" s="43"/>
    </row>
    <row r="634" spans="4:13" x14ac:dyDescent="0.25">
      <c r="D634" s="25">
        <v>0</v>
      </c>
      <c r="E634" s="25">
        <v>0</v>
      </c>
      <c r="F634" s="25">
        <v>0</v>
      </c>
      <c r="G634" s="25" t="s">
        <v>1226</v>
      </c>
      <c r="H634" s="25" t="s">
        <v>1226</v>
      </c>
      <c r="I634" s="85"/>
      <c r="J634" s="25" cm="1">
        <f t="array" ref="J634">Scope3_Equations.VEERG_15_14_1_1__1_EmbeddedEmissionsFromUpstreamFreight(E634,F634,I634)</f>
        <v>0</v>
      </c>
      <c r="K634" s="43"/>
      <c r="L634" s="23"/>
      <c r="M634" s="43"/>
    </row>
    <row r="635" spans="4:13" x14ac:dyDescent="0.25">
      <c r="D635" s="25">
        <v>0</v>
      </c>
      <c r="E635" s="25">
        <v>0</v>
      </c>
      <c r="F635" s="25">
        <v>0</v>
      </c>
      <c r="G635" s="25" t="s">
        <v>1226</v>
      </c>
      <c r="H635" s="25" t="s">
        <v>1226</v>
      </c>
      <c r="I635" s="85"/>
      <c r="J635" s="25" cm="1">
        <f t="array" ref="J635">Scope3_Equations.VEERG_15_14_1_1__1_EmbeddedEmissionsFromUpstreamFreight(E635,F635,I635)</f>
        <v>0</v>
      </c>
      <c r="K635" s="43"/>
      <c r="L635" s="23"/>
      <c r="M635" s="43"/>
    </row>
    <row r="636" spans="4:13" x14ac:dyDescent="0.25">
      <c r="D636" s="25">
        <v>0</v>
      </c>
      <c r="E636" s="25">
        <v>0</v>
      </c>
      <c r="F636" s="25">
        <v>0</v>
      </c>
      <c r="G636" s="25" t="s">
        <v>1226</v>
      </c>
      <c r="H636" s="25" t="s">
        <v>1226</v>
      </c>
      <c r="I636" s="85"/>
      <c r="J636" s="25" cm="1">
        <f t="array" ref="J636">Scope3_Equations.VEERG_15_14_1_1__1_EmbeddedEmissionsFromUpstreamFreight(E636,F636,I636)</f>
        <v>0</v>
      </c>
      <c r="K636" s="43"/>
      <c r="L636" s="23"/>
      <c r="M636" s="43"/>
    </row>
    <row r="638" spans="4:13" x14ac:dyDescent="0.25">
      <c r="D638" s="142" t="s">
        <v>1252</v>
      </c>
      <c r="E638" s="101" t="s">
        <v>1226</v>
      </c>
      <c r="F638" s="140" t="str">
        <f>$E$104</f>
        <v>t CO2e</v>
      </c>
    </row>
    <row r="639" spans="4:13" x14ac:dyDescent="0.25">
      <c r="D639" s="142" t="s">
        <v>1253</v>
      </c>
      <c r="E639" s="101">
        <f>SUM(J627:J636)</f>
        <v>432640</v>
      </c>
      <c r="F639" s="140" t="str">
        <f>$E$104</f>
        <v>t CO2e</v>
      </c>
    </row>
    <row r="641" spans="4:6" ht="20.25" x14ac:dyDescent="0.25">
      <c r="D641" s="135" t="s">
        <v>1139</v>
      </c>
      <c r="E641" s="136" t="s">
        <v>1226</v>
      </c>
      <c r="F641" s="137" t="str">
        <f>$E$104</f>
        <v>t CO2e</v>
      </c>
    </row>
    <row r="642" spans="4:6" ht="20.25" x14ac:dyDescent="0.25">
      <c r="D642" s="135" t="s">
        <v>1142</v>
      </c>
      <c r="E642" s="136">
        <f>VEERG_15_14_1_1__1_EmbeddedEmissionsFromUpstreamFreight_Incoming_Result_Method2+VEERG_15_14_1_1__1_EmbeddedEmissionsFromUpstreamFreight_Outgoing_Result_Method2</f>
        <v>5579340</v>
      </c>
      <c r="F642" s="137" t="str">
        <f>$E$104</f>
        <v>t CO2e</v>
      </c>
    </row>
  </sheetData>
  <dataValidations count="2">
    <dataValidation type="list" allowBlank="1" showInputMessage="1" showErrorMessage="1" sqref="J490:J499" xr:uid="{CDDA2383-8EBA-4AA3-B4DC-913E5F5DBB68}">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5F1827D4-B2A0-4264-A31B-F9BE2B860BBC}">
      <formula1>INDIRECT("Table_SourceData_DataScores_Scope3[Data source]")</formula1>
    </dataValidation>
  </dataValidations>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72DAB-3C2B-4486-BA85-720F0CF2B74C}">
  <sheetPr>
    <tabColor theme="9" tint="-0.249977111117893"/>
  </sheetPr>
  <dimension ref="A1:U160"/>
  <sheetViews>
    <sheetView showGridLines="0" topLeftCell="C56"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0" width="35" style="1" customWidth="1"/>
    <col min="11" max="11" width="5.28515625" style="1" customWidth="1"/>
    <col min="12" max="12" width="5.28515625" style="261" customWidth="1"/>
    <col min="13" max="13" width="5.28515625" style="1" customWidth="1"/>
    <col min="14" max="20" width="35" style="1" customWidth="1"/>
    <col min="21" max="21" width="5.28515625" style="1" customWidth="1"/>
    <col min="22" max="16384" width="9.140625" style="261"/>
  </cols>
  <sheetData>
    <row r="1" spans="1:21" ht="30" customHeight="1" x14ac:dyDescent="0.35">
      <c r="A1" s="16" t="e" vm="1">
        <v>#VALUE!</v>
      </c>
      <c r="C1" s="30" t="s">
        <v>1254</v>
      </c>
      <c r="D1" s="30"/>
      <c r="E1" s="30"/>
      <c r="F1" s="30"/>
      <c r="G1" s="30"/>
      <c r="H1" s="30"/>
      <c r="I1" s="30"/>
      <c r="J1" s="30"/>
      <c r="K1" s="30"/>
      <c r="M1" s="30"/>
      <c r="N1" s="30"/>
      <c r="O1" s="30"/>
      <c r="P1" s="30"/>
      <c r="Q1" s="30"/>
      <c r="R1" s="30"/>
      <c r="S1" s="30"/>
      <c r="T1" s="30"/>
      <c r="U1" s="3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8" t="s">
        <v>262</v>
      </c>
      <c r="E7" s="118" t="str">
        <f ca="1">Common_InputFunctions.Utility_DisplayFunctionName(VEERG_5_2_1_1__1_OrganicFertiliserApplicationN2OEmissions_Result_Method1)</f>
        <v>=Fertiliser_Equations_OrganicN2O.VEERG_5_2_1_1__1_OrganicFertiliserApplicationN2OEmissions</v>
      </c>
      <c r="N7" s="118" t="s">
        <v>262</v>
      </c>
      <c r="O7" s="118"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Fertiliser_Equations_OrganicN2O.VEERG_5_2_1_1__1_OrganicFertiliserApplicationN2OEmissions_Variable()</f>
        <v>E_N2O</v>
      </c>
      <c r="N10" s="87" t="s">
        <v>263</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7" t="s">
        <v>122</v>
      </c>
      <c r="E11" s="15" t="str" cm="1">
        <f t="array" ref="E11">Fertiliser_Equations_OrganicN2O.VEERG_5_2_1_1__1_OrganicFertiliserApplicationN2OEmissions_Unit()</f>
        <v>t N2O</v>
      </c>
      <c r="N11" s="87" t="s">
        <v>122</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7">_xlfn.CHOOSECOLS(Fertiliser_Equations_OrganicN2O.VEERG_5_2_1_1__1_OrganicFertiliserApplicationN2OEmissions_Arguments(), 1, 2)</f>
        <v>MNSoil_jf</v>
      </c>
      <c r="E13" s="125" t="str">
        <v>mass of nitrogen in organic fertiliser type f applied to production system j</v>
      </c>
      <c r="F13" s="133"/>
      <c r="G13" s="126"/>
      <c r="H13" s="120" t="str" cm="1">
        <f t="array" ref="H13:I17">_xlfn.CHOOSECOLS(Fertiliser_Equations_OrganicN2O.VEERG_5_2_1_1__1_OrganicFertiliserApplicationN2OEmissions_Arguments(), 3,4)</f>
        <v>kg N</v>
      </c>
      <c r="I13" s="128" t="str">
        <v>Calculated from 5.2.1.1 (2)</v>
      </c>
      <c r="J13" s="120">
        <f>X_Cell_ManureSentOffsite_MassNitrogenManure_Method1</f>
        <v>1000</v>
      </c>
      <c r="N13" s="120" t="str" cm="1">
        <f t="array" ref="N13:O17">_xlfn.CHOOSECOLS(Fertiliser_Equations_OrganicN2O.VEERG_5_2_1_1__1_OrganicFertiliserApplicationN2OEmissions_Arguments(), 1, 2)</f>
        <v>MNSoil_jf</v>
      </c>
      <c r="O13" s="125" t="str">
        <v>mass of nitrogen in organic fertiliser type f applied to production system j</v>
      </c>
      <c r="P13" s="133"/>
      <c r="Q13" s="126"/>
      <c r="R13" s="120" t="str" cm="1">
        <f t="array" ref="R13:S17">_xlfn.CHOOSECOLS(Fertiliser_Equations_OrganicN2O.VEERG_5_2_1_1__1_OrganicFertiliserApplicationN2OEmissions_Arguments(), 3,4)</f>
        <v>kg N</v>
      </c>
      <c r="S13" s="128" t="str">
        <v>Calculated from 5.2.1.1 (2)</v>
      </c>
      <c r="T13" s="120">
        <f>X_Cell_ManureSentOffsite_MassNitrogenManure_Method2</f>
        <v>2000</v>
      </c>
    </row>
    <row r="14" spans="1:21" ht="20.100000000000001" customHeight="1" x14ac:dyDescent="0.25">
      <c r="A14" s="5" t="str">
        <f>HYPERLINK("#'Input - Dairy cattle purchases'!A1", "Dairy cattle purchases")</f>
        <v>Dairy cattle purchases</v>
      </c>
      <c r="D14" s="120" t="str">
        <v>EF_N2Oi</v>
      </c>
      <c r="E14" s="125" t="str">
        <v>emission factor for direct nitrous oxide emissions from organic fertiliser applied to soils and aquatic systems in climate zone i</v>
      </c>
      <c r="F14" s="133"/>
      <c r="G14" s="126"/>
      <c r="H14" s="120" t="str">
        <v>kg N2O-N/kg N</v>
      </c>
      <c r="I14" s="128" t="str">
        <v>Lookup</v>
      </c>
      <c r="J14" s="120">
        <f>Common_InputFunctions.Utility_LookupValueInTableNumber(J17, Table_SourceData_Common_EFOrganicFertCropResidues[Climate Zone],Table_SourceData_Common_EFOrganicFertCropResidues[EFNi &amp; EFN2Oi])</f>
        <v>5.0000000000000001E-3</v>
      </c>
      <c r="N14" s="120" t="str">
        <v>EF_N2Oi</v>
      </c>
      <c r="O14" s="125" t="str">
        <v>emission factor for direct nitrous oxide emissions from organic fertiliser applied to soils and aquatic systems in climate zone i</v>
      </c>
      <c r="P14" s="133"/>
      <c r="Q14" s="126"/>
      <c r="R14" s="120" t="str">
        <v>kg N2O-N/kg N</v>
      </c>
      <c r="S14" s="128" t="str">
        <v>Lookup</v>
      </c>
      <c r="T14" s="120"/>
    </row>
    <row r="15" spans="1:21" ht="20.100000000000001" customHeight="1" x14ac:dyDescent="0.25">
      <c r="A15" s="5" t="str">
        <f>HYPERLINK("#'Input - Pasture'!A1", "Pasture")</f>
        <v>Pasture</v>
      </c>
      <c r="D15" s="120" t="str">
        <v>C_N2O</v>
      </c>
      <c r="E15" s="125" t="str">
        <v>factor to convert elemental mass of nitrous oxide to molecular mass</v>
      </c>
      <c r="F15" s="133"/>
      <c r="G15" s="126"/>
      <c r="H15" s="120" t="str">
        <v/>
      </c>
      <c r="I15" s="128" t="str">
        <v>Constant</v>
      </c>
      <c r="J15" s="120">
        <f>Common_InputFunctions.Utility_LookupValueInTableNumber("N2O",Table_GasToMolecularConversionFactor[Gas],Table_GasToMolecularConversionFactor[Conversion factor combined])</f>
        <v>1.5714285714285714</v>
      </c>
      <c r="N15" s="120" t="str">
        <v>C_N2O</v>
      </c>
      <c r="O15" s="125" t="str">
        <v>factor to convert elemental mass of nitrous oxide to molecular mass</v>
      </c>
      <c r="P15" s="133"/>
      <c r="Q15" s="126"/>
      <c r="R15" s="120" t="str">
        <v/>
      </c>
      <c r="S15" s="128" t="str">
        <v>Constant</v>
      </c>
      <c r="T15" s="120"/>
    </row>
    <row r="16" spans="1:21" ht="20.100000000000001" customHeight="1" x14ac:dyDescent="0.25">
      <c r="A16" s="5" t="str">
        <f>HYPERLINK("#'Input - Fert Prod System'!A1", "Fert Prod System")</f>
        <v>Fert Prod System</v>
      </c>
      <c r="D16" s="120" t="str">
        <v>j</v>
      </c>
      <c r="E16" s="125" t="str">
        <v>Production system</v>
      </c>
      <c r="F16" s="133"/>
      <c r="G16" s="126"/>
      <c r="H16" s="120" t="str">
        <v/>
      </c>
      <c r="I16" s="275" t="str">
        <v>Input</v>
      </c>
      <c r="J16" s="120" t="str">
        <f>X_Cell_ManureSentOffsite_ManureProductionSystem</f>
        <v>Crop</v>
      </c>
      <c r="N16" s="120" t="str">
        <v>j</v>
      </c>
      <c r="O16" s="125" t="str">
        <v>Production system</v>
      </c>
      <c r="P16" s="133"/>
      <c r="Q16" s="126"/>
      <c r="R16" s="120" t="str">
        <v/>
      </c>
      <c r="S16" s="275" t="str">
        <v>Input</v>
      </c>
      <c r="T16" s="120"/>
    </row>
    <row r="17" spans="1:20" ht="20.100000000000001" customHeight="1" x14ac:dyDescent="0.25">
      <c r="A17" s="5" t="str">
        <f>HYPERLINK("#'Input - Fertiliser'!A1", "Fertiliser")</f>
        <v>Fertiliser</v>
      </c>
      <c r="D17" s="120" t="str">
        <v>i</v>
      </c>
      <c r="E17" s="125" t="str">
        <v>Wet or dry climate zone</v>
      </c>
      <c r="F17" s="133"/>
      <c r="G17" s="126"/>
      <c r="H17" s="120" t="str">
        <v/>
      </c>
      <c r="I17" s="275" t="str">
        <v>Input</v>
      </c>
      <c r="J17" s="120" t="str">
        <f>X_Cell_Site_WetOrDryClimateZone</f>
        <v>Dry climate zone</v>
      </c>
      <c r="N17" s="120" t="str">
        <v>i</v>
      </c>
      <c r="O17" s="125" t="str">
        <v>Wet or dry climate zone</v>
      </c>
      <c r="P17" s="133"/>
      <c r="Q17" s="126"/>
      <c r="R17" s="120" t="str">
        <v/>
      </c>
      <c r="S17" s="275" t="str">
        <v>Input</v>
      </c>
      <c r="T17" s="120"/>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5" t="s">
        <v>644</v>
      </c>
      <c r="E19" s="136" cm="1">
        <f t="array" ref="E19">Fertiliser_Equations_OrganicN2O.VEERG_5_2_1_1__1_OrganicFertiliserApplicationN2OEmissions(J13,J14,J15)</f>
        <v>7.8571428571428577E-3</v>
      </c>
      <c r="F19" s="137" t="str">
        <f>$E$11</f>
        <v>t N2O</v>
      </c>
      <c r="N19" s="135" t="s">
        <v>644</v>
      </c>
      <c r="O19" s="136" cm="1">
        <f t="array" ref="O19">Fertiliser_Equations_OrganicN2O.VEERG_5_2_1_1__1_OrganicFertiliserApplicationN2OEmissions(T13,J14,J15)</f>
        <v>1.5714285714285715E-2</v>
      </c>
      <c r="P19" s="137" t="str">
        <f>$E$11</f>
        <v>t N2O</v>
      </c>
    </row>
    <row r="20" spans="1:20" ht="20.100000000000001" customHeight="1" x14ac:dyDescent="0.25">
      <c r="A20" s="5" t="str">
        <f>HYPERLINK("#'Input - Common farm inputs'!A1", "Common farm inputs")</f>
        <v>Common farm inputs</v>
      </c>
    </row>
    <row r="21" spans="1:20" ht="20.100000000000001" customHeight="1" x14ac:dyDescent="0.25">
      <c r="A21" s="5" t="str">
        <f>HYPERLINK("#'Input - Crop pasture farm input'!A1", "Crop pasture farm input")</f>
        <v>Crop pasture farm input</v>
      </c>
    </row>
    <row r="22" spans="1:20" ht="20.100000000000001" customHeight="1" x14ac:dyDescent="0.25">
      <c r="A22" s="5" t="str">
        <f>HYPERLINK("#'Input - Livestock farm Inputs'!A1", "Livestock farm Inputs")</f>
        <v>Livestock farm Inputs</v>
      </c>
    </row>
    <row r="23" spans="1:20" ht="20.100000000000001" customHeight="1" x14ac:dyDescent="0.25">
      <c r="A23" s="5" t="str">
        <f>HYPERLINK("#'Input - Freight'!A1", "Freight")</f>
        <v>Freight</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Solid waste'!A1", "Solid waste")</f>
        <v>Solid waste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HYPERLINK("#'Input - Data quality'!A1", "Data quality")</f>
        <v>Data quality</v>
      </c>
      <c r="D26" s="118" t="s">
        <v>262</v>
      </c>
      <c r="E26" s="118" t="str" cm="1">
        <f t="array" aca="1" ref="E26" ca="1">Common_InputFunctions.Utility_DisplayFunctionName(E35)</f>
        <v>=Fertiliser_Equations_AtmosphericDeposition.VEERG_5_4_1_3__2_MassOfNitrogenVolatilisedFromOrganicFertiliser</v>
      </c>
      <c r="N26" s="118" t="s">
        <v>262</v>
      </c>
      <c r="O26" s="118"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row>
    <row r="29" spans="1:20" ht="20.100000000000001" customHeight="1" x14ac:dyDescent="0.25">
      <c r="A29" s="6" t="s">
        <v>2</v>
      </c>
      <c r="D29" s="87" t="s">
        <v>263</v>
      </c>
      <c r="E29" s="1" t="str" cm="1">
        <f t="array" ref="E29">Fertiliser_Equations_AtmosphericDeposition.VEERG_5_4_1_3__2_MassOfNitrogenVolatilisedFromOrganicFertiliser_Variable()</f>
        <v>M_volorganicjf</v>
      </c>
      <c r="N29" s="87" t="s">
        <v>263</v>
      </c>
      <c r="O29" s="1" t="str" cm="1">
        <f t="array" ref="O29">Fertiliser_Equations_AtmosphericDeposition.VEERG_5_4_1_3__2_MassOfNitrogenVolatilisedFromOrganicFertiliser_Variable()</f>
        <v>M_volorganicjf</v>
      </c>
    </row>
    <row r="30" spans="1:20" ht="20.100000000000001" customHeight="1" x14ac:dyDescent="0.25">
      <c r="A30" s="5" t="str">
        <f>HYPERLINK("#'5.1.1.1-2 Inorganic fert N2O'!A1", "5.1.1.1-2 Inorganic fert N2O")</f>
        <v>5.1.1.1-2 Inorganic fert N2O</v>
      </c>
      <c r="D30" s="87" t="s">
        <v>122</v>
      </c>
      <c r="E30" s="15" t="str" cm="1">
        <f t="array" ref="E30">Fertiliser_Equations_AtmosphericDeposition.VEERG_5_4_1_3__2_MassOfNitrogenVolatilisedFromOrganicFertiliser_Unit()</f>
        <v>kg N</v>
      </c>
      <c r="N30" s="87" t="s">
        <v>122</v>
      </c>
      <c r="O30" s="15" t="str" cm="1">
        <f t="array" ref="O30">Fertiliser_Equations_AtmosphericDeposition.VEERG_5_4_1_3__2_MassOfNitrogenVolatilisedFromOrganicFertiliser_Unit()</f>
        <v>kg N</v>
      </c>
    </row>
    <row r="31" spans="1:20" ht="20.100000000000001" customHeight="1" x14ac:dyDescent="0.25">
      <c r="A31" s="5" t="str">
        <f>HYPERLINK("#'5.1.1.3-4 Inorganic fert CO2'!A1", "5.1.1.3-4 Inorganic fert CO2")</f>
        <v>5.1.1.3-4 Inorganic fert CO2</v>
      </c>
    </row>
    <row r="32" spans="1:20" ht="20.100000000000001" customHeight="1" x14ac:dyDescent="0.25">
      <c r="A32" s="5" t="str">
        <f>HYPERLINK("#'5.2.1.1-2 Organic Fert N2O'!A1", "5.2.1.1-2 Organic fert N2O")</f>
        <v>5.2.1.1-2 Organic fert N2O</v>
      </c>
      <c r="D32" s="120" t="str" cm="1">
        <f t="array" ref="D32:E33">_xlfn.CHOOSECOLS(Fertiliser_Equations_AtmosphericDeposition.VEERG_5_4_1_3__2_MassOfNitrogenVolatilisedFromOrganicFertiliser_Arguments(), 1, 2)</f>
        <v>MNSoil_jf</v>
      </c>
      <c r="E32" s="120" t="str">
        <v>mass of nitrogen in organic fertiliser type f applied to production system j</v>
      </c>
      <c r="F32" s="120"/>
      <c r="G32" s="120" t="str" cm="1">
        <f t="array" ref="G32:H33">_xlfn.CHOOSECOLS(Fertiliser_Equations_AtmosphericDeposition.VEERG_5_4_1_3__2_MassOfNitrogenVolatilisedFromOrganicFertiliser_Arguments(), 3,4)</f>
        <v>kg N</v>
      </c>
      <c r="H32" s="128" t="str">
        <v>Calculated from 5.2.1.1 (2)</v>
      </c>
      <c r="I32" s="120">
        <f>X_Cell_ManureSentOffsite_MassNitrogenManure_Method1</f>
        <v>1000</v>
      </c>
      <c r="N32" s="120" t="str" cm="1">
        <f t="array" ref="N32:O33">_xlfn.CHOOSECOLS(Fertiliser_Equations_AtmosphericDeposition.VEERG_5_4_1_3__2_MassOfNitrogenVolatilisedFromOrganicFertiliser_Arguments(), 1, 2)</f>
        <v>MNSoil_jf</v>
      </c>
      <c r="O32" s="120" t="str">
        <v>mass of nitrogen in organic fertiliser type f applied to production system j</v>
      </c>
      <c r="P32" s="120"/>
      <c r="Q32" s="120" t="str" cm="1">
        <f t="array" ref="Q32:R33">_xlfn.CHOOSECOLS(Fertiliser_Equations_AtmosphericDeposition.VEERG_5_4_1_3__2_MassOfNitrogenVolatilisedFromOrganicFertiliser_Arguments(), 3,4)</f>
        <v>kg N</v>
      </c>
      <c r="R32" s="128" t="str">
        <v>Calculated from 5.2.1.1 (2)</v>
      </c>
      <c r="S32" s="120">
        <f>X_Cell_ManureSentOffsite_MassNitrogenManure_Method2</f>
        <v>2000</v>
      </c>
    </row>
    <row r="33" spans="1:19" ht="20.100000000000001" customHeight="1" x14ac:dyDescent="0.25">
      <c r="A33" s="5" t="str">
        <f>HYPERLINK("#'5.3.1.1-2 Lime CO2'!A1", "5.3.1.1-2 Lime CO2")</f>
        <v>5.3.1.1-2 Lime CO2</v>
      </c>
      <c r="D33" s="120" t="str">
        <v>FracGASM_soil</v>
      </c>
      <c r="E33" s="120" t="str">
        <v>fraction of organic fertiliser N that volatilises</v>
      </c>
      <c r="F33" s="120"/>
      <c r="G33" s="120" t="str">
        <v>(kg NH3-N + NOx-N)/kg N</v>
      </c>
      <c r="H33" s="128" t="str">
        <v>Constant</v>
      </c>
      <c r="I33" s="120">
        <f>Fertiliser_FracGASMSoil_Data</f>
        <v>0.21</v>
      </c>
      <c r="N33" s="120" t="str">
        <v>FracGASM_soil</v>
      </c>
      <c r="O33" s="120" t="str">
        <v>fraction of organic fertiliser N that volatilises</v>
      </c>
      <c r="P33" s="120"/>
      <c r="Q33" s="120" t="str">
        <v>(kg NH3-N + NOx-N)/kg N</v>
      </c>
      <c r="R33" s="128" t="str">
        <v>Constant</v>
      </c>
      <c r="S33" s="120"/>
    </row>
    <row r="34" spans="1:19" ht="20.100000000000001" customHeight="1" x14ac:dyDescent="0.25">
      <c r="A34" s="5" t="str">
        <f>HYPERLINK("#'5.4.1.1-4 Atmos deposition'!A1", "5.4.1.1-4 Atmos. deposition")</f>
        <v>5.4.1.1-4 Atmos. deposition</v>
      </c>
    </row>
    <row r="35" spans="1:19" ht="20.100000000000001" customHeight="1" x14ac:dyDescent="0.25">
      <c r="A35" s="5" t="str">
        <f>HYPERLINK("#'5.5.1.1-2 Leaching and runoff'!A1", "5.5.1.1-2 Leaching &amp; runoff")</f>
        <v>5.5.1.1-2 Leaching &amp; runoff</v>
      </c>
      <c r="D35" s="142" t="s">
        <v>1255</v>
      </c>
      <c r="E35" s="101" cm="1">
        <f t="array" ref="E35">Fertiliser_Equations_AtmosphericDeposition.VEERG_5_4_1_3__2_MassOfNitrogenVolatilisedFromOrganicFertiliser(I32,I33)</f>
        <v>210</v>
      </c>
      <c r="F35" s="140" t="str">
        <f>E30</f>
        <v>kg N</v>
      </c>
      <c r="N35" s="142" t="s">
        <v>1255</v>
      </c>
      <c r="O35" s="101" cm="1">
        <f t="array" ref="O35">Fertiliser_Equations_AtmosphericDeposition.VEERG_5_4_1_3__2_MassOfNitrogenVolatilisedFromOrganicFertiliser(S32,I33)</f>
        <v>420</v>
      </c>
      <c r="P35" s="140" t="str">
        <f>O30</f>
        <v>kg N</v>
      </c>
    </row>
    <row r="36" spans="1:19" ht="20.100000000000001" customHeight="1" x14ac:dyDescent="0.25">
      <c r="A36" s="5" t="str">
        <f>HYPERLINK("#'6.2.1.1-2 Pasture residue N2O'!A1", "6.2.1.1-2 Pasture residue N2O")</f>
        <v>6.2.1.1-2 Pasture residue N2O</v>
      </c>
    </row>
    <row r="37" spans="1:19" ht="20.100000000000001" customHeight="1" x14ac:dyDescent="0.25">
      <c r="A37" s="5" t="str">
        <f>HYPERLINK("#'6.3.1.1-2 Leach runoff pasture'!A1", "6.3.1.1-2 Leach &amp; runoff (pasture)")</f>
        <v>6.3.1.1-2 Leach &amp; runoff (pasture)</v>
      </c>
    </row>
    <row r="38" spans="1:19" ht="20.100000000000001" customHeight="1" x14ac:dyDescent="0.25">
      <c r="A38" s="5" t="str">
        <f>HYPERLINK("#'8.1.1.1-2 Transport fuel'!A1", "8.1.1.1-2 Transport fuel")</f>
        <v>8.1.1.1-2 Transport fuel</v>
      </c>
    </row>
    <row r="39" spans="1:19" ht="20.100000000000001" customHeight="1" x14ac:dyDescent="0.25">
      <c r="A39" s="5" t="str">
        <f>HYPERLINK("#'8.2.1.1-2 Stationary fuel'!A1", "8.2.1.1-2 Stationary fuel")</f>
        <v>8.2.1.1-2 Stationary fuel</v>
      </c>
    </row>
    <row r="40" spans="1:19" ht="20.100000000000001" customHeight="1" x14ac:dyDescent="0.25">
      <c r="A40" s="5" t="str">
        <f>HYPERLINK("#'14.1.1-2 Purchased electricity'!A1", "14.1.1-2 Purchased electricity")</f>
        <v>14.1.1-2 Purchased electricity</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HYPERLINK("#'15 Scope 3'!A1", "15 Scope 3")</f>
        <v>15 Scope 3</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119" t="str">
        <f>HYPERLINK("#'Calcs - Manure sent off-site'!A1", "Calcs - Manure sent off-site")</f>
        <v>Calcs - Manure sent off-site</v>
      </c>
      <c r="D42" s="118" t="s">
        <v>262</v>
      </c>
      <c r="E42" s="118" t="str">
        <f ca="1">Common_InputFunctions.Utility_DisplayFunctionName(VEERG_5_4_1_3__1_OrganicFertiliserAtmosphericDepositionN2OEmissions_Result_Method1)</f>
        <v>=Fertiliser_Equations_AtmosphericDeposition.VEERG_5_4_1_3__1_OrganicFertiliserAtmosphericDepositionN2OEmissions</v>
      </c>
      <c r="N42" s="118" t="s">
        <v>262</v>
      </c>
      <c r="O42" s="118"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HYPERLINK("#'4.3.1.1-2 Methane'!A1", "4.3.1.1-2 Methane")</f>
        <v>4.3.1.1-2 Methane</v>
      </c>
    </row>
    <row r="44" spans="1:19" ht="20.100000000000001" customHeight="1" x14ac:dyDescent="0.25">
      <c r="A44" s="5" t="str">
        <f>HYPERLINK("#'4.3.1.3-4 Direct N20'!A1", "4.3.1.3-4 Direct N20")</f>
        <v>4.3.1.3-4 Direct N20</v>
      </c>
    </row>
    <row r="45" spans="1:19" ht="20.100000000000001" customHeight="1" x14ac:dyDescent="0.25">
      <c r="A45" s="5" t="str">
        <f>HYPERLINK("#'4.3.1.5 Atmos deposition'!A1", "4.3.1.5 Atmos deposition")</f>
        <v>4.3.1.5 Atmos deposition</v>
      </c>
      <c r="D45" s="87" t="s">
        <v>263</v>
      </c>
      <c r="E45" s="1" t="str" cm="1">
        <f t="array" ref="E45">Fertiliser_Equations_AtmosphericDeposition.VEERG_5_4_1_3__1_OrganicFertiliserAtmosphericDepositionN2OEmissions_Variable()</f>
        <v>E_adorganic</v>
      </c>
      <c r="N45" s="87" t="s">
        <v>263</v>
      </c>
      <c r="O45" s="1" t="str" cm="1">
        <f t="array" ref="O45">Fertiliser_Equations_AtmosphericDeposition.VEERG_5_4_1_3__1_OrganicFertiliserAtmosphericDepositionN2OEmissions_Variable()</f>
        <v>E_adorganic</v>
      </c>
    </row>
    <row r="46" spans="1:19" ht="20.100000000000001" customHeight="1" x14ac:dyDescent="0.25">
      <c r="A46" s="5" t="str">
        <f>HYPERLINK("#'4.3.1.6-7 Leaching and runoff'!A1", "4.3.1.6-7 Leaching and runoff")</f>
        <v>4.3.1.6-7 Leaching and runoff</v>
      </c>
      <c r="D46" s="87" t="s">
        <v>122</v>
      </c>
      <c r="E46" s="15" t="str" cm="1">
        <f t="array" ref="E46">Fertiliser_Equations_AtmosphericDeposition.VEERG_5_4_1_3__1_OrganicFertiliserAtmosphericDepositionN2OEmissions_Unit()</f>
        <v>t N2O</v>
      </c>
      <c r="N46" s="87" t="s">
        <v>122</v>
      </c>
      <c r="O46" s="15" t="str" cm="1">
        <f t="array" ref="O46">Fertiliser_Equations_AtmosphericDeposition.VEERG_5_4_1_3__1_OrganicFertiliserAtmosphericDepositionN2OEmissions_Unit()</f>
        <v>t N2O</v>
      </c>
    </row>
    <row r="47" spans="1:19" ht="20.100000000000001" customHeight="1" x14ac:dyDescent="0.25">
      <c r="A47" s="5" t="str">
        <f>HYPERLINK("#'4.3.1.8 Manure applied to soils'!A1", "4.3.1.8 Manure applied to soils")</f>
        <v>4.3.1.8 Manure applied to soils</v>
      </c>
    </row>
    <row r="48" spans="1:19" ht="20.100000000000001" customHeight="1" x14ac:dyDescent="0.25">
      <c r="A48" s="5" t="str">
        <f>HYPERLINK("#'4.3.1.9 Soil direct N2O'!A1", "4.3.1.9 Soil direct N2O")</f>
        <v>4.3.1.9 Soil direct N2O</v>
      </c>
      <c r="D48" s="120" t="str" cm="1">
        <f t="array" ref="D48:E53">_xlfn.CHOOSECOLS(Fertiliser_Equations_AtmosphericDeposition.VEERG_5_4_1_3__1_OrganicFertiliserAtmosphericDepositionN2OEmissions_Arguments(), 1, 2)</f>
        <v>M_volorganicjf</v>
      </c>
      <c r="E48" s="125" t="str">
        <v>mass of nitrogen volatilised from organic fertiliser applied to production system</v>
      </c>
      <c r="F48" s="126"/>
      <c r="G48" s="120" t="str" cm="1">
        <f t="array" ref="G48:H53">_xlfn.CHOOSECOLS(Fertiliser_Equations_AtmosphericDeposition.VEERG_5_4_1_3__1_OrganicFertiliserAtmosphericDepositionN2OEmissions_Arguments(), 3,4)</f>
        <v>kg N</v>
      </c>
      <c r="H48" s="128" t="str">
        <v>Calculated from 5.4.1.3 (2)</v>
      </c>
      <c r="I48" s="120">
        <f>E35</f>
        <v>210</v>
      </c>
      <c r="N48" s="120" t="str" cm="1">
        <f t="array" ref="N48:O53">_xlfn.CHOOSECOLS(Fertiliser_Equations_AtmosphericDeposition.VEERG_5_4_1_3__1_OrganicFertiliserAtmosphericDepositionN2OEmissions_Arguments(), 1, 2)</f>
        <v>M_volorganicjf</v>
      </c>
      <c r="O48" s="125" t="str">
        <v>mass of nitrogen volatilised from organic fertiliser applied to production system</v>
      </c>
      <c r="P48" s="126"/>
      <c r="Q48" s="120" t="str" cm="1">
        <f t="array" ref="Q48:R53">_xlfn.CHOOSECOLS(Fertiliser_Equations_AtmosphericDeposition.VEERG_5_4_1_3__1_OrganicFertiliserAtmosphericDepositionN2OEmissions_Arguments(), 3,4)</f>
        <v>kg N</v>
      </c>
      <c r="R48" s="128" t="str">
        <v>Calculated from 5.4.1.3 (2)</v>
      </c>
      <c r="S48" s="120">
        <f>O35</f>
        <v>420</v>
      </c>
    </row>
    <row r="49" spans="1:19" ht="20.100000000000001" customHeight="1" x14ac:dyDescent="0.25">
      <c r="A49" s="5" t="str">
        <f>HYPERLINK("#'4.3.1.10-11 Soil Atmos Dep'!A1", "4.3.1.10-11 Soil Atmos Dep")</f>
        <v>4.3.1.10-11 Soil Atmos Dep</v>
      </c>
      <c r="D49" s="120" t="str">
        <v>EF_N2Oj</v>
      </c>
      <c r="E49" s="125" t="str">
        <v>emission factor for atmospheric deposition in production system j</v>
      </c>
      <c r="F49" s="126"/>
      <c r="G49" s="120" t="str">
        <v>kg N2O-N/kg N</v>
      </c>
      <c r="H49" s="128" t="str">
        <v>Constant</v>
      </c>
      <c r="I49" s="120">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20" t="str">
        <v>EF_N2Oj</v>
      </c>
      <c r="O49" s="125" t="str">
        <v>emission factor for atmospheric deposition in production system j</v>
      </c>
      <c r="P49" s="126"/>
      <c r="Q49" s="120" t="str">
        <v>kg N2O-N/kg N</v>
      </c>
      <c r="R49" s="128" t="str">
        <v>Constant</v>
      </c>
      <c r="S49" s="120"/>
    </row>
    <row r="50" spans="1:19" ht="20.100000000000001" customHeight="1" x14ac:dyDescent="0.25">
      <c r="A50" s="5" t="str">
        <f>HYPERLINK("#'4.3.1.12-13 Soil leach runoff'!A1", "4.3.1.12-13 Soil leach runoff")</f>
        <v>4.3.1.12-13 Soil leach runoff</v>
      </c>
      <c r="D50" s="120" t="str">
        <v>C_N2O</v>
      </c>
      <c r="E50" s="125" t="str">
        <v>factor to convert elemental mass of nitrous oxide to molecular mass</v>
      </c>
      <c r="F50" s="126"/>
      <c r="G50" s="120" t="str">
        <v/>
      </c>
      <c r="H50" s="128" t="str">
        <v>Constant</v>
      </c>
      <c r="I50" s="132">
        <f>Common_InputFunctions.Utility_LookupValueInTableNumber("N2O",Table_GasToMolecularConversionFactor[Gas],Table_GasToMolecularConversionFactor[Conversion factor combined])</f>
        <v>1.5714285714285714</v>
      </c>
      <c r="N50" s="120" t="str">
        <v>C_N2O</v>
      </c>
      <c r="O50" s="125" t="str">
        <v>factor to convert elemental mass of nitrous oxide to molecular mass</v>
      </c>
      <c r="P50" s="126"/>
      <c r="Q50" s="120" t="str">
        <v/>
      </c>
      <c r="R50" s="128" t="str">
        <v>Constant</v>
      </c>
      <c r="S50" s="132"/>
    </row>
    <row r="51" spans="1:19" ht="20.100000000000001" customHeight="1" x14ac:dyDescent="0.25">
      <c r="A51" s="5" t="str">
        <f>HYPERLINK("#'3.3.1.1-2 Enteric Methane'!A1", "3.3.1.1-2 Enteric Methane")</f>
        <v>3.3.1.1-2 Enteric Methane</v>
      </c>
      <c r="D51" s="120" t="str">
        <v>j</v>
      </c>
      <c r="E51" s="125" t="str">
        <v>Production system</v>
      </c>
      <c r="F51" s="126"/>
      <c r="G51" s="120" t="str">
        <v/>
      </c>
      <c r="H51" s="275" t="str">
        <v>Input</v>
      </c>
      <c r="I51" s="120" t="str">
        <f>X_Cell_ManureSentOffsite_ManureProductionSystem</f>
        <v>Crop</v>
      </c>
      <c r="N51" s="120" t="str">
        <v>j</v>
      </c>
      <c r="O51" s="125" t="str">
        <v>Production system</v>
      </c>
      <c r="P51" s="126"/>
      <c r="Q51" s="120" t="str">
        <v/>
      </c>
      <c r="R51" s="275" t="str">
        <v>Input</v>
      </c>
      <c r="S51" s="120"/>
    </row>
    <row r="52" spans="1:19" ht="20.100000000000001" customHeight="1" x14ac:dyDescent="0.25">
      <c r="A52" s="5" t="str">
        <f>HYPERLINK("#'10.1.1-2 Solid waste treatment'!A1", "10.1.1-2 Solid waste treatment")</f>
        <v>10.1.1-2 Solid waste treatment</v>
      </c>
      <c r="D52" s="120" t="str">
        <v>ir</v>
      </c>
      <c r="E52" s="125" t="str">
        <v>irrigation method</v>
      </c>
      <c r="F52" s="126"/>
      <c r="G52" s="120" t="str">
        <v/>
      </c>
      <c r="H52" s="275" t="str">
        <v>Input</v>
      </c>
      <c r="I52" s="120" t="str">
        <f>X_Cell_ManureSentOffsite_ManureIrrigationMethod</f>
        <v>Sprinkler irrigation</v>
      </c>
      <c r="N52" s="120" t="str">
        <v>ir</v>
      </c>
      <c r="O52" s="125" t="str">
        <v>irrigation method</v>
      </c>
      <c r="P52" s="126"/>
      <c r="Q52" s="120" t="str">
        <v/>
      </c>
      <c r="R52" s="275" t="str">
        <v>Input</v>
      </c>
      <c r="S52" s="120"/>
    </row>
    <row r="53" spans="1:19" ht="20.100000000000001" customHeight="1" x14ac:dyDescent="0.25">
      <c r="A53"/>
      <c r="D53" s="120" t="str">
        <v>r</v>
      </c>
      <c r="E53" s="125" t="str">
        <v>rainfall region</v>
      </c>
      <c r="F53" s="126"/>
      <c r="G53" s="120" t="str">
        <v/>
      </c>
      <c r="H53" s="275" t="str">
        <v>Input</v>
      </c>
      <c r="I53" s="120" t="str">
        <f>X_Cell_Site_RainfallZone</f>
        <v>High rainfall</v>
      </c>
      <c r="N53" s="120" t="str">
        <v>r</v>
      </c>
      <c r="O53" s="125" t="str">
        <v>rainfall region</v>
      </c>
      <c r="P53" s="126"/>
      <c r="Q53" s="120" t="str">
        <v/>
      </c>
      <c r="R53" s="275" t="str">
        <v>Input</v>
      </c>
      <c r="S53" s="120"/>
    </row>
    <row r="54" spans="1:19" ht="20.100000000000001" customHeight="1" x14ac:dyDescent="0.25">
      <c r="A54"/>
    </row>
    <row r="55" spans="1:19" ht="20.100000000000001" customHeight="1" x14ac:dyDescent="0.25">
      <c r="A55" s="100" t="s">
        <v>1</v>
      </c>
      <c r="D55" s="135" t="s">
        <v>683</v>
      </c>
      <c r="E55" s="136" cm="1">
        <f t="array" ref="E55">Fertiliser_Equations_AtmosphericDeposition.VEERG_5_4_1_3__1_OrganicFertiliserAtmosphericDepositionN2OEmissions(I48,I49,I50)</f>
        <v>2.31E-3</v>
      </c>
      <c r="F55" s="137" t="str">
        <f>$E$46</f>
        <v>t N2O</v>
      </c>
      <c r="N55" s="135" t="s">
        <v>683</v>
      </c>
      <c r="O55" s="136" cm="1">
        <f t="array" ref="O55">Fertiliser_Equations_AtmosphericDeposition.VEERG_5_4_1_3__1_OrganicFertiliserAtmosphericDepositionN2OEmissions(S48,I49,I50)</f>
        <v>4.62E-3</v>
      </c>
      <c r="P55" s="137" t="str">
        <f>$E$46</f>
        <v>t N2O</v>
      </c>
    </row>
    <row r="56" spans="1:19" ht="20.100000000000001" customHeight="1" x14ac:dyDescent="0.25">
      <c r="A56" s="5" t="str">
        <f>HYPERLINK("#'Constants - Dairy'!A1", "Constants - Dairy")</f>
        <v>Constants - Dairy</v>
      </c>
    </row>
    <row r="57" spans="1:19" ht="20.100000000000001" customHeight="1" x14ac:dyDescent="0.25">
      <c r="A57" s="5" t="str">
        <f>HYPERLINK("#'Constants - Ag Residue'!A1", "Constants - Ag residue")</f>
        <v>Constants - Ag residue</v>
      </c>
    </row>
    <row r="58" spans="1:19" ht="20.100000000000001" customHeight="1" x14ac:dyDescent="0.25">
      <c r="A58" s="5" t="str">
        <f>HYPERLINK("#'Constants - Common Livestock'!A1", "Constants - Common Livestock")</f>
        <v>Constants - Common Livestock</v>
      </c>
    </row>
    <row r="59" spans="1:19" ht="20.100000000000001" customHeight="1" x14ac:dyDescent="0.25">
      <c r="A59" s="5" t="str">
        <f>HYPERLINK("#'Constants - Electricity'!A1", "Constants - Electricity")</f>
        <v>Constants - Electricity</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Fertiliser'!A1", "Constants - Fertiliser")</f>
        <v>Constants - Fertiliser</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HYPERLINK("#'Constants - Fuel'!A1", "Constants - Fuel")</f>
        <v>Constants - Fuel</v>
      </c>
      <c r="D61" s="118" t="s">
        <v>262</v>
      </c>
      <c r="E61" s="118" t="str" cm="1">
        <f t="array" aca="1" ref="E61" ca="1">Common_InputFunctions.Utility_DisplayFunctionName(E74)</f>
        <v>=Fertiliser_Equations_LeachingAndRunoff.VEERG_5_5_1_1__3_MassOfNitrogenLeachedFromOrganicFertiliser</v>
      </c>
      <c r="N61" s="118" t="s">
        <v>262</v>
      </c>
      <c r="O61" s="118"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Scope 3'!A1", "Constants - Scope 3")</f>
        <v>Constants - Scope 3</v>
      </c>
    </row>
    <row r="63" spans="1:19" ht="20.100000000000001" customHeight="1" x14ac:dyDescent="0.25">
      <c r="A63" s="5" t="str">
        <f>HYPERLINK("#'Constants - Common'!A1", "Constants - Common")</f>
        <v>Constants - Common</v>
      </c>
    </row>
    <row r="64" spans="1:19" ht="20.100000000000001" customHeight="1" x14ac:dyDescent="0.25">
      <c r="A64" s="5" t="str">
        <f>HYPERLINK("#'Acknowledgements'!A1", "Acknowledgements")</f>
        <v>Acknowledgements</v>
      </c>
      <c r="D64" s="87" t="s">
        <v>263</v>
      </c>
      <c r="E64" s="1" t="str" cm="1">
        <f t="array" ref="E64">Fertiliser_Equations_LeachingAndRunoff.VEERG_5_5_1_1__3_MassOfNitrogenLeachedFromOrganicFertiliser_Variable()</f>
        <v>M_leachorganicj</v>
      </c>
      <c r="N64" s="87" t="s">
        <v>263</v>
      </c>
      <c r="O64" s="1" t="str" cm="1">
        <f t="array" ref="O64">Fertiliser_Equations_LeachingAndRunoff.VEERG_5_5_1_1__3_MassOfNitrogenLeachedFromOrganicFertiliser_Variable()</f>
        <v>M_leachorganicj</v>
      </c>
    </row>
    <row r="65" spans="1:19" ht="20.100000000000001" customHeight="1" x14ac:dyDescent="0.25">
      <c r="A65" s="5" t="str">
        <f>HYPERLINK("#'Constants - Solid Waste'!A1", "Constants - Solid Waste")</f>
        <v>Constants - Solid Waste</v>
      </c>
      <c r="D65" s="87" t="s">
        <v>122</v>
      </c>
      <c r="E65" s="15" t="str" cm="1">
        <f t="array" ref="E65">Fertiliser_Equations_LeachingAndRunoff.VEERG_5_5_1_1__3_MassOfNitrogenLeachedFromOrganicFertiliser_Unit()</f>
        <v>kg N</v>
      </c>
      <c r="N65" s="87" t="s">
        <v>122</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20" t="str" cm="1">
        <f t="array" ref="D67:E72">_xlfn.CHOOSECOLS(Fertiliser_Equations_LeachingAndRunoff.VEERG_5_5_1_1__3_MassOfNitrogenLeachedFromOrganicFertiliser_Arguments(), 1, 2)</f>
        <v>MNSoil_jf</v>
      </c>
      <c r="E67" s="125" t="str">
        <v>mass of nitrogen in organic fertiliser</v>
      </c>
      <c r="F67" s="126"/>
      <c r="G67" s="120" t="str" cm="1">
        <f t="array" ref="G67:H72">_xlfn.CHOOSECOLS(Fertiliser_Equations_LeachingAndRunoff.VEERG_5_5_1_1__3_MassOfNitrogenLeachedFromOrganicFertiliser_Arguments(), 3,4)</f>
        <v>kg N</v>
      </c>
      <c r="H67" s="128" t="str">
        <v>Calculated from 5.2.1.1 (2)</v>
      </c>
      <c r="I67" s="120">
        <f>X_Cell_ManureSentOffsite_MassNitrogenManure_Method1</f>
        <v>1000</v>
      </c>
      <c r="N67" s="120" t="str" cm="1">
        <f t="array" ref="N67:O72">_xlfn.CHOOSECOLS(Fertiliser_Equations_LeachingAndRunoff.VEERG_5_5_1_1__3_MassOfNitrogenLeachedFromOrganicFertiliser_Arguments(), 1, 2)</f>
        <v>MNSoil_jf</v>
      </c>
      <c r="O67" s="125" t="str">
        <v>mass of nitrogen in organic fertiliser</v>
      </c>
      <c r="P67" s="126"/>
      <c r="Q67" s="120" t="str" cm="1">
        <f t="array" ref="Q67:R72">_xlfn.CHOOSECOLS(Fertiliser_Equations_LeachingAndRunoff.VEERG_5_5_1_1__3_MassOfNitrogenLeachedFromOrganicFertiliser_Arguments(), 3,4)</f>
        <v>kg N</v>
      </c>
      <c r="R67" s="128" t="str">
        <v>Calculated from 5.2.1.1 (2)</v>
      </c>
      <c r="S67" s="120">
        <f>X_Cell_ManureSentOffsite_MassNitrogenManure_Method2</f>
        <v>2000</v>
      </c>
    </row>
    <row r="68" spans="1:19" ht="20.100000000000001" customHeight="1" x14ac:dyDescent="0.25">
      <c r="A68"/>
      <c r="D68" s="120" t="str">
        <v>FracWETj</v>
      </c>
      <c r="E68" s="125" t="str">
        <v>fraction of N available for leaching and runoff</v>
      </c>
      <c r="F68" s="126"/>
      <c r="G68" s="120" t="str">
        <v>fraction</v>
      </c>
      <c r="H68" s="128" t="str">
        <v>Constant</v>
      </c>
      <c r="I68" s="120">
        <f>Common_InputFunctions.CommonCropping_GetFracWET(I70,I72,Table_SourceData_FracWET[Is in leaching zone],Table_SourceData_FracWET[FracWET],Table_SourceData_FracWETIrrigation[Irrigation type i],Table_SourceData_FracWETIrrigation[FracWET])</f>
        <v>1</v>
      </c>
      <c r="N68" s="120" t="str">
        <v>FracWETj</v>
      </c>
      <c r="O68" s="125" t="str">
        <v>fraction of N available for leaching and runoff</v>
      </c>
      <c r="P68" s="126"/>
      <c r="Q68" s="120" t="str">
        <v>fraction</v>
      </c>
      <c r="R68" s="128" t="str">
        <v>Constant</v>
      </c>
      <c r="S68" s="120"/>
    </row>
    <row r="69" spans="1:19" ht="20.100000000000001" customHeight="1" x14ac:dyDescent="0.25">
      <c r="A69"/>
      <c r="D69" s="120" t="str">
        <v>FracLEACH</v>
      </c>
      <c r="E69" s="125" t="str">
        <v>fraction of N that is lost through leaching and runoff</v>
      </c>
      <c r="F69" s="126"/>
      <c r="G69" s="120" t="str">
        <v>fraction</v>
      </c>
      <c r="H69" s="128" t="str">
        <v>Constant</v>
      </c>
      <c r="I69" s="120">
        <f>Fertiliser_FracLEACH_Data</f>
        <v>0.24</v>
      </c>
      <c r="N69" s="120" t="str">
        <v>FracLEACH</v>
      </c>
      <c r="O69" s="125" t="str">
        <v>fraction of N that is lost through leaching and runoff</v>
      </c>
      <c r="P69" s="126"/>
      <c r="Q69" s="120" t="str">
        <v>fraction</v>
      </c>
      <c r="R69" s="128" t="str">
        <v>Constant</v>
      </c>
      <c r="S69" s="120"/>
    </row>
    <row r="70" spans="1:19" ht="20.100000000000001" customHeight="1" x14ac:dyDescent="0.25">
      <c r="A70"/>
      <c r="D70" s="120" t="str">
        <v>z</v>
      </c>
      <c r="E70" s="125" t="str">
        <v>location in leaching zone</v>
      </c>
      <c r="F70" s="126"/>
      <c r="G70" s="120" t="str">
        <v/>
      </c>
      <c r="H70" s="275" t="str">
        <v>Input</v>
      </c>
      <c r="I70" s="120" t="str">
        <f>X_Cell_Site_LeachingZone</f>
        <v>NO - Not in leaching zone</v>
      </c>
      <c r="N70" s="120" t="str">
        <v>z</v>
      </c>
      <c r="O70" s="125" t="str">
        <v>location in leaching zone</v>
      </c>
      <c r="P70" s="126"/>
      <c r="Q70" s="120" t="str">
        <v/>
      </c>
      <c r="R70" s="275" t="str">
        <v>Input</v>
      </c>
      <c r="S70" s="120"/>
    </row>
    <row r="71" spans="1:19" ht="20.100000000000001" customHeight="1" x14ac:dyDescent="0.25">
      <c r="A71"/>
      <c r="D71" s="120" t="str">
        <v>j</v>
      </c>
      <c r="E71" s="125" t="str">
        <v>production system</v>
      </c>
      <c r="F71" s="126"/>
      <c r="G71" s="120" t="str">
        <v/>
      </c>
      <c r="H71" s="275" t="str">
        <v>Input</v>
      </c>
      <c r="I71" s="120" t="str">
        <f>X_Cell_ManureSentOffsite_ManureProductionSystem</f>
        <v>Crop</v>
      </c>
      <c r="N71" s="120" t="str">
        <v>j</v>
      </c>
      <c r="O71" s="125" t="str">
        <v>production system</v>
      </c>
      <c r="P71" s="126"/>
      <c r="Q71" s="120" t="str">
        <v/>
      </c>
      <c r="R71" s="275" t="str">
        <v>Input</v>
      </c>
      <c r="S71" s="120"/>
    </row>
    <row r="72" spans="1:19" ht="20.100000000000001" customHeight="1" x14ac:dyDescent="0.25">
      <c r="A72"/>
      <c r="D72" s="120" t="str">
        <v>ir</v>
      </c>
      <c r="E72" s="125" t="str">
        <v>irrigation method</v>
      </c>
      <c r="F72" s="126"/>
      <c r="G72" s="120" t="str">
        <v/>
      </c>
      <c r="H72" s="275" t="str">
        <v>Input</v>
      </c>
      <c r="I72" s="120" t="str">
        <f>X_Cell_ManureSentOffsite_ManureIrrigationMethod</f>
        <v>Sprinkler irrigation</v>
      </c>
      <c r="N72" s="120" t="str">
        <v>ir</v>
      </c>
      <c r="O72" s="125" t="str">
        <v>irrigation method</v>
      </c>
      <c r="P72" s="126"/>
      <c r="Q72" s="120" t="str">
        <v/>
      </c>
      <c r="R72" s="275" t="str">
        <v>Input</v>
      </c>
      <c r="S72" s="120"/>
    </row>
    <row r="73" spans="1:19" ht="20.100000000000001" customHeight="1" x14ac:dyDescent="0.25">
      <c r="A73"/>
    </row>
    <row r="74" spans="1:19" ht="20.100000000000001" customHeight="1" x14ac:dyDescent="0.25">
      <c r="A74"/>
      <c r="D74" s="142" t="s">
        <v>1256</v>
      </c>
      <c r="E74" s="101" cm="1">
        <f t="array" ref="E74">Fertiliser_Equations_LeachingAndRunoff.VEERG_5_5_1_1__3_MassOfNitrogenLeachedFromOrganicFertiliser(I67,I68,I69)</f>
        <v>240</v>
      </c>
      <c r="F74" s="140" t="str">
        <f>$E$65</f>
        <v>kg N</v>
      </c>
      <c r="N74" s="142" t="s">
        <v>1256</v>
      </c>
      <c r="O74" s="101" cm="1">
        <f t="array" ref="O74">Fertiliser_Equations_LeachingAndRunoff.VEERG_5_5_1_1__3_MassOfNitrogenLeachedFromOrganicFertiliser(S67,I68,I69)</f>
        <v>480</v>
      </c>
      <c r="P74" s="140"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8" t="s">
        <v>262</v>
      </c>
      <c r="E79" s="118" t="str">
        <f ca="1">Common_InputFunctions.Utility_DisplayFunctionName(VEERG_5_5_1_1__1_FertiliserLeachingAndRunoffN2OEmissions_Result_Method1)</f>
        <v>=Fertiliser_Equations_LeachingAndRunoff.VEERG_5_5_1_1__1_FertiliserLeachingAndRunoffN2OEmissions</v>
      </c>
      <c r="N79" s="118" t="s">
        <v>262</v>
      </c>
      <c r="O79" s="118"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7" t="s">
        <v>263</v>
      </c>
      <c r="E82" s="1" t="str" cm="1">
        <f t="array" ref="E82">Fertiliser_Equations_LeachingAndRunoff.VEERG_5_5_1_1__1_FertiliserLeachingAndRunoffN2OEmissions_Variable()</f>
        <v>E_fertleach</v>
      </c>
      <c r="N82" s="87" t="s">
        <v>263</v>
      </c>
      <c r="O82" s="1" t="str" cm="1">
        <f t="array" ref="O82">Fertiliser_Equations_LeachingAndRunoff.VEERG_5_5_1_1__1_FertiliserLeachingAndRunoffN2OEmissions_Variable()</f>
        <v>E_fertleach</v>
      </c>
    </row>
    <row r="83" spans="1:20" x14ac:dyDescent="0.25">
      <c r="A83"/>
      <c r="D83" s="87" t="s">
        <v>122</v>
      </c>
      <c r="E83" s="15" t="str" cm="1">
        <f t="array" ref="E83">Fertiliser_Equations_LeachingAndRunoff.VEERG_5_5_1_1__1_FertiliserLeachingAndRunoffN2OEmissions_Unit()</f>
        <v>t N2O</v>
      </c>
      <c r="N83" s="87" t="s">
        <v>122</v>
      </c>
      <c r="O83" s="15" t="str" cm="1">
        <f t="array" ref="O83">Fertiliser_Equations_LeachingAndRunoff.VEERG_5_5_1_1__1_FertiliserLeachingAndRunoffN2OEmissions_Unit()</f>
        <v>t N2O</v>
      </c>
    </row>
    <row r="84" spans="1:20" x14ac:dyDescent="0.25">
      <c r="A84"/>
    </row>
    <row r="85" spans="1:20" x14ac:dyDescent="0.25">
      <c r="A85"/>
      <c r="D85" s="120" t="str" cm="1">
        <f t="array" ref="D85:E88">_xlfn.CHOOSECOLS(Fertiliser_Equations_LeachingAndRunoff.VEERG_5_5_1_1__1_FertiliserLeachingAndRunoffN2OEmissions_Arguments(), 1, 2)</f>
        <v>M_leachinorganicj</v>
      </c>
      <c r="E85" s="125" t="str">
        <v>mass of nitrogen lost through leaching and runoff from inorganic fertiliser application in production system j</v>
      </c>
      <c r="F85" s="133"/>
      <c r="G85" s="126"/>
      <c r="H85" s="120" t="str" cm="1">
        <f t="array" ref="H85:I88">_xlfn.CHOOSECOLS(Fertiliser_Equations_LeachingAndRunoff.VEERG_5_5_1_1__1_FertiliserLeachingAndRunoffN2OEmissions_Arguments(), 3,4)</f>
        <v>kg N</v>
      </c>
      <c r="I85" s="128" t="str">
        <v>Calculated from 5.5.1.1 (2)</v>
      </c>
      <c r="J85" s="120">
        <v>0</v>
      </c>
      <c r="N85" s="120" t="str" cm="1">
        <f t="array" ref="N85:O88">_xlfn.CHOOSECOLS(Fertiliser_Equations_LeachingAndRunoff.VEERG_5_5_1_1__1_FertiliserLeachingAndRunoffN2OEmissions_Arguments(), 1, 2)</f>
        <v>M_leachinorganicj</v>
      </c>
      <c r="O85" s="125" t="str">
        <v>mass of nitrogen lost through leaching and runoff from inorganic fertiliser application in production system j</v>
      </c>
      <c r="P85" s="133"/>
      <c r="Q85" s="126"/>
      <c r="R85" s="120" t="str" cm="1">
        <f t="array" ref="R85:S88">_xlfn.CHOOSECOLS(Fertiliser_Equations_LeachingAndRunoff.VEERG_5_5_1_1__1_FertiliserLeachingAndRunoffN2OEmissions_Arguments(), 3,4)</f>
        <v>kg N</v>
      </c>
      <c r="S85" s="128" t="str">
        <v>Calculated from 5.5.1.1 (2)</v>
      </c>
      <c r="T85" s="120"/>
    </row>
    <row r="86" spans="1:20" x14ac:dyDescent="0.25">
      <c r="A86"/>
      <c r="D86" s="120" t="str">
        <v>M_leachorganicj</v>
      </c>
      <c r="E86" s="125" t="str">
        <v>mass of nitrogen lost through leaching and runoff from organic fertiliser application</v>
      </c>
      <c r="F86" s="133"/>
      <c r="G86" s="126"/>
      <c r="H86" s="120" t="str">
        <v>kg N</v>
      </c>
      <c r="I86" s="128" t="str">
        <v>Calculated from 5.5.1.1 (3)</v>
      </c>
      <c r="J86" s="120">
        <f>E74</f>
        <v>240</v>
      </c>
      <c r="N86" s="120" t="str">
        <v>M_leachorganicj</v>
      </c>
      <c r="O86" s="125" t="str">
        <v>mass of nitrogen lost through leaching and runoff from organic fertiliser application</v>
      </c>
      <c r="P86" s="133"/>
      <c r="Q86" s="126"/>
      <c r="R86" s="120" t="str">
        <v>kg N</v>
      </c>
      <c r="S86" s="128" t="str">
        <v>Calculated from 5.5.1.1 (3)</v>
      </c>
      <c r="T86" s="120">
        <f>O74</f>
        <v>480</v>
      </c>
    </row>
    <row r="87" spans="1:20" x14ac:dyDescent="0.25">
      <c r="A87"/>
      <c r="D87" s="120" t="str">
        <v>EF_leach</v>
      </c>
      <c r="E87" s="125" t="str">
        <v>emission factor for nitrogen leaching and runoff</v>
      </c>
      <c r="F87" s="133"/>
      <c r="G87" s="126"/>
      <c r="H87" s="120" t="str">
        <v>kg N2O-N/kg N</v>
      </c>
      <c r="I87" s="128" t="str">
        <v>Constant</v>
      </c>
      <c r="J87" s="120">
        <f>Fertiliser_EFLeach_Data</f>
        <v>1.0999999999999999E-2</v>
      </c>
      <c r="N87" s="120" t="str">
        <v>EF_leach</v>
      </c>
      <c r="O87" s="125" t="str">
        <v>emission factor for nitrogen leaching and runoff</v>
      </c>
      <c r="P87" s="133"/>
      <c r="Q87" s="126"/>
      <c r="R87" s="120" t="str">
        <v>kg N2O-N/kg N</v>
      </c>
      <c r="S87" s="128" t="str">
        <v>Constant</v>
      </c>
      <c r="T87" s="120"/>
    </row>
    <row r="88" spans="1:20" x14ac:dyDescent="0.25">
      <c r="A88"/>
      <c r="D88" s="120" t="str">
        <v>C_N2O</v>
      </c>
      <c r="E88" s="125" t="str">
        <v>factor to convert elemental mass of nitrous oxide to molecular mass</v>
      </c>
      <c r="F88" s="133"/>
      <c r="G88" s="126"/>
      <c r="H88" s="120" t="str">
        <v/>
      </c>
      <c r="I88" s="128" t="str">
        <v>Constant</v>
      </c>
      <c r="J88" s="132">
        <f>Common_InputFunctions.Utility_LookupValueInTableNumber("N2O",Table_GasToMolecularConversionFactor[Gas],Table_GasToMolecularConversionFactor[Conversion factor combined])</f>
        <v>1.5714285714285714</v>
      </c>
      <c r="N88" s="120" t="str">
        <v>C_N2O</v>
      </c>
      <c r="O88" s="125" t="str">
        <v>factor to convert elemental mass of nitrous oxide to molecular mass</v>
      </c>
      <c r="P88" s="133"/>
      <c r="Q88" s="126"/>
      <c r="R88" s="120" t="str">
        <v/>
      </c>
      <c r="S88" s="128" t="str">
        <v>Constant</v>
      </c>
      <c r="T88" s="132"/>
    </row>
    <row r="89" spans="1:20" x14ac:dyDescent="0.25">
      <c r="A89"/>
    </row>
    <row r="90" spans="1:20" ht="23.25" x14ac:dyDescent="0.25">
      <c r="A90"/>
      <c r="D90" s="135" t="s">
        <v>700</v>
      </c>
      <c r="E90" s="136" cm="1">
        <f t="array" ref="E90">Fertiliser_Equations_LeachingAndRunoff.VEERG_5_5_1_1__1_FertiliserLeachingAndRunoffN2OEmissions(J85,J86,J87,J88)</f>
        <v>4.1485714285714277E-3</v>
      </c>
      <c r="F90" s="137" t="str">
        <f>$E$83</f>
        <v>t N2O</v>
      </c>
      <c r="N90" s="135" t="s">
        <v>700</v>
      </c>
      <c r="O90" s="136" cm="1">
        <f t="array" ref="O90">Fertiliser_Equations_LeachingAndRunoff.VEERG_5_5_1_1__1_FertiliserLeachingAndRunoffN2OEmissions(J85,T86,J87,J88)</f>
        <v>8.2971428571428554E-3</v>
      </c>
      <c r="P90" s="137"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2211B-64EB-4734-8E59-57BA91631238}">
  <dimension ref="A1:V288"/>
  <sheetViews>
    <sheetView showGridLines="0" topLeftCell="H1"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0" customFormat="1" ht="30" customHeight="1" x14ac:dyDescent="0.35">
      <c r="A1" s="16" t="e" vm="1">
        <v>#VALUE!</v>
      </c>
      <c r="C1" s="30" t="s">
        <v>494</v>
      </c>
    </row>
    <row r="2" spans="1:21" s="3" customFormat="1" ht="20.100000000000001" customHeight="1" x14ac:dyDescent="0.25">
      <c r="A2"/>
    </row>
    <row r="3" spans="1:2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495</v>
      </c>
      <c r="G5" s="2" t="s">
        <v>496</v>
      </c>
      <c r="J5" s="2" t="s">
        <v>497</v>
      </c>
      <c r="L5" s="2" t="s">
        <v>498</v>
      </c>
      <c r="M5" s="1"/>
    </row>
    <row r="6" spans="1:21" ht="20.100000000000001" customHeight="1" x14ac:dyDescent="0.25">
      <c r="L6" s="1" t="s">
        <v>499</v>
      </c>
      <c r="M6" s="1"/>
    </row>
    <row r="7" spans="1:21" ht="20.100000000000001" customHeight="1" x14ac:dyDescent="0.25">
      <c r="D7" s="147" t="s">
        <v>307</v>
      </c>
      <c r="E7" s="29" t="s">
        <v>500</v>
      </c>
      <c r="G7" s="29" t="s">
        <v>168</v>
      </c>
      <c r="J7" s="29" t="s">
        <v>64</v>
      </c>
      <c r="L7" s="29" t="s">
        <v>501</v>
      </c>
      <c r="M7" s="1"/>
    </row>
    <row r="8" spans="1:21" ht="20.100000000000001" customHeight="1" x14ac:dyDescent="0.25">
      <c r="A8" s="7" t="s">
        <v>0</v>
      </c>
      <c r="D8" s="29" t="str">
        <f>'Constants - Common Livestock'!$E$10</f>
        <v>Anaerobic lagoon</v>
      </c>
      <c r="E8" s="29" t="str">
        <f>'Constants - Common Livestock'!$F$10</f>
        <v>Anaerobic lagoon (m=1)</v>
      </c>
      <c r="G8" s="29" t="str">
        <f>'Constants - Common'!$F$187</f>
        <v>Pasture</v>
      </c>
      <c r="J8" s="29" t="s">
        <v>502</v>
      </c>
      <c r="L8" s="29" t="s">
        <v>213</v>
      </c>
      <c r="M8" s="1"/>
    </row>
    <row r="9" spans="1:21" ht="20.100000000000001" customHeight="1" x14ac:dyDescent="0.25">
      <c r="A9" s="5" t="str">
        <f>HYPERLINK("#'Input - Enterprise'!A1", "Enterprise")</f>
        <v>Enterprise</v>
      </c>
      <c r="D9" s="29" t="str">
        <f>'Constants - Common Livestock'!$E$13</f>
        <v>Sump and dispersal system</v>
      </c>
      <c r="E9" s="29" t="str">
        <f>'Constants - Common Livestock'!$F$13</f>
        <v>Sump and dispersal system (m=3a)</v>
      </c>
      <c r="G9" s="1" t="str">
        <f>'Constants - Common'!$F$188</f>
        <v>Crop</v>
      </c>
      <c r="J9" s="29" t="s">
        <v>503</v>
      </c>
      <c r="L9" s="29" t="s">
        <v>214</v>
      </c>
      <c r="M9" s="1"/>
    </row>
    <row r="10" spans="1:21" ht="20.100000000000001" customHeight="1" x14ac:dyDescent="0.25">
      <c r="A10" s="5" t="str">
        <f>HYPERLINK("#'Input - Site'!A1", "Site")</f>
        <v>Site</v>
      </c>
      <c r="D10" s="29" t="str">
        <f>'Constants - Common Livestock'!$E$14</f>
        <v>Drains to paddock</v>
      </c>
      <c r="E10" s="29" t="str">
        <f>'Constants - Common Livestock'!$F$14</f>
        <v>Drains to paddock (m=3b)</v>
      </c>
      <c r="J10" s="1" t="s">
        <v>260</v>
      </c>
      <c r="L10" s="29" t="s">
        <v>215</v>
      </c>
      <c r="M10" s="1"/>
    </row>
    <row r="11" spans="1:21" ht="20.100000000000001" customHeight="1" x14ac:dyDescent="0.25">
      <c r="A11" s="5" t="str">
        <f>HYPERLINK("#'Input - Dairy'!A1", "Dairy")</f>
        <v>Dairy</v>
      </c>
      <c r="D11" s="29" t="str">
        <f>'Constants - Common Livestock'!$E$15</f>
        <v>Solid storage</v>
      </c>
      <c r="E11" s="29" t="str">
        <f>'Constants - Common Livestock'!$F$15</f>
        <v>Solid storage (m=4)</v>
      </c>
      <c r="J11" s="1" t="s">
        <v>504</v>
      </c>
      <c r="L11" s="29" t="s">
        <v>216</v>
      </c>
      <c r="M11" s="1"/>
    </row>
    <row r="12" spans="1:21" ht="20.100000000000001" customHeight="1" x14ac:dyDescent="0.25">
      <c r="A12" s="5" t="str">
        <f>HYPERLINK("#'Input - Dairy (Enteric)'!A1", "Dairy (Enteric)")</f>
        <v>Dairy (Enteric)</v>
      </c>
      <c r="J12" s="1" t="s">
        <v>505</v>
      </c>
      <c r="L12" s="29" t="s">
        <v>217</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Common farm inputs'!A1", "Common farm inputs")</f>
        <v>Common farm inputs</v>
      </c>
      <c r="D20" s="3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Crop pasture farm input'!A1", "Crop pasture farm input")</f>
        <v>Crop pasture farm input</v>
      </c>
      <c r="D21" s="29" t="s">
        <v>211</v>
      </c>
      <c r="E21" s="29" t="s">
        <v>213</v>
      </c>
      <c r="F21" s="29" t="s">
        <v>506</v>
      </c>
      <c r="G21" s="29" t="s">
        <v>507</v>
      </c>
      <c r="M21" s="1"/>
    </row>
    <row r="22" spans="1:13" ht="20.100000000000001" customHeight="1" x14ac:dyDescent="0.25">
      <c r="A22" s="5" t="str">
        <f>HYPERLINK("#'Input - Livestock farm Inputs'!A1", "Livestock farm Inputs")</f>
        <v>Livestock farm Inputs</v>
      </c>
      <c r="D22" s="29" t="str" cm="1">
        <f t="array" ref="D22">Common_InputFunctions.Utility_DisplayArrayInTable(SourceData_Dairy.SourceData_Dairy_LiveweightCowsAndHeifers_Data(), Table_SourceData_Dairy_WjCowsHeifers[[#Headers],[Breed]], 0)</f>
        <v>Medium Friesian</v>
      </c>
      <c r="E22" s="29" cm="1">
        <f t="array" ref="E22">Common_InputFunctions.Utility_DisplayArrayInTable(SourceData_Dairy.SourceData_Dairy_LiveweightCowsAndHeifers_Data(), Table_SourceData_Dairy_WjCowsHeifers[[#Headers],[Breed]], 0)</f>
        <v>550</v>
      </c>
      <c r="F22" s="29" cm="1">
        <f t="array" ref="F22">Common_InputFunctions.Utility_DisplayArrayInTable(SourceData_Dairy.SourceData_Dairy_LiveweightCowsAndHeifers_Data(), Table_SourceData_Dairy_WjCowsHeifers[[#Headers],[Breed]], 0)</f>
        <v>380</v>
      </c>
      <c r="G22" s="2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Freight'!A1", "Freight")</f>
        <v>Freight</v>
      </c>
      <c r="D23" s="29" t="str" cm="1">
        <f t="array" ref="D23">Common_InputFunctions.Utility_DisplayArrayInTable(SourceData_Dairy.SourceData_Dairy_LiveweightCowsAndHeifers_Data(), Table_SourceData_Dairy_WjCowsHeifers[[#Headers],[Breed]], 0)</f>
        <v>Large Friesian</v>
      </c>
      <c r="E23" s="29" cm="1">
        <f t="array" ref="E23">Common_InputFunctions.Utility_DisplayArrayInTable(SourceData_Dairy.SourceData_Dairy_LiveweightCowsAndHeifers_Data(), Table_SourceData_Dairy_WjCowsHeifers[[#Headers],[Breed]], 0)</f>
        <v>600</v>
      </c>
      <c r="F23" s="29" cm="1">
        <f t="array" ref="F23">Common_InputFunctions.Utility_DisplayArrayInTable(SourceData_Dairy.SourceData_Dairy_LiveweightCowsAndHeifers_Data(), Table_SourceData_Dairy_WjCowsHeifers[[#Headers],[Breed]], 0)</f>
        <v>415</v>
      </c>
      <c r="G23" s="2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5" t="str">
        <f>HYPERLINK("#'Input - Manure sent off-site'!A1", "Manure sent off-site")</f>
        <v>Manure sent off-site</v>
      </c>
      <c r="D24" s="29" t="str" cm="1">
        <f t="array" ref="D24">Common_InputFunctions.Utility_DisplayArrayInTable(SourceData_Dairy.SourceData_Dairy_LiveweightCowsAndHeifers_Data(), Table_SourceData_Dairy_WjCowsHeifers[[#Headers],[Breed]], 0)</f>
        <v>Holstein-Friesian</v>
      </c>
      <c r="E24" s="29" cm="1">
        <f t="array" ref="E24">Common_InputFunctions.Utility_DisplayArrayInTable(SourceData_Dairy.SourceData_Dairy_LiveweightCowsAndHeifers_Data(), Table_SourceData_Dairy_WjCowsHeifers[[#Headers],[Breed]], 0)</f>
        <v>650</v>
      </c>
      <c r="F24" s="29" cm="1">
        <f t="array" ref="F24">Common_InputFunctions.Utility_DisplayArrayInTable(SourceData_Dairy.SourceData_Dairy_LiveweightCowsAndHeifers_Data(), Table_SourceData_Dairy_WjCowsHeifers[[#Headers],[Breed]], 0)</f>
        <v>450</v>
      </c>
      <c r="G24" s="2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5" t="str">
        <f>HYPERLINK("#'Input - Solid waste'!A1", "Solid waste")</f>
        <v>Solid waste</v>
      </c>
      <c r="D25" s="29" t="str" cm="1">
        <f t="array" ref="D25">Common_InputFunctions.Utility_DisplayArrayInTable(SourceData_Dairy.SourceData_Dairy_LiveweightCowsAndHeifers_Data(), Table_SourceData_Dairy_WjCowsHeifers[[#Headers],[Breed]], 0)</f>
        <v>Friesian crossbred</v>
      </c>
      <c r="E25" s="29" cm="1">
        <f t="array" ref="E25">Common_InputFunctions.Utility_DisplayArrayInTable(SourceData_Dairy.SourceData_Dairy_LiveweightCowsAndHeifers_Data(), Table_SourceData_Dairy_WjCowsHeifers[[#Headers],[Breed]], 0)</f>
        <v>500</v>
      </c>
      <c r="F25" s="29" cm="1">
        <f t="array" ref="F25">Common_InputFunctions.Utility_DisplayArrayInTable(SourceData_Dairy.SourceData_Dairy_LiveweightCowsAndHeifers_Data(), Table_SourceData_Dairy_WjCowsHeifers[[#Headers],[Breed]], 0)</f>
        <v>350</v>
      </c>
      <c r="G25" s="29"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5" t="str">
        <f>HYPERLINK("#'Input - Data quality'!A1", "Data quality")</f>
        <v>Data quality</v>
      </c>
      <c r="D26" s="29" t="str" cm="1">
        <f t="array" ref="D26">Common_InputFunctions.Utility_DisplayArrayInTable(SourceData_Dairy.SourceData_Dairy_LiveweightCowsAndHeifers_Data(), Table_SourceData_Dairy_WjCowsHeifers[[#Headers],[Breed]], 0)</f>
        <v>Jersey</v>
      </c>
      <c r="E26" s="29" cm="1">
        <f t="array" ref="E26">Common_InputFunctions.Utility_DisplayArrayInTable(SourceData_Dairy.SourceData_Dairy_LiveweightCowsAndHeifers_Data(), Table_SourceData_Dairy_WjCowsHeifers[[#Headers],[Breed]], 0)</f>
        <v>400</v>
      </c>
      <c r="F26" s="29" cm="1">
        <f t="array" ref="F26">Common_InputFunctions.Utility_DisplayArrayInTable(SourceData_Dairy.SourceData_Dairy_LiveweightCowsAndHeifers_Data(), Table_SourceData_Dairy_WjCowsHeifers[[#Headers],[Breed]], 0)</f>
        <v>275</v>
      </c>
      <c r="G26" s="2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29" t="str" cm="1">
        <f t="array" ref="D27">Common_InputFunctions.Utility_DisplayArrayInTable(SourceData_Dairy.SourceData_Dairy_LiveweightCowsAndHeifers_Data(), Table_SourceData_Dairy_WjCowsHeifers[[#Headers],[Breed]], 0)</f>
        <v>Jersey crossbred</v>
      </c>
      <c r="E27" s="29" cm="1">
        <f t="array" ref="E27">Common_InputFunctions.Utility_DisplayArrayInTable(SourceData_Dairy.SourceData_Dairy_LiveweightCowsAndHeifers_Data(), Table_SourceData_Dairy_WjCowsHeifers[[#Headers],[Breed]], 0)</f>
        <v>450</v>
      </c>
      <c r="F27" s="29" cm="1">
        <f t="array" ref="F27">Common_InputFunctions.Utility_DisplayArrayInTable(SourceData_Dairy.SourceData_Dairy_LiveweightCowsAndHeifers_Data(), Table_SourceData_Dairy_WjCowsHeifers[[#Headers],[Breed]], 0)</f>
        <v>315</v>
      </c>
      <c r="G27" s="2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29" t="str" cm="1">
        <f t="array" ref="D28">Common_InputFunctions.Utility_DisplayArrayInTable(SourceData_Dairy.SourceData_Dairy_LiveweightCowsAndHeifers_Data(), Table_SourceData_Dairy_WjCowsHeifers[[#Headers],[Breed]], 0)</f>
        <v>Ayrshire</v>
      </c>
      <c r="E28" s="29" cm="1">
        <f t="array" ref="E28">Common_InputFunctions.Utility_DisplayArrayInTable(SourceData_Dairy.SourceData_Dairy_LiveweightCowsAndHeifers_Data(), Table_SourceData_Dairy_WjCowsHeifers[[#Headers],[Breed]], 0)</f>
        <v>540</v>
      </c>
      <c r="F28" s="29" cm="1">
        <f t="array" ref="F28">Common_InputFunctions.Utility_DisplayArrayInTable(SourceData_Dairy.SourceData_Dairy_LiveweightCowsAndHeifers_Data(), Table_SourceData_Dairy_WjCowsHeifers[[#Headers],[Breed]], 0)</f>
        <v>375</v>
      </c>
      <c r="G28" s="29"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6" t="s">
        <v>2</v>
      </c>
      <c r="D29" s="29" t="str" cm="1">
        <f t="array" ref="D29">Common_InputFunctions.Utility_DisplayArrayInTable(SourceData_Dairy.SourceData_Dairy_LiveweightCowsAndHeifers_Data(), Table_SourceData_Dairy_WjCowsHeifers[[#Headers],[Breed]], 0)</f>
        <v>Guernsey</v>
      </c>
      <c r="E29" s="29" cm="1">
        <f t="array" ref="E29">Common_InputFunctions.Utility_DisplayArrayInTable(SourceData_Dairy.SourceData_Dairy_LiveweightCowsAndHeifers_Data(), Table_SourceData_Dairy_WjCowsHeifers[[#Headers],[Breed]], 0)</f>
        <v>480</v>
      </c>
      <c r="F29" s="29" cm="1">
        <f t="array" ref="F29">Common_InputFunctions.Utility_DisplayArrayInTable(SourceData_Dairy.SourceData_Dairy_LiveweightCowsAndHeifers_Data(), Table_SourceData_Dairy_WjCowsHeifers[[#Headers],[Breed]], 0)</f>
        <v>335</v>
      </c>
      <c r="G29" s="29"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HYPERLINK("#'5.1.1.1-2 Inorganic fert N2O'!A1", "5.1.1.1-2 Inorganic fert N2O")</f>
        <v>5.1.1.1-2 Inorganic fert N2O</v>
      </c>
      <c r="D30" s="29" t="str" cm="1">
        <f t="array" ref="D30">Common_InputFunctions.Utility_DisplayArrayInTable(SourceData_Dairy.SourceData_Dairy_LiveweightCowsAndHeifers_Data(), Table_SourceData_Dairy_WjCowsHeifers[[#Headers],[Breed]], 0)</f>
        <v>Brown Swiss</v>
      </c>
      <c r="E30" s="29" cm="1">
        <f t="array" ref="E30">Common_InputFunctions.Utility_DisplayArrayInTable(SourceData_Dairy.SourceData_Dairy_LiveweightCowsAndHeifers_Data(), Table_SourceData_Dairy_WjCowsHeifers[[#Headers],[Breed]], 0)</f>
        <v>600</v>
      </c>
      <c r="F30" s="29" cm="1">
        <f t="array" ref="F30">Common_InputFunctions.Utility_DisplayArrayInTable(SourceData_Dairy.SourceData_Dairy_LiveweightCowsAndHeifers_Data(), Table_SourceData_Dairy_WjCowsHeifers[[#Headers],[Breed]], 0)</f>
        <v>415</v>
      </c>
      <c r="G30" s="29"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HYPERLINK("#'5.1.1.3-4 Inorganic fert CO2'!A1", "5.1.1.3-4 Inorganic fert CO2")</f>
        <v>5.1.1.3-4 Inorganic fert CO2</v>
      </c>
      <c r="D31" s="29" t="str" cm="1">
        <f t="array" ref="D31">Common_InputFunctions.Utility_DisplayArrayInTable(SourceData_Dairy.SourceData_Dairy_LiveweightCowsAndHeifers_Data(), Table_SourceData_Dairy_WjCowsHeifers[[#Headers],[Breed]], 0)</f>
        <v>Illawarra/Aussie Red</v>
      </c>
      <c r="E31" s="29" cm="1">
        <f t="array" ref="E31">Common_InputFunctions.Utility_DisplayArrayInTable(SourceData_Dairy.SourceData_Dairy_LiveweightCowsAndHeifers_Data(), Table_SourceData_Dairy_WjCowsHeifers[[#Headers],[Breed]], 0)</f>
        <v>550</v>
      </c>
      <c r="F31" s="29" cm="1">
        <f t="array" ref="F31">Common_InputFunctions.Utility_DisplayArrayInTable(SourceData_Dairy.SourceData_Dairy_LiveweightCowsAndHeifers_Data(), Table_SourceData_Dairy_WjCowsHeifers[[#Headers],[Breed]], 0)</f>
        <v>375</v>
      </c>
      <c r="G31" s="29"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HYPERLINK("#'5.2.1.1-2 Organic Fert N2O'!A1", "5.2.1.1-2 Organic fert N2O")</f>
        <v>5.2.1.1-2 Organic fert N2O</v>
      </c>
      <c r="M32" s="1"/>
    </row>
    <row r="33" spans="1:13" ht="20.100000000000001" customHeight="1" x14ac:dyDescent="0.25">
      <c r="A33" s="5" t="str">
        <f>HYPERLINK("#'5.3.1.1-2 Lime CO2'!A1", "5.3.1.1-2 Lime CO2")</f>
        <v>5.3.1.1-2 Lime CO2</v>
      </c>
      <c r="M33" s="1"/>
    </row>
    <row r="34" spans="1:13" ht="20.100000000000001" customHeight="1" x14ac:dyDescent="0.25">
      <c r="A34" s="5" t="str">
        <f>HYPERLINK("#'5.4.1.1-4 Atmos deposition'!A1", "5.4.1.1-4 Atmos. deposition")</f>
        <v>5.4.1.1-4 Atmos. deposition</v>
      </c>
      <c r="D34" s="2" t="str" cm="1">
        <f t="array" ref="D34">SourceData_Dairy.SourceData_Dairy_LiveweightBulls_Title()</f>
        <v>Table A.1.3.2: Dairy cattle - Liveweight (kg) - Bulls (Wj)</v>
      </c>
      <c r="M34" s="1"/>
    </row>
    <row r="35" spans="1:13" ht="20.100000000000001" customHeight="1" x14ac:dyDescent="0.25">
      <c r="A35" s="5" t="str">
        <f>HYPERLINK("#'5.5.1.1-2 Leaching and runoff'!A1", "5.5.1.1-2 Leaching &amp; runoff")</f>
        <v>5.5.1.1-2 Leaching &amp; runoff</v>
      </c>
      <c r="D35" s="27" t="str" cm="1">
        <f t="array" ref="D35">SourceData_Dairy.SourceData_Dairy_LiveweightBulls_Source()</f>
        <v>VEERG 2026: Table A.1.3.2</v>
      </c>
      <c r="M35" s="1"/>
    </row>
    <row r="36" spans="1:13" ht="20.100000000000001" customHeight="1" x14ac:dyDescent="0.25">
      <c r="A36" s="5" t="str">
        <f>HYPERLINK("#'6.2.1.1-2 Pasture residue N2O'!A1", "6.2.1.1-2 Pasture residue N2O")</f>
        <v>6.2.1.1-2 Pasture residue N2O</v>
      </c>
      <c r="D36" s="1" t="str" cm="1">
        <f t="array" ref="D36">SourceData_Dairy.SourceData_Dairy_LiveweightBulls_Variable()</f>
        <v>Wj</v>
      </c>
      <c r="M36" s="1"/>
    </row>
    <row r="37" spans="1:13" ht="20.100000000000001" customHeight="1" x14ac:dyDescent="0.25">
      <c r="A37" s="5" t="str">
        <f>HYPERLINK("#'6.3.1.1-2 Leach runoff pasture'!A1", "6.3.1.1-2 Leach &amp; runoff (pasture)")</f>
        <v>6.3.1.1-2 Leach &amp; runoff (pasture)</v>
      </c>
      <c r="D37" s="15" t="str" cm="1">
        <f t="array" ref="D37">SourceData_Dairy.SourceData_Dairy_LiveweightBulls_Unit()</f>
        <v>kg</v>
      </c>
      <c r="M37" s="1"/>
    </row>
    <row r="38" spans="1:13" ht="20.100000000000001" customHeight="1" x14ac:dyDescent="0.25">
      <c r="A38" s="5" t="str">
        <f>HYPERLINK("#'8.1.1.1-2 Transport fuel'!A1", "8.1.1.1-2 Transport fuel")</f>
        <v>8.1.1.1-2 Transport fuel</v>
      </c>
      <c r="D38" s="29" t="s">
        <v>211</v>
      </c>
      <c r="E38" s="29" t="s">
        <v>508</v>
      </c>
      <c r="F38" s="29" t="s">
        <v>509</v>
      </c>
      <c r="M38" s="1"/>
    </row>
    <row r="39" spans="1:13" ht="20.100000000000001" customHeight="1" x14ac:dyDescent="0.25">
      <c r="A39" s="5" t="str">
        <f>HYPERLINK("#'8.2.1.1-2 Stationary fuel'!A1", "8.2.1.1-2 Stationary fuel")</f>
        <v>8.2.1.1-2 Stationary fuel</v>
      </c>
      <c r="D39" s="29" t="str" cm="1">
        <f t="array" ref="D39">Common_InputFunctions.Utility_DisplayArrayInTable(SourceData_Dairy.SourceData_Dairy_LiveweightBulls_Data(), Table_SourceData_Dairy_WjBulls[[#Headers],[Breed]], 0)</f>
        <v>All breeds</v>
      </c>
      <c r="E39" s="29" cm="1">
        <f t="array" ref="E39">Common_InputFunctions.Utility_DisplayArrayInTable(SourceData_Dairy.SourceData_Dairy_LiveweightBulls_Data(), Table_SourceData_Dairy_WjBulls[[#Headers],[Breed]], 0)</f>
        <v>600</v>
      </c>
      <c r="F39" s="29"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HYPERLINK("#'14.1.1-2 Purchased electricity'!A1", "14.1.1-2 Purchased electricity")</f>
        <v>14.1.1-2 Purchased electricity</v>
      </c>
      <c r="M40" s="1"/>
    </row>
    <row r="41" spans="1:13" ht="20.100000000000001" customHeight="1" x14ac:dyDescent="0.25">
      <c r="A41" s="5" t="str">
        <f>HYPERLINK("#'15 Scope 3'!A1", "15 Scope 3")</f>
        <v>15 Scope 3</v>
      </c>
      <c r="M41" s="1"/>
    </row>
    <row r="42" spans="1:13" ht="20.100000000000001" customHeight="1" x14ac:dyDescent="0.25">
      <c r="A42" s="5" t="str">
        <f>HYPERLINK("#'Calcs - Manure sent off-site'!A1", "Calcs - Manure sent off-site")</f>
        <v>Calcs - Manure sent off-site</v>
      </c>
      <c r="D42" s="2" t="str" cm="1">
        <f t="array" ref="D42">SourceData_Dairy.SourceData_Dairy_LiveweightGain_Title()</f>
        <v>Table A.1.3.3: Dairy cattle - Liveweight gain (kg) (LWGj)</v>
      </c>
      <c r="M42" s="1"/>
    </row>
    <row r="43" spans="1:13" ht="20.100000000000001" customHeight="1" x14ac:dyDescent="0.25">
      <c r="A43" s="5" t="str">
        <f>HYPERLINK("#'4.3.1.1-2 Methane'!A1", "4.3.1.1-2 Methane")</f>
        <v>4.3.1.1-2 Methane</v>
      </c>
      <c r="D43" s="27" t="str" cm="1">
        <f t="array" ref="D43">SourceData_Dairy.SourceData_Dairy_LiveweightGain_Source()</f>
        <v>VEERG 2026: Table A.1.3.3</v>
      </c>
      <c r="M43" s="1"/>
    </row>
    <row r="44" spans="1:13" ht="20.100000000000001" customHeight="1" x14ac:dyDescent="0.25">
      <c r="A44" s="5" t="str">
        <f>HYPERLINK("#'4.3.1.3-4 Direct N20'!A1", "4.3.1.3-4 Direct N20")</f>
        <v>4.3.1.3-4 Direct N20</v>
      </c>
      <c r="D44" s="1" t="str" cm="1">
        <f t="array" ref="D44">SourceData_Dairy.SourceData_Dairy_LiveweightGain_Variable()</f>
        <v>LWGj</v>
      </c>
      <c r="M44" s="1"/>
    </row>
    <row r="45" spans="1:13" ht="20.100000000000001" customHeight="1" x14ac:dyDescent="0.25">
      <c r="A45" s="5" t="str">
        <f>HYPERLINK("#'4.3.1.5 Atmos deposition'!A1", "4.3.1.5 Atmos deposition")</f>
        <v>4.3.1.5 Atmos deposition</v>
      </c>
      <c r="D45" s="15" t="str" cm="1">
        <f t="array" ref="D45">SourceData_Dairy.SourceData_Dairy_LiveweightGain_Unit()</f>
        <v>kg</v>
      </c>
      <c r="M45" s="1"/>
    </row>
    <row r="46" spans="1:13" ht="20.100000000000001" customHeight="1" x14ac:dyDescent="0.25">
      <c r="A46" s="5" t="str">
        <f>HYPERLINK("#'4.3.1.6-7 Leaching and runoff'!A1", "4.3.1.6-7 Leaching and runoff")</f>
        <v>4.3.1.6-7 Leaching and runoff</v>
      </c>
      <c r="D46" s="29" t="s">
        <v>213</v>
      </c>
      <c r="E46" s="29" t="s">
        <v>506</v>
      </c>
      <c r="F46" s="29" t="s">
        <v>507</v>
      </c>
      <c r="G46" s="29" t="s">
        <v>508</v>
      </c>
      <c r="H46" s="29" t="s">
        <v>509</v>
      </c>
      <c r="M46" s="1"/>
    </row>
    <row r="47" spans="1:13" ht="20.100000000000001" customHeight="1" x14ac:dyDescent="0.25">
      <c r="A47" s="5" t="str">
        <f>HYPERLINK("#'4.3.1.8 Manure applied to soils'!A1", "4.3.1.8 Manure applied to soils")</f>
        <v>4.3.1.8 Manure applied to soils</v>
      </c>
      <c r="D47" s="29" cm="1">
        <f t="array" ref="D47">Common_InputFunctions.Utility_DisplayArrayInTable(SourceData_Dairy.SourceData_Dairy_LiveweightGain_Data(), Table_SourceData_Dairy_LWGj[[#Headers],[Milking cows]], 0)</f>
        <v>1.6E-2</v>
      </c>
      <c r="E47" s="29" cm="1">
        <f t="array" ref="E47">Common_InputFunctions.Utility_DisplayArrayInTable(SourceData_Dairy.SourceData_Dairy_LiveweightGain_Data(), Table_SourceData_Dairy_LWGj[[#Headers],[Milking cows]], 0)</f>
        <v>0.6</v>
      </c>
      <c r="F47" s="29" cm="1">
        <f t="array" ref="F47">Common_InputFunctions.Utility_DisplayArrayInTable(SourceData_Dairy.SourceData_Dairy_LiveweightGain_Data(), Table_SourceData_Dairy_LWGj[[#Headers],[Milking cows]], 0)</f>
        <v>0.56999999999999995</v>
      </c>
      <c r="G47" s="29" cm="1">
        <f t="array" ref="G47">Common_InputFunctions.Utility_DisplayArrayInTable(SourceData_Dairy.SourceData_Dairy_LiveweightGain_Data(), Table_SourceData_Dairy_LWGj[[#Headers],[Milking cows]], 0)</f>
        <v>0.1</v>
      </c>
      <c r="H47" s="29"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HYPERLINK("#'4.3.1.9 Soil direct N2O'!A1", "4.3.1.9 Soil direct N2O")</f>
        <v>4.3.1.9 Soil direct N2O</v>
      </c>
      <c r="M48" s="1"/>
    </row>
    <row r="49" spans="1:13" ht="20.100000000000001" customHeight="1" x14ac:dyDescent="0.25">
      <c r="A49" s="5" t="str">
        <f>HYPERLINK("#'4.3.1.10-11 Soil Atmos Dep'!A1", "4.3.1.10-11 Soil Atmos Dep")</f>
        <v>4.3.1.10-11 Soil Atmos Dep</v>
      </c>
      <c r="M49" s="1"/>
    </row>
    <row r="50" spans="1:13" ht="20.100000000000001" customHeight="1" x14ac:dyDescent="0.25">
      <c r="A50" s="5" t="str">
        <f>HYPERLINK("#'4.3.1.12-13 Soil leach runoff'!A1", "4.3.1.12-13 Soil leach runoff")</f>
        <v>4.3.1.12-13 Soil leach runoff</v>
      </c>
      <c r="D50" s="2" t="str" cm="1">
        <f t="array" ref="D50">SourceData_Dairy.SourceData_Dairy_ReferenceWeights_Title()</f>
        <v>Table A.1.3.4: Dairy cattle - Reference weights (kg) (WRj)</v>
      </c>
      <c r="M50" s="1"/>
    </row>
    <row r="51" spans="1:13" ht="20.100000000000001" customHeight="1" x14ac:dyDescent="0.25">
      <c r="A51" s="5" t="str">
        <f>HYPERLINK("#'3.3.1.1-2 Enteric Methane'!A1", "3.3.1.1-2 Enteric Methane")</f>
        <v>3.3.1.1-2 Enteric Methane</v>
      </c>
      <c r="D51" s="27" t="str" cm="1">
        <f t="array" ref="D51">SourceData_Dairy.SourceData_Dairy_ReferenceWeights_Source()</f>
        <v>VEERG 2026: Table A.1.3.4</v>
      </c>
      <c r="M51" s="1"/>
    </row>
    <row r="52" spans="1:13" ht="20.100000000000001" customHeight="1" x14ac:dyDescent="0.25">
      <c r="A52" s="5" t="str">
        <f>HYPERLINK("#'10.1.1-2 Solid waste treatment'!A1", "10.1.1-2 Solid waste treatment")</f>
        <v>10.1.1-2 Solid waste treatment</v>
      </c>
      <c r="D52" s="1" t="str" cm="1">
        <f t="array" ref="D52">SourceData_Dairy.SourceData_Dairy_ReferenceWeights_Variable()</f>
        <v>WRj</v>
      </c>
      <c r="M52" s="1"/>
    </row>
    <row r="53" spans="1:13" ht="20.100000000000001" customHeight="1" x14ac:dyDescent="0.25">
      <c r="D53" s="15" t="str" cm="1">
        <f t="array" ref="D53">SourceData_Dairy.SourceData_Dairy_ReferenceWeights_Unit()</f>
        <v>kg</v>
      </c>
      <c r="M53" s="1"/>
    </row>
    <row r="54" spans="1:13" ht="20.100000000000001" customHeight="1" x14ac:dyDescent="0.25">
      <c r="D54" s="149" t="s">
        <v>213</v>
      </c>
      <c r="E54" s="149" t="s">
        <v>506</v>
      </c>
      <c r="F54" s="149" t="s">
        <v>507</v>
      </c>
      <c r="G54" s="149" t="s">
        <v>508</v>
      </c>
      <c r="H54" s="149" t="s">
        <v>509</v>
      </c>
      <c r="M54" s="1"/>
    </row>
    <row r="55" spans="1:13" ht="20.100000000000001" customHeight="1" x14ac:dyDescent="0.25">
      <c r="A55" s="100" t="s">
        <v>1</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148" t="str">
        <f>HYPERLINK("#'Constants - Dairy'!A1", "Constants - Dairy")</f>
        <v>Constants - Dairy</v>
      </c>
      <c r="M56" s="1"/>
    </row>
    <row r="57" spans="1:13" ht="20.100000000000001" customHeight="1" x14ac:dyDescent="0.25">
      <c r="A57" s="5" t="str">
        <f>HYPERLINK("#'Constants - Ag Residue'!A1", "Constants - Ag residue")</f>
        <v>Constants - Ag residue</v>
      </c>
      <c r="M57" s="1"/>
    </row>
    <row r="58" spans="1:13" ht="20.100000000000001" customHeight="1" x14ac:dyDescent="0.25">
      <c r="A58" s="5" t="str">
        <f>HYPERLINK("#'Constants - Common Livestock'!A1", "Constants - Common Livestock")</f>
        <v>Constants - Common Livestock</v>
      </c>
      <c r="D58" s="2" t="str" cm="1">
        <f t="array" ref="D58">SourceData_Dairy.SourceData_Dairy_PreWeanedCalves_Title()</f>
        <v>Table A.1.3.5: Dairy cattle - Data for pre - weaned calves</v>
      </c>
      <c r="M58" s="1"/>
    </row>
    <row r="59" spans="1:13" ht="20.100000000000001" customHeight="1" x14ac:dyDescent="0.25">
      <c r="A59" s="5" t="str">
        <f>HYPERLINK("#'Constants - Electricity'!A1", "Constants - Electricity")</f>
        <v>Constants - Electricity</v>
      </c>
      <c r="D59" s="27" t="str" cm="1">
        <f t="array" ref="D59">SourceData_Dairy.SourceData_Dairy_PreWeanedCalves_Source()</f>
        <v>VEERG 2026: Table A.1.3.5</v>
      </c>
      <c r="M59" s="1"/>
    </row>
    <row r="60" spans="1:13" ht="20.100000000000001" customHeight="1" x14ac:dyDescent="0.25">
      <c r="A60" s="5" t="str">
        <f>HYPERLINK("#'Constants - Fertiliser'!A1", "Constants - Fertiliser")</f>
        <v>Constants - Fertiliser</v>
      </c>
      <c r="D60" s="1" t="str" cm="1">
        <f t="array" ref="D60">SourceData_Dairy.SourceData_Dairy_PreWeanedCalves_Variable()</f>
        <v>VSj=3,5; NPWj=3,5</v>
      </c>
      <c r="M60" s="1"/>
    </row>
    <row r="61" spans="1:13" ht="20.100000000000001" customHeight="1" x14ac:dyDescent="0.25">
      <c r="A61" s="5" t="str">
        <f>HYPERLINK("#'Constants - Fuel'!A1", "Constants - Fuel")</f>
        <v>Constants - Fuel</v>
      </c>
      <c r="D61" s="15" t="str" cm="1">
        <f t="array" ref="D61">SourceData_Dairy.SourceData_Dairy_PreWeanedCalves_Unit()</f>
        <v>kg/day</v>
      </c>
      <c r="M61" s="1"/>
    </row>
    <row r="62" spans="1:13" ht="20.100000000000001" customHeight="1" x14ac:dyDescent="0.25">
      <c r="A62" s="5" t="str">
        <f>HYPERLINK("#'Constants - Scope 3'!A1", "Constants - Scope 3")</f>
        <v>Constants - Scope 3</v>
      </c>
      <c r="D62" s="29" t="s">
        <v>510</v>
      </c>
      <c r="E62" s="29" t="s">
        <v>511</v>
      </c>
      <c r="F62" s="29" t="s">
        <v>512</v>
      </c>
      <c r="G62" s="29" t="s">
        <v>513</v>
      </c>
      <c r="M62" s="1"/>
    </row>
    <row r="63" spans="1:13" ht="20.100000000000001" customHeight="1" x14ac:dyDescent="0.25">
      <c r="A63" s="5" t="str">
        <f>HYPERLINK("#'Constants - Common'!A1", "Constants - Common")</f>
        <v>Constants - Common</v>
      </c>
      <c r="D63" s="29" t="str" cm="1">
        <f t="array" ref="D63">Common_InputFunctions.Utility_DisplayArrayInTable(SourceData_Dairy.SourceData_Dairy_PreWeanedCalves_Data(), Table_SourceData_Dairy_DataPreWeaned[[#Headers],[Animal class j]], -1)</f>
        <v>Heifers&lt;1</v>
      </c>
      <c r="E63" s="29" cm="1">
        <f t="array" ref="E63">Common_InputFunctions.Utility_DisplayArrayInTable(SourceData_Dairy.SourceData_Dairy_PreWeanedCalves_Data(), Table_SourceData_Dairy_DataPreWeaned[[#Headers],[Animal class j]], -1)</f>
        <v>1.7600000000000001E-2</v>
      </c>
      <c r="F63" s="29" cm="1">
        <f t="array" ref="F63">Common_InputFunctions.Utility_DisplayArrayInTable(SourceData_Dairy.SourceData_Dairy_PreWeanedCalves_Data(), Table_SourceData_Dairy_DataPreWeaned[[#Headers],[Animal class j]], -1)</f>
        <v>0.26850000000000002</v>
      </c>
      <c r="G63" s="2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A64" s="5" t="str">
        <f>HYPERLINK("#'Acknowledgements'!A1", "Acknowledgements")</f>
        <v>Acknowledgements</v>
      </c>
      <c r="D64" s="29" t="str" cm="1">
        <f t="array" ref="D64">Common_InputFunctions.Utility_DisplayArrayInTable(SourceData_Dairy.SourceData_Dairy_PreWeanedCalves_Data(), Table_SourceData_Dairy_DataPreWeaned[[#Headers],[Animal class j]], -1)</f>
        <v>Bulls&lt;1</v>
      </c>
      <c r="E64" s="29" cm="1">
        <f t="array" ref="E64">Common_InputFunctions.Utility_DisplayArrayInTable(SourceData_Dairy.SourceData_Dairy_PreWeanedCalves_Data(), Table_SourceData_Dairy_DataPreWeaned[[#Headers],[Animal class j]], -1)</f>
        <v>2.0400000000000001E-2</v>
      </c>
      <c r="F64" s="29" cm="1">
        <f t="array" ref="F64">Common_InputFunctions.Utility_DisplayArrayInTable(SourceData_Dairy.SourceData_Dairy_PreWeanedCalves_Data(), Table_SourceData_Dairy_DataPreWeaned[[#Headers],[Animal class j]], -1)</f>
        <v>0.30030000000000001</v>
      </c>
      <c r="G64" s="2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A65" s="5" t="str">
        <f>HYPERLINK("#'Constants - Solid Waste'!A1", "Constants - Solid Waste")</f>
        <v>Constants - Solid Waste</v>
      </c>
      <c r="M65" s="1"/>
    </row>
    <row r="66" spans="1:22" ht="20.100000000000001" customHeight="1" x14ac:dyDescent="0.25">
      <c r="M66" s="1"/>
    </row>
    <row r="67" spans="1:22" ht="20.100000000000001" customHeight="1" x14ac:dyDescent="0.25">
      <c r="D67" s="2" t="str" cm="1">
        <f t="array" ref="D67">SourceData_Dairy.SourceData_Dairy_MCF_Title()</f>
        <v>Table A.1.3.6: Dairy cattle - Dairy cattle - MCFs (fraction) (MCFjm)</v>
      </c>
      <c r="M67" s="1"/>
    </row>
    <row r="68" spans="1:22" ht="20.100000000000001" customHeight="1" x14ac:dyDescent="0.25">
      <c r="D68" s="27"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15" t="str" cm="1">
        <f t="array" ref="D70">SourceData_Dairy.SourceData_Dairy_MCF_Unit()</f>
        <v>fraction</v>
      </c>
      <c r="M70" s="1"/>
    </row>
    <row r="71" spans="1:22" ht="20.100000000000001" customHeight="1" x14ac:dyDescent="0.25">
      <c r="D71" s="35" t="str" cm="1">
        <f t="array" ref="D71">SourceData_Dairy.SourceData_Dairy_MCF_Variation()</f>
        <v>VARIATION OF SOURCE: Added 'NIR reference' column to aid lookup</v>
      </c>
      <c r="M71" s="1"/>
      <c r="V71" s="1"/>
    </row>
    <row r="72" spans="1:22" ht="20.100000000000001" customHeight="1" x14ac:dyDescent="0.25">
      <c r="D72" s="29" t="s">
        <v>514</v>
      </c>
      <c r="E72" s="29" t="s">
        <v>515</v>
      </c>
      <c r="F72" s="29" t="s">
        <v>516</v>
      </c>
      <c r="G72" s="29" t="s">
        <v>517</v>
      </c>
      <c r="H72" s="29" t="s">
        <v>518</v>
      </c>
      <c r="I72" s="29" t="s">
        <v>519</v>
      </c>
      <c r="J72" s="29" t="s">
        <v>520</v>
      </c>
      <c r="K72" s="29" t="s">
        <v>521</v>
      </c>
      <c r="L72" s="29" t="s">
        <v>522</v>
      </c>
      <c r="M72" s="29" t="s">
        <v>523</v>
      </c>
      <c r="V72" s="1"/>
    </row>
    <row r="73" spans="1:22" ht="20.100000000000001" customHeight="1" x14ac:dyDescent="0.25">
      <c r="D73" s="29" t="str" cm="1">
        <f t="array" ref="D73">Common_InputFunctions.Utility_DisplayArrayInTable(SourceData_Dairy.SourceData_Dairy_MCF_Data(), Table_SourceData_Dairy_MCFjm[[#Headers],[MMS m]], 0)</f>
        <v>Pasture</v>
      </c>
      <c r="E73" s="29" cm="1">
        <f t="array" ref="E73">Common_InputFunctions.Utility_DisplayArrayInTable(SourceData_Dairy.SourceData_Dairy_MCF_Data(), Table_SourceData_Dairy_MCFjm[[#Headers],[MMS m]], 0)</f>
        <v>0.01</v>
      </c>
      <c r="F73" s="29" cm="1">
        <f t="array" ref="F73">Common_InputFunctions.Utility_DisplayArrayInTable(SourceData_Dairy.SourceData_Dairy_MCF_Data(), Table_SourceData_Dairy_MCFjm[[#Headers],[MMS m]], 0)</f>
        <v>0.01</v>
      </c>
      <c r="G73" s="29" cm="1">
        <f t="array" ref="G73">Common_InputFunctions.Utility_DisplayArrayInTable(SourceData_Dairy.SourceData_Dairy_MCF_Data(), Table_SourceData_Dairy_MCFjm[[#Headers],[MMS m]], 0)</f>
        <v>0.02</v>
      </c>
      <c r="H73" s="29" cm="1">
        <f t="array" ref="H73">Common_InputFunctions.Utility_DisplayArrayInTable(SourceData_Dairy.SourceData_Dairy_MCF_Data(), Table_SourceData_Dairy_MCFjm[[#Headers],[MMS m]], 0)</f>
        <v>0.01</v>
      </c>
      <c r="I73" s="29" cm="1">
        <f t="array" ref="I73">Common_InputFunctions.Utility_DisplayArrayInTable(SourceData_Dairy.SourceData_Dairy_MCF_Data(), Table_SourceData_Dairy_MCFjm[[#Headers],[MMS m]], 0)</f>
        <v>0.01</v>
      </c>
      <c r="J73" s="29" cm="1">
        <f t="array" ref="J73">Common_InputFunctions.Utility_DisplayArrayInTable(SourceData_Dairy.SourceData_Dairy_MCF_Data(), Table_SourceData_Dairy_MCFjm[[#Headers],[MMS m]], 0)</f>
        <v>0.01</v>
      </c>
      <c r="K73" s="29" cm="1">
        <f t="array" ref="K73">Common_InputFunctions.Utility_DisplayArrayInTable(SourceData_Dairy.SourceData_Dairy_MCF_Data(), Table_SourceData_Dairy_MCFjm[[#Headers],[MMS m]], 0)</f>
        <v>0.01</v>
      </c>
      <c r="L73" s="29" cm="1">
        <f t="array" ref="L73">Common_InputFunctions.Utility_DisplayArrayInTable(SourceData_Dairy.SourceData_Dairy_MCF_Data(), Table_SourceData_Dairy_MCFjm[[#Headers],[MMS m]], 0)</f>
        <v>0.01</v>
      </c>
      <c r="M73" s="2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29" cm="1">
        <f t="array" ref="E74">Common_InputFunctions.Utility_DisplayArrayInTable(SourceData_Dairy.SourceData_Dairy_MCF_Data(), Table_SourceData_Dairy_MCFjm[[#Headers],[MMS m]], 0)</f>
        <v>0.72</v>
      </c>
      <c r="F74" s="29" cm="1">
        <f t="array" ref="F74">Common_InputFunctions.Utility_DisplayArrayInTable(SourceData_Dairy.SourceData_Dairy_MCF_Data(), Table_SourceData_Dairy_MCFjm[[#Headers],[MMS m]], 0)</f>
        <v>0.76</v>
      </c>
      <c r="G74" s="29" cm="1">
        <f t="array" ref="G74">Common_InputFunctions.Utility_DisplayArrayInTable(SourceData_Dairy.SourceData_Dairy_MCF_Data(), Table_SourceData_Dairy_MCFjm[[#Headers],[MMS m]], 0)</f>
        <v>0.8</v>
      </c>
      <c r="H74" s="29" cm="1">
        <f t="array" ref="H74">Common_InputFunctions.Utility_DisplayArrayInTable(SourceData_Dairy.SourceData_Dairy_MCF_Data(), Table_SourceData_Dairy_MCFjm[[#Headers],[MMS m]], 0)</f>
        <v>0.78</v>
      </c>
      <c r="I74" s="29" cm="1">
        <f t="array" ref="I74">Common_InputFunctions.Utility_DisplayArrayInTable(SourceData_Dairy.SourceData_Dairy_MCF_Data(), Table_SourceData_Dairy_MCFjm[[#Headers],[MMS m]], 0)</f>
        <v>0.74</v>
      </c>
      <c r="J74" s="29" cm="1">
        <f t="array" ref="J74">Common_InputFunctions.Utility_DisplayArrayInTable(SourceData_Dairy.SourceData_Dairy_MCF_Data(), Table_SourceData_Dairy_MCFjm[[#Headers],[MMS m]], 0)</f>
        <v>0.69</v>
      </c>
      <c r="K74" s="29" cm="1">
        <f t="array" ref="K74">Common_InputFunctions.Utility_DisplayArrayInTable(SourceData_Dairy.SourceData_Dairy_MCF_Data(), Table_SourceData_Dairy_MCFjm[[#Headers],[MMS m]], 0)</f>
        <v>0.73</v>
      </c>
      <c r="L74" s="29" cm="1">
        <f t="array" ref="L74">Common_InputFunctions.Utility_DisplayArrayInTable(SourceData_Dairy.SourceData_Dairy_MCF_Data(), Table_SourceData_Dairy_MCFjm[[#Headers],[MMS m]], 0)</f>
        <v>0.76</v>
      </c>
      <c r="M74" s="2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29" cm="1">
        <f t="array" ref="E75">Common_InputFunctions.Utility_DisplayArrayInTable(SourceData_Dairy.SourceData_Dairy_MCF_Data(), Table_SourceData_Dairy_MCFjm[[#Headers],[MMS m]], 0)</f>
        <v>5.0000000000000001E-3</v>
      </c>
      <c r="F75" s="29" cm="1">
        <f t="array" ref="F75">Common_InputFunctions.Utility_DisplayArrayInTable(SourceData_Dairy.SourceData_Dairy_MCF_Data(), Table_SourceData_Dairy_MCFjm[[#Headers],[MMS m]], 0)</f>
        <v>5.0000000000000001E-3</v>
      </c>
      <c r="G75" s="29" cm="1">
        <f t="array" ref="G75">Common_InputFunctions.Utility_DisplayArrayInTable(SourceData_Dairy.SourceData_Dairy_MCF_Data(), Table_SourceData_Dairy_MCFjm[[#Headers],[MMS m]], 0)</f>
        <v>0.01</v>
      </c>
      <c r="H75" s="29" cm="1">
        <f t="array" ref="H75">Common_InputFunctions.Utility_DisplayArrayInTable(SourceData_Dairy.SourceData_Dairy_MCF_Data(), Table_SourceData_Dairy_MCFjm[[#Headers],[MMS m]], 0)</f>
        <v>5.0000000000000001E-3</v>
      </c>
      <c r="I75" s="29" cm="1">
        <f t="array" ref="I75">Common_InputFunctions.Utility_DisplayArrayInTable(SourceData_Dairy.SourceData_Dairy_MCF_Data(), Table_SourceData_Dairy_MCFjm[[#Headers],[MMS m]], 0)</f>
        <v>5.0000000000000001E-3</v>
      </c>
      <c r="J75" s="29" cm="1">
        <f t="array" ref="J75">Common_InputFunctions.Utility_DisplayArrayInTable(SourceData_Dairy.SourceData_Dairy_MCF_Data(), Table_SourceData_Dairy_MCFjm[[#Headers],[MMS m]], 0)</f>
        <v>1E-3</v>
      </c>
      <c r="K75" s="29" cm="1">
        <f t="array" ref="K75">Common_InputFunctions.Utility_DisplayArrayInTable(SourceData_Dairy.SourceData_Dairy_MCF_Data(), Table_SourceData_Dairy_MCFjm[[#Headers],[MMS m]], 0)</f>
        <v>5.0000000000000001E-3</v>
      </c>
      <c r="L75" s="29" cm="1">
        <f t="array" ref="L75">Common_InputFunctions.Utility_DisplayArrayInTable(SourceData_Dairy.SourceData_Dairy_MCF_Data(), Table_SourceData_Dairy_MCFjm[[#Headers],[MMS m]], 0)</f>
        <v>5.0000000000000001E-3</v>
      </c>
      <c r="M75" s="2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29" cm="1">
        <f t="array" ref="E76">Common_InputFunctions.Utility_DisplayArrayInTable(SourceData_Dairy.SourceData_Dairy_MCF_Data(), Table_SourceData_Dairy_MCFjm[[#Headers],[MMS m]], 0)</f>
        <v>0.15</v>
      </c>
      <c r="F76" s="29" cm="1">
        <f t="array" ref="F76">Common_InputFunctions.Utility_DisplayArrayInTable(SourceData_Dairy.SourceData_Dairy_MCF_Data(), Table_SourceData_Dairy_MCFjm[[#Headers],[MMS m]], 0)</f>
        <v>0.18</v>
      </c>
      <c r="G76" s="29" cm="1">
        <f t="array" ref="G76">Common_InputFunctions.Utility_DisplayArrayInTable(SourceData_Dairy.SourceData_Dairy_MCF_Data(), Table_SourceData_Dairy_MCFjm[[#Headers],[MMS m]], 0)</f>
        <v>0.5</v>
      </c>
      <c r="H76" s="29" cm="1">
        <f t="array" ref="H76">Common_InputFunctions.Utility_DisplayArrayInTable(SourceData_Dairy.SourceData_Dairy_MCF_Data(), Table_SourceData_Dairy_MCFjm[[#Headers],[MMS m]], 0)</f>
        <v>0.24</v>
      </c>
      <c r="I76" s="29" cm="1">
        <f t="array" ref="I76">Common_InputFunctions.Utility_DisplayArrayInTable(SourceData_Dairy.SourceData_Dairy_MCF_Data(), Table_SourceData_Dairy_MCFjm[[#Headers],[MMS m]], 0)</f>
        <v>0.17</v>
      </c>
      <c r="J76" s="29" cm="1">
        <f t="array" ref="J76">Common_InputFunctions.Utility_DisplayArrayInTable(SourceData_Dairy.SourceData_Dairy_MCF_Data(), Table_SourceData_Dairy_MCFjm[[#Headers],[MMS m]], 0)</f>
        <v>0.13</v>
      </c>
      <c r="K76" s="29" cm="1">
        <f t="array" ref="K76">Common_InputFunctions.Utility_DisplayArrayInTable(SourceData_Dairy.SourceData_Dairy_MCF_Data(), Table_SourceData_Dairy_MCFjm[[#Headers],[MMS m]], 0)</f>
        <v>0.17</v>
      </c>
      <c r="L76" s="29" cm="1">
        <f t="array" ref="L76">Common_InputFunctions.Utility_DisplayArrayInTable(SourceData_Dairy.SourceData_Dairy_MCF_Data(), Table_SourceData_Dairy_MCFjm[[#Headers],[MMS m]], 0)</f>
        <v>0.18</v>
      </c>
      <c r="M76" s="2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29" cm="1">
        <f t="array" ref="E77">Common_InputFunctions.Utility_DisplayArrayInTable(SourceData_Dairy.SourceData_Dairy_MCF_Data(), Table_SourceData_Dairy_MCFjm[[#Headers],[MMS m]], 0)</f>
        <v>0.02</v>
      </c>
      <c r="F77" s="29" cm="1">
        <f t="array" ref="F77">Common_InputFunctions.Utility_DisplayArrayInTable(SourceData_Dairy.SourceData_Dairy_MCF_Data(), Table_SourceData_Dairy_MCFjm[[#Headers],[MMS m]], 0)</f>
        <v>0.02</v>
      </c>
      <c r="G77" s="29" cm="1">
        <f t="array" ref="G77">Common_InputFunctions.Utility_DisplayArrayInTable(SourceData_Dairy.SourceData_Dairy_MCF_Data(), Table_SourceData_Dairy_MCFjm[[#Headers],[MMS m]], 0)</f>
        <v>0.02</v>
      </c>
      <c r="H77" s="29" cm="1">
        <f t="array" ref="H77">Common_InputFunctions.Utility_DisplayArrayInTable(SourceData_Dairy.SourceData_Dairy_MCF_Data(), Table_SourceData_Dairy_MCFjm[[#Headers],[MMS m]], 0)</f>
        <v>0.02</v>
      </c>
      <c r="I77" s="29" cm="1">
        <f t="array" ref="I77">Common_InputFunctions.Utility_DisplayArrayInTable(SourceData_Dairy.SourceData_Dairy_MCF_Data(), Table_SourceData_Dairy_MCFjm[[#Headers],[MMS m]], 0)</f>
        <v>0.02</v>
      </c>
      <c r="J77" s="29" cm="1">
        <f t="array" ref="J77">Common_InputFunctions.Utility_DisplayArrayInTable(SourceData_Dairy.SourceData_Dairy_MCF_Data(), Table_SourceData_Dairy_MCFjm[[#Headers],[MMS m]], 0)</f>
        <v>0.02</v>
      </c>
      <c r="K77" s="29" cm="1">
        <f t="array" ref="K77">Common_InputFunctions.Utility_DisplayArrayInTable(SourceData_Dairy.SourceData_Dairy_MCF_Data(), Table_SourceData_Dairy_MCFjm[[#Headers],[MMS m]], 0)</f>
        <v>0.02</v>
      </c>
      <c r="L77" s="29" cm="1">
        <f t="array" ref="L77">Common_InputFunctions.Utility_DisplayArrayInTable(SourceData_Dairy.SourceData_Dairy_MCF_Data(), Table_SourceData_Dairy_MCFjm[[#Headers],[MMS m]], 0)</f>
        <v>0.02</v>
      </c>
      <c r="M77" s="2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29" cm="1">
        <f t="array" ref="E78">Common_InputFunctions.Utility_DisplayArrayInTable(SourceData_Dairy.SourceData_Dairy_MCF_Data(), Table_SourceData_Dairy_MCFjm[[#Headers],[MMS m]], 0)</f>
        <v>0</v>
      </c>
      <c r="F78" s="29" cm="1">
        <f t="array" ref="F78">Common_InputFunctions.Utility_DisplayArrayInTable(SourceData_Dairy.SourceData_Dairy_MCF_Data(), Table_SourceData_Dairy_MCFjm[[#Headers],[MMS m]], 0)</f>
        <v>0</v>
      </c>
      <c r="G78" s="29" cm="1">
        <f t="array" ref="G78">Common_InputFunctions.Utility_DisplayArrayInTable(SourceData_Dairy.SourceData_Dairy_MCF_Data(), Table_SourceData_Dairy_MCFjm[[#Headers],[MMS m]], 0)</f>
        <v>0</v>
      </c>
      <c r="H78" s="29" cm="1">
        <f t="array" ref="H78">Common_InputFunctions.Utility_DisplayArrayInTable(SourceData_Dairy.SourceData_Dairy_MCF_Data(), Table_SourceData_Dairy_MCFjm[[#Headers],[MMS m]], 0)</f>
        <v>0</v>
      </c>
      <c r="I78" s="29" cm="1">
        <f t="array" ref="I78">Common_InputFunctions.Utility_DisplayArrayInTable(SourceData_Dairy.SourceData_Dairy_MCF_Data(), Table_SourceData_Dairy_MCFjm[[#Headers],[MMS m]], 0)</f>
        <v>0</v>
      </c>
      <c r="J78" s="29" cm="1">
        <f t="array" ref="J78">Common_InputFunctions.Utility_DisplayArrayInTable(SourceData_Dairy.SourceData_Dairy_MCF_Data(), Table_SourceData_Dairy_MCFjm[[#Headers],[MMS m]], 0)</f>
        <v>0</v>
      </c>
      <c r="K78" s="29" cm="1">
        <f t="array" ref="K78">Common_InputFunctions.Utility_DisplayArrayInTable(SourceData_Dairy.SourceData_Dairy_MCF_Data(), Table_SourceData_Dairy_MCFjm[[#Headers],[MMS m]], 0)</f>
        <v>0</v>
      </c>
      <c r="L78" s="29" cm="1">
        <f t="array" ref="L78">Common_InputFunctions.Utility_DisplayArrayInTable(SourceData_Dairy.SourceData_Dairy_MCF_Data(), Table_SourceData_Dairy_MCFjm[[#Headers],[MMS m]], 0)</f>
        <v>0</v>
      </c>
      <c r="M78" s="29" t="str" cm="1">
        <f t="array" ref="M78">Common_InputFunctions.Utility_DisplayArrayInTable(SourceData_Dairy.SourceData_Dairy_MCF_Data(), Table_SourceData_Dairy_MCFjm[[#Headers],[MMS m]], 0)</f>
        <v>Direct application</v>
      </c>
    </row>
    <row r="79" spans="1:22" ht="20.100000000000001" customHeight="1" x14ac:dyDescent="0.25">
      <c r="M79" s="1"/>
    </row>
    <row r="80" spans="1: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5" t="str" cm="1">
        <f t="array" ref="D85">SourceData_Dairy.SourceData_Dairy_NitrousOxideEFsAndFracGASM_Variation()</f>
        <v>VARIATION OF SOURCE: Added 'NIR reference' column to aid lookup</v>
      </c>
      <c r="M85" s="1"/>
      <c r="V85" s="1"/>
    </row>
    <row r="86" spans="4:22" ht="20.100000000000001" customHeight="1" x14ac:dyDescent="0.25">
      <c r="D86" s="29" t="s">
        <v>514</v>
      </c>
      <c r="E86" s="29" t="s">
        <v>524</v>
      </c>
      <c r="F86" s="29" t="s">
        <v>525</v>
      </c>
      <c r="G86" s="29" t="s">
        <v>523</v>
      </c>
      <c r="M86" s="1"/>
      <c r="V86" s="1"/>
    </row>
    <row r="87" spans="4:22" ht="20.100000000000001" customHeight="1" x14ac:dyDescent="0.25">
      <c r="D87" s="29" t="str" cm="1">
        <f t="array" ref="D87">Common_InputFunctions.Utility_DisplayArrayInTable(SourceData_Dairy.SourceData_Dairy_NitrousOxideEFsAndFracGASM_Data(), Table_SourceData_Dairy_EFmFracGASM[[#Headers],[MMS m]], 0)</f>
        <v>M=14 Pasture</v>
      </c>
      <c r="E87" s="29" cm="1">
        <f t="array" ref="E87">Common_InputFunctions.Utility_DisplayArrayInTable(SourceData_Dairy.SourceData_Dairy_NitrousOxideEFsAndFracGASM_Data(), Table_SourceData_Dairy_EFmFracGASM[[#Headers],[MMS m]], 0)</f>
        <v>0</v>
      </c>
      <c r="F87" s="29" cm="1">
        <f t="array" ref="F87">Common_InputFunctions.Utility_DisplayArrayInTable(SourceData_Dairy.SourceData_Dairy_NitrousOxideEFsAndFracGASM_Data(), Table_SourceData_Dairy_EFmFracGASM[[#Headers],[MMS m]], 0)</f>
        <v>0</v>
      </c>
      <c r="G87" s="2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29" cm="1">
        <f t="array" ref="E88">Common_InputFunctions.Utility_DisplayArrayInTable(SourceData_Dairy.SourceData_Dairy_NitrousOxideEFsAndFracGASM_Data(), Table_SourceData_Dairy_EFmFracGASM[[#Headers],[MMS m]], 0)</f>
        <v>0</v>
      </c>
      <c r="F88" s="29" cm="1">
        <f t="array" ref="F88">Common_InputFunctions.Utility_DisplayArrayInTable(SourceData_Dairy.SourceData_Dairy_NitrousOxideEFsAndFracGASM_Data(), Table_SourceData_Dairy_EFmFracGASM[[#Headers],[MMS m]], 0)</f>
        <v>0.35</v>
      </c>
      <c r="G88" s="2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29" cm="1">
        <f t="array" ref="E89">Common_InputFunctions.Utility_DisplayArrayInTable(SourceData_Dairy.SourceData_Dairy_NitrousOxideEFsAndFracGASM_Data(), Table_SourceData_Dairy_EFmFracGASM[[#Headers],[MMS m]], 0)</f>
        <v>0</v>
      </c>
      <c r="F89" s="29" cm="1">
        <f t="array" ref="F89">Common_InputFunctions.Utility_DisplayArrayInTable(SourceData_Dairy.SourceData_Dairy_NitrousOxideEFsAndFracGASM_Data(), Table_SourceData_Dairy_EFmFracGASM[[#Headers],[MMS m]], 0)</f>
        <v>7.0000000000000007E-2</v>
      </c>
      <c r="G89" s="2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29" cm="1">
        <f t="array" ref="E90">Common_InputFunctions.Utility_DisplayArrayInTable(SourceData_Dairy.SourceData_Dairy_NitrousOxideEFsAndFracGASM_Data(), Table_SourceData_Dairy_EFmFracGASM[[#Headers],[MMS m]], 0)</f>
        <v>0</v>
      </c>
      <c r="F90" s="29" cm="1">
        <f t="array" ref="F90">Common_InputFunctions.Utility_DisplayArrayInTable(SourceData_Dairy.SourceData_Dairy_NitrousOxideEFsAndFracGASM_Data(), Table_SourceData_Dairy_EFmFracGASM[[#Headers],[MMS m]], 0)</f>
        <v>0.2</v>
      </c>
      <c r="G90" s="2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29" cm="1">
        <f t="array" ref="E91">Common_InputFunctions.Utility_DisplayArrayInTable(SourceData_Dairy.SourceData_Dairy_NitrousOxideEFsAndFracGASM_Data(), Table_SourceData_Dairy_EFmFracGASM[[#Headers],[MMS m]], 0)</f>
        <v>5.0000000000000001E-3</v>
      </c>
      <c r="F91" s="29" cm="1">
        <f t="array" ref="F91">Common_InputFunctions.Utility_DisplayArrayInTable(SourceData_Dairy.SourceData_Dairy_NitrousOxideEFsAndFracGASM_Data(), Table_SourceData_Dairy_EFmFracGASM[[#Headers],[MMS m]], 0)</f>
        <v>0.3</v>
      </c>
      <c r="G91" s="2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29" t="s">
        <v>510</v>
      </c>
      <c r="E98" s="29" t="s">
        <v>526</v>
      </c>
      <c r="M98" s="1"/>
    </row>
    <row r="99" spans="4:13" ht="20.100000000000001" customHeight="1" x14ac:dyDescent="0.25">
      <c r="D99" s="29" t="str" cm="1">
        <f t="array" ref="D99">Common_InputFunctions.Utility_DisplayArrayInTable(SourceData_Dairy.SourceData_Dairy_MethaneProductionPreWeanedCalves_Data(), Table_SourceData_Dairy_MPWENTERIC[[#Headers],[Animal class j]], 0)</f>
        <v>Heifers &lt; 1 year</v>
      </c>
      <c r="E99" s="2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2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29" t="s">
        <v>510</v>
      </c>
      <c r="E107" s="29" t="s">
        <v>527</v>
      </c>
      <c r="M107" s="1"/>
    </row>
    <row r="108" spans="4:13" ht="20.100000000000001" customHeight="1" x14ac:dyDescent="0.25">
      <c r="D108" s="29" t="str" cm="1">
        <f t="array" ref="D108">Common_InputFunctions.Utility_DisplayArrayInTable(SourceData_Dairy.SourceData_Dairy_IncreasedMetabolicRateMilk_Data(), Table_SourceData_Dairy_MRj[[#Headers],[Animal class j]], 0)</f>
        <v>Milking cows, and house cows</v>
      </c>
      <c r="E108" s="2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2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29" t="s">
        <v>528</v>
      </c>
      <c r="E116" s="29" t="s">
        <v>171</v>
      </c>
      <c r="F116" s="29" t="s">
        <v>246</v>
      </c>
      <c r="G116" s="29" t="s">
        <v>529</v>
      </c>
      <c r="M116" s="1"/>
      <c r="V116" s="1"/>
    </row>
    <row r="117" spans="4:22" ht="20.100000000000001" customHeight="1" x14ac:dyDescent="0.25">
      <c r="D117" s="29" t="str" cm="1">
        <f t="array" ref="D117">Common_InputFunctions.Utility_DisplayArrayInTable(SourceData_Dairy.SourceData_Dairy_FractionVolatileSolidsVoidedMMS_Data(), Table_SourceData_Dairy_ProductionSystemTemplates[[#Headers],[Area]], 0)</f>
        <v>System 1: Grazed Only</v>
      </c>
      <c r="E117" s="29" cm="1">
        <f t="array" ref="E117">Common_InputFunctions.Utility_DisplayArrayInTable(SourceData_Dairy.SourceData_Dairy_FractionVolatileSolidsVoidedMMS_Data(), Table_SourceData_Dairy_ProductionSystemTemplates[[#Headers],[Area]], 0)</f>
        <v>0.89</v>
      </c>
      <c r="F117" s="29" cm="1">
        <f t="array" ref="F117">Common_InputFunctions.Utility_DisplayArrayInTable(SourceData_Dairy.SourceData_Dairy_FractionVolatileSolidsVoidedMMS_Data(), Table_SourceData_Dairy_ProductionSystemTemplates[[#Headers],[Area]], 0)</f>
        <v>0.11</v>
      </c>
      <c r="G117" s="2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29" cm="1">
        <f t="array" ref="E118">Common_InputFunctions.Utility_DisplayArrayInTable(SourceData_Dairy.SourceData_Dairy_FractionVolatileSolidsVoidedMMS_Data(), Table_SourceData_Dairy_ProductionSystemTemplates[[#Headers],[Area]], 0)</f>
        <v>0.79</v>
      </c>
      <c r="F118" s="29" cm="1">
        <f t="array" ref="F118">Common_InputFunctions.Utility_DisplayArrayInTable(SourceData_Dairy.SourceData_Dairy_FractionVolatileSolidsVoidedMMS_Data(), Table_SourceData_Dairy_ProductionSystemTemplates[[#Headers],[Area]], 0)</f>
        <v>0.11</v>
      </c>
      <c r="G118" s="2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29" cm="1">
        <f t="array" ref="E119">Common_InputFunctions.Utility_DisplayArrayInTable(SourceData_Dairy.SourceData_Dairy_FractionVolatileSolidsVoidedMMS_Data(), Table_SourceData_Dairy_ProductionSystemTemplates[[#Headers],[Area]], 0)</f>
        <v>0.53400000000000003</v>
      </c>
      <c r="F119" s="29" cm="1">
        <f t="array" ref="F119">Common_InputFunctions.Utility_DisplayArrayInTable(SourceData_Dairy.SourceData_Dairy_FractionVolatileSolidsVoidedMMS_Data(), Table_SourceData_Dairy_ProductionSystemTemplates[[#Headers],[Area]], 0)</f>
        <v>0.11</v>
      </c>
      <c r="G119" s="2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29" cm="1">
        <f t="array" ref="E120">Common_InputFunctions.Utility_DisplayArrayInTable(SourceData_Dairy.SourceData_Dairy_FractionVolatileSolidsVoidedMMS_Data(), Table_SourceData_Dairy_ProductionSystemTemplates[[#Headers],[Area]], 0)</f>
        <v>0</v>
      </c>
      <c r="F120" s="29" cm="1">
        <f t="array" ref="F120">Common_InputFunctions.Utility_DisplayArrayInTable(SourceData_Dairy.SourceData_Dairy_FractionVolatileSolidsVoidedMMS_Data(), Table_SourceData_Dairy_ProductionSystemTemplates[[#Headers],[Area]], 0)</f>
        <v>0.11</v>
      </c>
      <c r="G120" s="2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5" t="str" cm="1">
        <f t="array" ref="D127">SourceData_Dairy.SourceData_Dairy_EFNitrousOxidePerMMS_Variation()</f>
        <v>VARIATION OF SOURCE: Added 'NIR reference' column to aid lookup</v>
      </c>
      <c r="M127" s="1"/>
      <c r="V127" s="1"/>
    </row>
    <row r="128" spans="4:22" ht="20.100000000000001" customHeight="1" x14ac:dyDescent="0.25">
      <c r="D128" s="29" t="s">
        <v>514</v>
      </c>
      <c r="E128" s="29" t="s">
        <v>524</v>
      </c>
      <c r="F128" s="29" t="s">
        <v>523</v>
      </c>
      <c r="G128" s="150" t="s">
        <v>530</v>
      </c>
      <c r="M128" s="1"/>
      <c r="N128" s="8"/>
      <c r="V128" s="1"/>
    </row>
    <row r="129" spans="4:22" ht="20.100000000000001" customHeight="1" x14ac:dyDescent="0.25">
      <c r="D129" s="29" t="str" cm="1">
        <f t="array" ref="D129">Common_InputFunctions.Utility_DisplayArrayInTable(SourceData_Dairy.SourceData_Dairy_EFNitrousOxidePerMMS_Data(), Table_SourceData_Dairy_EFm[[#Headers],[MMS m]], 0)</f>
        <v>m=14 Pasture</v>
      </c>
      <c r="E129" s="29" cm="1">
        <f t="array" ref="E129">Common_InputFunctions.Utility_DisplayArrayInTable(SourceData_Dairy.SourceData_Dairy_EFNitrousOxidePerMMS_Data(), Table_SourceData_Dairy_EFm[[#Headers],[MMS m]], 0)</f>
        <v>0</v>
      </c>
      <c r="F129" s="29"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29" cm="1">
        <f t="array" ref="E130">Common_InputFunctions.Utility_DisplayArrayInTable(SourceData_Dairy.SourceData_Dairy_EFNitrousOxidePerMMS_Data(), Table_SourceData_Dairy_EFm[[#Headers],[MMS m]], 0)</f>
        <v>0</v>
      </c>
      <c r="F130" s="29"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29" cm="1">
        <f t="array" ref="E131">Common_InputFunctions.Utility_DisplayArrayInTable(SourceData_Dairy.SourceData_Dairy_EFNitrousOxidePerMMS_Data(), Table_SourceData_Dairy_EFm[[#Headers],[MMS m]], 0)</f>
        <v>0</v>
      </c>
      <c r="F131" s="29"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29" cm="1">
        <f t="array" ref="E132">Common_InputFunctions.Utility_DisplayArrayInTable(SourceData_Dairy.SourceData_Dairy_EFNitrousOxidePerMMS_Data(), Table_SourceData_Dairy_EFm[[#Headers],[MMS m]], 0)</f>
        <v>0</v>
      </c>
      <c r="F132" s="29"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29" cm="1">
        <f t="array" ref="E133">Common_InputFunctions.Utility_DisplayArrayInTable(SourceData_Dairy.SourceData_Dairy_EFNitrousOxidePerMMS_Data(), Table_SourceData_Dairy_EFm[[#Headers],[MMS m]], 0)</f>
        <v>5.0000000000000001E-3</v>
      </c>
      <c r="F133" s="29"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5" t="str" cm="1">
        <f t="array" ref="D140">SourceData_Dairy.SourceData_Dairy_DurationOfStay_Variation()</f>
        <v>VARIATION OF SOURCE: Converted free text in document to table, matching livestock class names.</v>
      </c>
      <c r="M140" s="8"/>
    </row>
    <row r="141" spans="4:22" ht="20.100000000000001" customHeight="1" x14ac:dyDescent="0.25">
      <c r="D141" s="29" t="s">
        <v>510</v>
      </c>
      <c r="E141" s="29" t="s">
        <v>531</v>
      </c>
      <c r="F141" s="29" t="s">
        <v>532</v>
      </c>
      <c r="M141" s="8"/>
    </row>
    <row r="142" spans="4:22" ht="20.100000000000001" customHeight="1" x14ac:dyDescent="0.25">
      <c r="D142" s="29" t="str" cm="1">
        <f t="array" ref="D142">Common_InputFunctions.Utility_DisplayArrayInTable(SourceData_Dairy.SourceData_Dairy_DurationOfStay_Data(), Table_SourceData_Dairy_Duration[[#Headers],[Animal class j]], 0)</f>
        <v>Milking cows</v>
      </c>
      <c r="E142" s="29" cm="1">
        <f t="array" ref="E142">Common_InputFunctions.Utility_DisplayArrayInTable(SourceData_Dairy.SourceData_Dairy_DurationOfStay_Data(), Table_SourceData_Dairy_Duration[[#Headers],[Animal class j]], 0)</f>
        <v>365</v>
      </c>
      <c r="F142" s="29"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29" cm="1">
        <f t="array" ref="E143">Common_InputFunctions.Utility_DisplayArrayInTable(SourceData_Dairy.SourceData_Dairy_DurationOfStay_Data(), Table_SourceData_Dairy_Duration[[#Headers],[Animal class j]], 0)</f>
        <v>365</v>
      </c>
      <c r="F143" s="29"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29" cm="1">
        <f t="array" ref="E144">Common_InputFunctions.Utility_DisplayArrayInTable(SourceData_Dairy.SourceData_Dairy_DurationOfStay_Data(), Table_SourceData_Dairy_Duration[[#Headers],[Animal class j]], 0)</f>
        <v>281</v>
      </c>
      <c r="F144" s="29"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29" cm="1">
        <f t="array" ref="E145">Common_InputFunctions.Utility_DisplayArrayInTable(SourceData_Dairy.SourceData_Dairy_DurationOfStay_Data(), Table_SourceData_Dairy_Duration[[#Headers],[Animal class j]], 0)</f>
        <v>365</v>
      </c>
      <c r="F145" s="29"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29" cm="1">
        <f t="array" ref="E146">Common_InputFunctions.Utility_DisplayArrayInTable(SourceData_Dairy.SourceData_Dairy_DurationOfStay_Data(), Table_SourceData_Dairy_Duration[[#Headers],[Animal class j]], 0)</f>
        <v>281</v>
      </c>
      <c r="F146" s="29"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7"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7"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7"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29" t="str">
        <f>HYPERLINK("#A1", "▲ Back to top")</f>
        <v>▲ Back to top</v>
      </c>
      <c r="D174" s="87"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7"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7"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7"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7"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7"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29" t="str">
        <f>HYPERLINK("#A1", "▲ Back to top")</f>
        <v>▲ Back to top</v>
      </c>
      <c r="D215" s="87"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7"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7"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7"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780FC-BA2D-4F83-B569-F70EF83DE6E8}">
  <dimension ref="A1:AI235"/>
  <sheetViews>
    <sheetView showGridLines="0" topLeftCell="B1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0" customFormat="1" ht="30" customHeight="1" x14ac:dyDescent="0.35">
      <c r="A1" s="16" t="e" vm="1">
        <v>#VALUE!</v>
      </c>
      <c r="C1" s="30" t="s">
        <v>979</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60" t="s">
        <v>980</v>
      </c>
      <c r="E7" s="260" t="s">
        <v>981</v>
      </c>
      <c r="F7" s="260" t="s">
        <v>982</v>
      </c>
      <c r="G7" s="260" t="s">
        <v>983</v>
      </c>
      <c r="H7" s="260" t="s">
        <v>984</v>
      </c>
      <c r="I7" s="260" t="s">
        <v>985</v>
      </c>
      <c r="J7" s="260" t="s">
        <v>986</v>
      </c>
      <c r="K7" s="260" t="s">
        <v>987</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169</v>
      </c>
      <c r="E19" t="s">
        <v>988</v>
      </c>
      <c r="F19" t="s">
        <v>989</v>
      </c>
      <c r="G19" t="s">
        <v>990</v>
      </c>
      <c r="H19" t="s">
        <v>991</v>
      </c>
      <c r="I19" t="s">
        <v>992</v>
      </c>
      <c r="J19" t="s">
        <v>993</v>
      </c>
      <c r="K19" t="s">
        <v>994</v>
      </c>
      <c r="L19" t="s">
        <v>995</v>
      </c>
      <c r="N19" s="2" t="s">
        <v>497</v>
      </c>
    </row>
    <row r="20" spans="1:14" ht="20.100000000000001"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9" t="s">
        <v>64</v>
      </c>
    </row>
    <row r="22" spans="1:14" ht="20.100000000000001"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9" t="s">
        <v>502</v>
      </c>
    </row>
    <row r="23" spans="1:14" ht="20.100000000000001"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9" t="s">
        <v>503</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260</v>
      </c>
    </row>
    <row r="25" spans="1:14" ht="20.100000000000001" customHeight="1" x14ac:dyDescent="0.25">
      <c r="A25" s="5" t="str">
        <f>HYPERLINK("#'Input - Solid waste'!A1", "Solid waste")</f>
        <v>Solid waste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504</v>
      </c>
    </row>
    <row r="26" spans="1:14" ht="20.100000000000001" customHeight="1" x14ac:dyDescent="0.25">
      <c r="A26" s="5" t="str">
        <f>HYPERLINK("#'Input - Data quality'!A1", "Data quality")</f>
        <v>Data quality</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505</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6" t="s">
        <v>2</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HYPERLINK("#'5.1.1.1-2 Inorganic fert N2O'!A1", "5.1.1.1-2 Inorganic fert N2O")</f>
        <v>5.1.1.1-2 Inorganic fert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HYPERLINK("#'5.1.1.3-4 Inorganic fert CO2'!A1", "5.1.1.3-4 Inorganic fert CO2")</f>
        <v>5.1.1.3-4 Inorganic fert CO2</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HYPERLINK("#'5.2.1.1-2 Organic Fert N2O'!A1", "5.2.1.1-2 Organic fert N2O")</f>
        <v>5.2.1.1-2 Organic fert N2O</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HYPERLINK("#'5.3.1.1-2 Lime CO2'!A1", "5.3.1.1-2 Lime CO2")</f>
        <v>5.3.1.1-2 Lime CO2</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HYPERLINK("#'5.4.1.1-4 Atmos deposition'!A1", "5.4.1.1-4 Atmos. deposition")</f>
        <v>5.4.1.1-4 Atmos. deposition</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HYPERLINK("#'5.5.1.1-2 Leaching and runoff'!A1", "5.5.1.1-2 Leaching &amp; runoff")</f>
        <v>5.5.1.1-2 Leaching &amp; runoff</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HYPERLINK("#'6.2.1.1-2 Pasture residue N2O'!A1", "6.2.1.1-2 Pasture residue N2O")</f>
        <v>6.2.1.1-2 Pasture residue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HYPERLINK("#'6.3.1.1-2 Leach runoff pasture'!A1", "6.3.1.1-2 Leach &amp; runoff (pasture)")</f>
        <v>6.3.1.1-2 Leach &amp; runoff (pasture)</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HYPERLINK("#'8.1.1.1-2 Transport fuel'!A1", "8.1.1.1-2 Transport fuel")</f>
        <v>8.1.1.1-2 Transport fuel</v>
      </c>
      <c r="D38" s="8"/>
      <c r="E38" s="8"/>
      <c r="F38" s="8"/>
      <c r="G38" s="8"/>
      <c r="H38" s="8"/>
      <c r="I38" s="8"/>
      <c r="J38" s="8"/>
      <c r="K38" s="8"/>
      <c r="L38" s="8"/>
    </row>
    <row r="39" spans="1:13" ht="20.100000000000001" customHeight="1" x14ac:dyDescent="0.25">
      <c r="A39" s="5" t="str">
        <f>HYPERLINK("#'8.2.1.1-2 Stationary fuel'!A1", "8.2.1.1-2 Stationary fuel")</f>
        <v>8.2.1.1-2 Stationary fuel</v>
      </c>
      <c r="D39" s="8"/>
      <c r="E39" s="8"/>
      <c r="F39" s="8"/>
      <c r="G39" s="8"/>
      <c r="H39" s="8"/>
      <c r="I39" s="8"/>
      <c r="J39" s="8"/>
      <c r="K39" s="8"/>
      <c r="L39" s="8"/>
    </row>
    <row r="40" spans="1:13" ht="20.100000000000001" customHeight="1" x14ac:dyDescent="0.25">
      <c r="A40" s="5" t="str">
        <f>HYPERLINK("#'14.1.1-2 Purchased electricity'!A1", "14.1.1-2 Purchased electricity")</f>
        <v>14.1.1-2 Purchased electricity</v>
      </c>
      <c r="D40" s="2" t="str" cm="1">
        <f t="array" ref="D40">Agresidue_SourceData.N2OEFOrganicFertiliser_Title()</f>
        <v>Emission factor for organic fertiliser and crop residues returned to the soil</v>
      </c>
      <c r="E40" s="34"/>
      <c r="F40" s="34"/>
      <c r="G40" s="8"/>
      <c r="H40" s="8"/>
      <c r="I40" s="8"/>
      <c r="J40" s="8"/>
      <c r="K40" s="8"/>
      <c r="L40" s="8"/>
    </row>
    <row r="41" spans="1:13" ht="20.100000000000001" customHeight="1" x14ac:dyDescent="0.25">
      <c r="A41" s="5" t="str">
        <f>HYPERLINK("#'15 Scope 3'!A1", "15 Scope 3")</f>
        <v>15 Scope 3</v>
      </c>
      <c r="D41" s="27" t="str" cm="1">
        <f t="array" ref="D41">Agresidue_SourceData.N2OEFOrganicFertiliser_Source()</f>
        <v>VEERG 2026: Table A.2.1.4</v>
      </c>
      <c r="E41" s="34"/>
      <c r="F41" s="34"/>
      <c r="G41" s="8"/>
      <c r="H41" s="8"/>
      <c r="I41" s="8"/>
      <c r="J41" s="8"/>
      <c r="K41" s="8"/>
      <c r="L41" s="8"/>
    </row>
    <row r="42" spans="1:13" ht="20.100000000000001" customHeight="1" x14ac:dyDescent="0.25">
      <c r="A42" s="5" t="str">
        <f>HYPERLINK("#'Calcs - Manure sent off-site'!A1", "Calcs - Manure sent off-site")</f>
        <v>Calcs - Manure sent off-site</v>
      </c>
      <c r="D42" s="27"/>
      <c r="E42" s="34"/>
      <c r="F42" s="34"/>
      <c r="H42" s="8"/>
      <c r="I42" s="8"/>
      <c r="M42" s="34"/>
    </row>
    <row r="43" spans="1:13" ht="20.100000000000001" customHeight="1" x14ac:dyDescent="0.25">
      <c r="A43" s="5" t="str">
        <f>HYPERLINK("#'4.3.1.1-2 Methane'!A1", "4.3.1.1-2 Methane")</f>
        <v>4.3.1.1-2 Methane</v>
      </c>
      <c r="D43" s="200" t="s">
        <v>996</v>
      </c>
      <c r="E43" s="200" t="s">
        <v>997</v>
      </c>
      <c r="F43" s="34"/>
      <c r="H43" s="8"/>
      <c r="I43" s="8"/>
      <c r="M43" s="34"/>
    </row>
    <row r="44" spans="1:13" ht="20.100000000000001" customHeight="1" x14ac:dyDescent="0.25">
      <c r="A44" s="5" t="str">
        <f>HYPERLINK("#'4.3.1.3-4 Direct N20'!A1", "4.3.1.3-4 Direct N20")</f>
        <v>4.3.1.3-4 Direct N20</v>
      </c>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4"/>
      <c r="H44" s="8"/>
      <c r="I44" s="8"/>
      <c r="M44" s="34"/>
    </row>
    <row r="45" spans="1:13" ht="20.100000000000001" customHeight="1" x14ac:dyDescent="0.25">
      <c r="A45" s="5" t="str">
        <f>HYPERLINK("#'4.3.1.5 Atmos deposition'!A1", "4.3.1.5 Atmos deposition")</f>
        <v>4.3.1.5 Atmos deposition</v>
      </c>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4"/>
      <c r="H45" s="8"/>
      <c r="I45" s="8"/>
      <c r="M45" s="34"/>
    </row>
    <row r="46" spans="1:13" ht="20.100000000000001" customHeight="1" x14ac:dyDescent="0.25">
      <c r="A46" s="5" t="str">
        <f>HYPERLINK("#'4.3.1.6-7 Leaching and runoff'!A1", "4.3.1.6-7 Leaching and runoff")</f>
        <v>4.3.1.6-7 Leaching and runoff</v>
      </c>
      <c r="H46" s="8"/>
      <c r="I46" s="8"/>
      <c r="M46" s="34"/>
    </row>
    <row r="47" spans="1:13" ht="20.100000000000001" customHeight="1" x14ac:dyDescent="0.25">
      <c r="A47" s="5" t="str">
        <f>HYPERLINK("#'4.3.1.8 Manure applied to soils'!A1", "4.3.1.8 Manure applied to soils")</f>
        <v>4.3.1.8 Manure applied to soils</v>
      </c>
      <c r="M47" s="34"/>
    </row>
    <row r="48" spans="1:13" ht="20.100000000000001" customHeight="1" x14ac:dyDescent="0.25">
      <c r="A48" s="5" t="str">
        <f>HYPERLINK("#'4.3.1.9 Soil direct N2O'!A1", "4.3.1.9 Soil direct N2O")</f>
        <v>4.3.1.9 Soil direct N2O</v>
      </c>
      <c r="D48" s="2" t="str" cm="1">
        <f t="array" ref="D48">Agresidue_SourceData.PastureAttributes_Title()</f>
        <v>Table A.2.1.3 Pasture attributes</v>
      </c>
      <c r="K48" s="8"/>
      <c r="L48" s="8"/>
    </row>
    <row r="49" spans="1:12" ht="20.100000000000001" customHeight="1" x14ac:dyDescent="0.25">
      <c r="A49" s="5" t="str">
        <f>HYPERLINK("#'4.3.1.10-11 Soil Atmos Dep'!A1", "4.3.1.10-11 Soil Atmos Dep")</f>
        <v>4.3.1.10-11 Soil Atmos Dep</v>
      </c>
      <c r="D49" s="27" t="str" cm="1">
        <f t="array" ref="D49">Agresidue_SourceData.PastureAttributes_Source()</f>
        <v>VEERG 2026: Table A.2.1.3: Pasture attributes</v>
      </c>
      <c r="K49" s="8"/>
      <c r="L49" s="8"/>
    </row>
    <row r="50" spans="1:12" ht="20.100000000000001" customHeight="1" x14ac:dyDescent="0.25">
      <c r="A50" s="5" t="str">
        <f>HYPERLINK("#'4.3.1.12-13 Soil leach runoff'!A1", "4.3.1.12-13 Soil leach runoff")</f>
        <v>4.3.1.12-13 Soil leach runoff</v>
      </c>
      <c r="K50" s="8"/>
      <c r="L50" s="8"/>
    </row>
    <row r="51" spans="1:12" ht="20.100000000000001" customHeight="1" x14ac:dyDescent="0.25">
      <c r="A51" s="5" t="str">
        <f>HYPERLINK("#'3.3.1.1-2 Enteric Methane'!A1", "3.3.1.1-2 Enteric Methane")</f>
        <v>3.3.1.1-2 Enteric Methane</v>
      </c>
      <c r="D51" s="29" t="s">
        <v>948</v>
      </c>
      <c r="E51" s="29" t="s">
        <v>998</v>
      </c>
      <c r="F51" s="29" t="s">
        <v>999</v>
      </c>
      <c r="G51" s="29" t="s">
        <v>1000</v>
      </c>
      <c r="H51" s="29" t="s">
        <v>1001</v>
      </c>
      <c r="I51" s="29" t="s">
        <v>1002</v>
      </c>
      <c r="K51" s="8"/>
      <c r="L51" s="8"/>
    </row>
    <row r="52" spans="1:12" ht="20.100000000000001" customHeight="1" x14ac:dyDescent="0.25">
      <c r="A52" s="5" t="str">
        <f>HYPERLINK("#'10.1.1-2 Solid waste treatment'!A1", "10.1.1-2 Solid waste treatment")</f>
        <v>10.1.1-2 Solid waste treatment</v>
      </c>
      <c r="D52" s="29" t="str" cm="1">
        <f t="array" ref="D52">Common_InputFunctions.Utility_DisplayArrayInTable(Agresidue_SourceData.PastureAttributes_Data(), Table_SourceData_PastureAttributes[[#Headers],[Pasture type]], 0)</f>
        <v>Annual grass</v>
      </c>
      <c r="E52" s="29" cm="1">
        <f t="array" ref="E52">Common_InputFunctions.Utility_DisplayArrayInTable(Agresidue_SourceData.PastureAttributes_Data(), Table_SourceData_PastureAttributes[[#Headers],[Pasture type]], 0)</f>
        <v>4.41</v>
      </c>
      <c r="F52" s="29" cm="1">
        <f t="array" ref="F52">Common_InputFunctions.Utility_DisplayArrayInTable(Agresidue_SourceData.PastureAttributes_Data(), Table_SourceData_PastureAttributes[[#Headers],[Pasture type]], 0)</f>
        <v>0.4</v>
      </c>
      <c r="G52" s="29" cm="1">
        <f t="array" ref="G52">Common_InputFunctions.Utility_DisplayArrayInTable(Agresidue_SourceData.PastureAttributes_Data(), Table_SourceData_PastureAttributes[[#Headers],[Pasture type]], 0)</f>
        <v>1.4999999999999999E-2</v>
      </c>
      <c r="H52" s="29" cm="1">
        <f t="array" ref="H52">Common_InputFunctions.Utility_DisplayArrayInTable(Agresidue_SourceData.PastureAttributes_Data(), Table_SourceData_PastureAttributes[[#Headers],[Pasture type]], 0)</f>
        <v>1.2E-2</v>
      </c>
      <c r="I52" s="29" cm="1">
        <f t="array" ref="I52">Common_InputFunctions.Utility_DisplayArrayInTable(Agresidue_SourceData.PastureAttributes_Data(), Table_SourceData_PastureAttributes[[#Headers],[Pasture type]], 0)</f>
        <v>0.8</v>
      </c>
      <c r="L52" s="8"/>
    </row>
    <row r="53" spans="1:12" ht="20.100000000000001" customHeight="1" x14ac:dyDescent="0.25">
      <c r="D53" s="29" t="str" cm="1">
        <f t="array" ref="D53">Common_InputFunctions.Utility_DisplayArrayInTable(Agresidue_SourceData.PastureAttributes_Data(), Table_SourceData_PastureAttributes[[#Headers],[Pasture type]], 0)</f>
        <v>Grass clover mixture</v>
      </c>
      <c r="E53" s="29" cm="1">
        <f t="array" ref="E53">Common_InputFunctions.Utility_DisplayArrayInTable(Agresidue_SourceData.PastureAttributes_Data(), Table_SourceData_PastureAttributes[[#Headers],[Pasture type]], 0)</f>
        <v>8.34</v>
      </c>
      <c r="F53" s="29" cm="1">
        <f t="array" ref="F53">Common_InputFunctions.Utility_DisplayArrayInTable(Agresidue_SourceData.PastureAttributes_Data(), Table_SourceData_PastureAttributes[[#Headers],[Pasture type]], 0)</f>
        <v>0.8</v>
      </c>
      <c r="G53" s="29" cm="1">
        <f t="array" ref="G53">Common_InputFunctions.Utility_DisplayArrayInTable(Agresidue_SourceData.PastureAttributes_Data(), Table_SourceData_PastureAttributes[[#Headers],[Pasture type]], 0)</f>
        <v>2.5000000000000001E-2</v>
      </c>
      <c r="H53" s="29" cm="1">
        <f t="array" ref="H53">Common_InputFunctions.Utility_DisplayArrayInTable(Agresidue_SourceData.PastureAttributes_Data(), Table_SourceData_PastureAttributes[[#Headers],[Pasture type]], 0)</f>
        <v>1.6E-2</v>
      </c>
      <c r="I53" s="29" cm="1">
        <f t="array" ref="I53">Common_InputFunctions.Utility_DisplayArrayInTable(Agresidue_SourceData.PastureAttributes_Data(), Table_SourceData_PastureAttributes[[#Headers],[Pasture type]], 0)</f>
        <v>0.8</v>
      </c>
      <c r="L53" s="8"/>
    </row>
    <row r="54" spans="1:12" ht="20.100000000000001" customHeight="1" x14ac:dyDescent="0.25">
      <c r="D54" s="29" t="str" cm="1">
        <f t="array" ref="D54">Common_InputFunctions.Utility_DisplayArrayInTable(Agresidue_SourceData.PastureAttributes_Data(), Table_SourceData_PastureAttributes[[#Headers],[Pasture type]], 0)</f>
        <v>Lucerne</v>
      </c>
      <c r="E54" s="29" cm="1">
        <f t="array" ref="E54">Common_InputFunctions.Utility_DisplayArrayInTable(Agresidue_SourceData.PastureAttributes_Data(), Table_SourceData_PastureAttributes[[#Headers],[Pasture type]], 0)</f>
        <v>8.6199999999999992</v>
      </c>
      <c r="F54" s="29" cm="1">
        <f t="array" ref="F54">Common_InputFunctions.Utility_DisplayArrayInTable(Agresidue_SourceData.PastureAttributes_Data(), Table_SourceData_PastureAttributes[[#Headers],[Pasture type]], 0)</f>
        <v>0.4</v>
      </c>
      <c r="G54" s="29" cm="1">
        <f t="array" ref="G54">Common_InputFunctions.Utility_DisplayArrayInTable(Agresidue_SourceData.PastureAttributes_Data(), Table_SourceData_PastureAttributes[[#Headers],[Pasture type]], 0)</f>
        <v>2.7E-2</v>
      </c>
      <c r="H54" s="29" cm="1">
        <f t="array" ref="H54">Common_InputFunctions.Utility_DisplayArrayInTable(Agresidue_SourceData.PastureAttributes_Data(), Table_SourceData_PastureAttributes[[#Headers],[Pasture type]], 0)</f>
        <v>1.9E-2</v>
      </c>
      <c r="I54" s="29" cm="1">
        <f t="array" ref="I54">Common_InputFunctions.Utility_DisplayArrayInTable(Agresidue_SourceData.PastureAttributes_Data(), Table_SourceData_PastureAttributes[[#Headers],[Pasture type]], 0)</f>
        <v>0.8</v>
      </c>
    </row>
    <row r="55" spans="1:12" ht="20.100000000000001" customHeight="1" x14ac:dyDescent="0.25">
      <c r="A55" s="100" t="s">
        <v>1</v>
      </c>
      <c r="D55" s="29" t="str" cm="1">
        <f t="array" ref="D55">Common_InputFunctions.Utility_DisplayArrayInTable(Agresidue_SourceData.PastureAttributes_Data(), Table_SourceData_PastureAttributes[[#Headers],[Pasture type]], 0)</f>
        <v>Other legume</v>
      </c>
      <c r="E55" s="29" cm="1">
        <f t="array" ref="E55">Common_InputFunctions.Utility_DisplayArrayInTable(Agresidue_SourceData.PastureAttributes_Data(), Table_SourceData_PastureAttributes[[#Headers],[Pasture type]], 0)</f>
        <v>5.62</v>
      </c>
      <c r="F55" s="29" cm="1">
        <f t="array" ref="F55">Common_InputFunctions.Utility_DisplayArrayInTable(Agresidue_SourceData.PastureAttributes_Data(), Table_SourceData_PastureAttributes[[#Headers],[Pasture type]], 0)</f>
        <v>0.4</v>
      </c>
      <c r="G55" s="29" cm="1">
        <f t="array" ref="G55">Common_InputFunctions.Utility_DisplayArrayInTable(Agresidue_SourceData.PastureAttributes_Data(), Table_SourceData_PastureAttributes[[#Headers],[Pasture type]], 0)</f>
        <v>2.7E-2</v>
      </c>
      <c r="H55" s="29" cm="1">
        <f t="array" ref="H55">Common_InputFunctions.Utility_DisplayArrayInTable(Agresidue_SourceData.PastureAttributes_Data(), Table_SourceData_PastureAttributes[[#Headers],[Pasture type]], 0)</f>
        <v>2.1999999999999999E-2</v>
      </c>
      <c r="I55" s="29"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Dairy'!A1", "Constants - Dairy")</f>
        <v>Constants - Dairy</v>
      </c>
      <c r="D56" s="29" t="str" cm="1">
        <f t="array" ref="D56">Common_InputFunctions.Utility_DisplayArrayInTable(Agresidue_SourceData.PastureAttributes_Data(), Table_SourceData_PastureAttributes[[#Headers],[Pasture type]], 0)</f>
        <v>Perennial pasture</v>
      </c>
      <c r="E56" s="29" cm="1">
        <f t="array" ref="E56">Common_InputFunctions.Utility_DisplayArrayInTable(Agresidue_SourceData.PastureAttributes_Data(), Table_SourceData_PastureAttributes[[#Headers],[Pasture type]], 0)</f>
        <v>8.35</v>
      </c>
      <c r="F56" s="29" cm="1">
        <f t="array" ref="F56">Common_InputFunctions.Utility_DisplayArrayInTable(Agresidue_SourceData.PastureAttributes_Data(), Table_SourceData_PastureAttributes[[#Headers],[Pasture type]], 0)</f>
        <v>0.8</v>
      </c>
      <c r="G56" s="29" cm="1">
        <f t="array" ref="G56">Common_InputFunctions.Utility_DisplayArrayInTable(Agresidue_SourceData.PastureAttributes_Data(), Table_SourceData_PastureAttributes[[#Headers],[Pasture type]], 0)</f>
        <v>1.4999999999999999E-2</v>
      </c>
      <c r="H56" s="29" cm="1">
        <f t="array" ref="H56">Common_InputFunctions.Utility_DisplayArrayInTable(Agresidue_SourceData.PastureAttributes_Data(), Table_SourceData_PastureAttributes[[#Headers],[Pasture type]], 0)</f>
        <v>1.2E-2</v>
      </c>
      <c r="I56" s="29" cm="1">
        <f t="array" ref="I56">Common_InputFunctions.Utility_DisplayArrayInTable(Agresidue_SourceData.PastureAttributes_Data(), Table_SourceData_PastureAttributes[[#Headers],[Pasture type]], 0)</f>
        <v>0.8</v>
      </c>
    </row>
    <row r="57" spans="1:12" ht="20.100000000000001" customHeight="1" x14ac:dyDescent="0.25">
      <c r="A57" s="148" t="str">
        <f>HYPERLINK("#'Constants - Ag Residue'!A1", "Constants - Ag residue")</f>
        <v>Constants - Ag residue</v>
      </c>
      <c r="H57" s="8"/>
    </row>
    <row r="58" spans="1:12" ht="20.100000000000001" customHeight="1" x14ac:dyDescent="0.25">
      <c r="A58" s="5" t="str">
        <f>HYPERLINK("#'Constants - Common Livestock'!A1", "Constants - Common Livestock")</f>
        <v>Constants - Common Livestock</v>
      </c>
    </row>
    <row r="59" spans="1:12" ht="20.100000000000001" customHeight="1" x14ac:dyDescent="0.25">
      <c r="A59" s="5" t="str">
        <f>HYPERLINK("#'Constants - Electricity'!A1", "Constants - Electricity")</f>
        <v>Constants - Electricity</v>
      </c>
      <c r="D59" s="2" t="str" cm="1">
        <f t="array" ref="D59">AgResidues_SourceData.BurningOfAgriculturalResiduesEFs_Title()</f>
        <v>Table 5.31 Burning of agricultural residues - EFs</v>
      </c>
    </row>
    <row r="60" spans="1:12" ht="20.100000000000001" customHeight="1" x14ac:dyDescent="0.25">
      <c r="A60" s="5" t="str">
        <f>HYPERLINK("#'Constants - Fertiliser'!A1", "Constants - Fertiliser")</f>
        <v>Constants - Fertiliser</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Fuel'!A1", "Constants - Fuel")</f>
        <v>Constants - Fuel</v>
      </c>
    </row>
    <row r="62" spans="1:12" ht="20.100000000000001" customHeight="1" x14ac:dyDescent="0.25">
      <c r="A62" s="5" t="str">
        <f>HYPERLINK("#'Constants - Scope 3'!A1", "Constants - Scope 3")</f>
        <v>Constants - Scope 3</v>
      </c>
      <c r="D62" s="29" t="s">
        <v>1003</v>
      </c>
      <c r="E62" s="29" t="s">
        <v>1004</v>
      </c>
      <c r="F62" s="29" t="s">
        <v>1005</v>
      </c>
    </row>
    <row r="63" spans="1:12" ht="20.100000000000001" customHeight="1" x14ac:dyDescent="0.25">
      <c r="A63" s="5" t="str">
        <f>HYPERLINK("#'Constants - Common'!A1", "Constants - Common")</f>
        <v>Constants - Common</v>
      </c>
      <c r="D63" s="29" t="str" cm="1">
        <f t="array" ref="D63">Common_InputFunctions.Utility_DisplayArrayInTable(AgResidues_SourceData.BurningOfAgriculturalResiduesEFs_Data(), Table_SourceData_BurningResidueEFs[[#Headers],[Gas species]], 0)</f>
        <v>CH4</v>
      </c>
      <c r="E63" s="29" cm="1">
        <f t="array" ref="E63">Common_InputFunctions.Utility_DisplayArrayInTable(AgResidues_SourceData.BurningOfAgriculturalResiduesEFs_Data(), Table_SourceData_BurningResidueEFs[[#Headers],[Gas species]], 0)</f>
        <v>3.5000000000000001E-3</v>
      </c>
      <c r="F63" s="2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A64" s="5" t="str">
        <f>HYPERLINK("#'Acknowledgements'!A1", "Acknowledgements")</f>
        <v>Acknowledgements</v>
      </c>
      <c r="D64" s="1" t="str" cm="1">
        <f t="array" ref="D64">Common_InputFunctions.Utility_DisplayArrayInTable(AgResidues_SourceData.BurningOfAgriculturalResiduesEFs_Data(), Table_SourceData_BurningResidueEFs[[#Headers],[Gas species]], 0)</f>
        <v>N2O</v>
      </c>
      <c r="E64" s="29" cm="1">
        <f t="array" ref="E64">Common_InputFunctions.Utility_DisplayArrayInTable(AgResidues_SourceData.BurningOfAgriculturalResiduesEFs_Data(), Table_SourceData_BurningResidueEFs[[#Headers],[Gas species]], 0)</f>
        <v>7.6E-3</v>
      </c>
      <c r="F64" s="29" t="str" cm="1">
        <f t="array" ref="F64">Common_InputFunctions.Utility_DisplayArrayInTable(AgResidues_SourceData.BurningOfAgriculturalResiduesEFs_Data(), Table_SourceData_BurningResidueEFs[[#Headers],[Gas species]], 0)</f>
        <v>44/28</v>
      </c>
      <c r="K64" s="8"/>
      <c r="L64" s="8"/>
    </row>
    <row r="65" spans="1:12" ht="20.100000000000001" customHeight="1" x14ac:dyDescent="0.25">
      <c r="A65" s="5" t="str">
        <f>HYPERLINK("#'Constants - Solid Waste'!A1", "Constants - Solid Waste")</f>
        <v>Constants - Solid Waste</v>
      </c>
      <c r="D65" s="1" t="str" cm="1">
        <f t="array" ref="D65">Common_InputFunctions.Utility_DisplayArrayInTable(AgResidues_SourceData.BurningOfAgriculturalResiduesEFs_Data(), Table_SourceData_BurningResidueEFs[[#Headers],[Gas species]], 0)</f>
        <v>NOx</v>
      </c>
      <c r="E65" s="29" cm="1">
        <f t="array" ref="E65">Common_InputFunctions.Utility_DisplayArrayInTable(AgResidues_SourceData.BurningOfAgriculturalResiduesEFs_Data(), Table_SourceData_BurningResidueEFs[[#Headers],[Gas species]], 0)</f>
        <v>0.21</v>
      </c>
      <c r="F65" s="29" t="str" cm="1">
        <f t="array" ref="F65">Common_InputFunctions.Utility_DisplayArrayInTable(AgResidues_SourceData.BurningOfAgriculturalResiduesEFs_Data(), Table_SourceData_BurningResidueEFs[[#Headers],[Gas species]], 0)</f>
        <v>46/14</v>
      </c>
      <c r="K65" s="8"/>
      <c r="L65" s="8"/>
    </row>
    <row r="66" spans="1:12" ht="20.100000000000001" customHeight="1" x14ac:dyDescent="0.25">
      <c r="D66" s="1" t="str" cm="1">
        <f t="array" ref="D66">Common_InputFunctions.Utility_DisplayArrayInTable(AgResidues_SourceData.BurningOfAgriculturalResiduesEFs_Data(), Table_SourceData_BurningResidueEFs[[#Headers],[Gas species]], 0)</f>
        <v>CO</v>
      </c>
      <c r="E66" s="29" cm="1">
        <f t="array" ref="E66">Common_InputFunctions.Utility_DisplayArrayInTable(AgResidues_SourceData.BurningOfAgriculturalResiduesEFs_Data(), Table_SourceData_BurningResidueEFs[[#Headers],[Gas species]], 0)</f>
        <v>7.8E-2</v>
      </c>
      <c r="F66" s="29" t="str" cm="1">
        <f t="array" ref="F66">Common_InputFunctions.Utility_DisplayArrayInTable(AgResidues_SourceData.BurningOfAgriculturalResiduesEFs_Data(), Table_SourceData_BurningResidueEFs[[#Headers],[Gas species]], 0)</f>
        <v>28/12</v>
      </c>
      <c r="K66" s="8"/>
      <c r="L66" s="8"/>
    </row>
    <row r="67" spans="1:12" ht="20.100000000000001" customHeight="1" x14ac:dyDescent="0.25">
      <c r="D67" s="1" t="str" cm="1">
        <f t="array" ref="D67">Common_InputFunctions.Utility_DisplayArrayInTable(AgResidues_SourceData.BurningOfAgriculturalResiduesEFs_Data(), Table_SourceData_BurningResidueEFs[[#Headers],[Gas species]], 0)</f>
        <v>NMVOC</v>
      </c>
      <c r="E67" s="29" cm="1">
        <f t="array" ref="E67">Common_InputFunctions.Utility_DisplayArrayInTable(AgResidues_SourceData.BurningOfAgriculturalResiduesEFs_Data(), Table_SourceData_BurningResidueEFs[[#Headers],[Gas species]], 0)</f>
        <v>9.1000000000000004E-3</v>
      </c>
      <c r="F67" s="29" t="str" cm="1">
        <f t="array" ref="F67">Common_InputFunctions.Utility_DisplayArrayInTable(AgResidues_SourceData.BurningOfAgriculturalResiduesEFs_Data(), Table_SourceData_BurningResidueEFs[[#Headers],[Gas species]], 0)</f>
        <v>14/12</v>
      </c>
      <c r="K67" s="8"/>
      <c r="L67" s="8"/>
    </row>
    <row r="68" spans="1:12" ht="20.100000000000001" customHeight="1" x14ac:dyDescent="0.25">
      <c r="K68" s="8"/>
      <c r="L68" s="8"/>
    </row>
    <row r="69" spans="1:12" ht="20.100000000000001" customHeight="1" x14ac:dyDescent="0.25">
      <c r="K69" s="8"/>
      <c r="L69" s="8"/>
    </row>
    <row r="70" spans="1:12" ht="20.100000000000001" customHeight="1" x14ac:dyDescent="0.25">
      <c r="D70" s="2" t="str" cm="1">
        <f t="array" ref="D70">Agresidue_SourceData.CropFractionRemoved_Title()</f>
        <v>Table A.2.1.2: Crop attributes - Fraction removed (FFODc)</v>
      </c>
      <c r="E70" s="8"/>
      <c r="F70" s="8"/>
      <c r="G70" s="8"/>
      <c r="K70" s="8"/>
      <c r="L70" s="8"/>
    </row>
    <row r="71" spans="1:12" ht="20.100000000000001" customHeight="1" x14ac:dyDescent="0.25">
      <c r="D71" s="27" t="str" cm="1">
        <f t="array" ref="D71">Agresidue_SourceData.CropFractionRemoved_Source()</f>
        <v>VEERG 2026: Table A.2.1.2: Crop attributes - Fraction removed (FFODc)</v>
      </c>
      <c r="E71" s="8"/>
      <c r="F71" s="8"/>
      <c r="G71" s="8"/>
      <c r="K71" s="8"/>
      <c r="L71" s="8"/>
    </row>
    <row r="72" spans="1:12" ht="20.100000000000001" customHeight="1" x14ac:dyDescent="0.25">
      <c r="D72" s="8"/>
      <c r="E72" s="8"/>
      <c r="F72" s="8"/>
      <c r="G72" s="8"/>
      <c r="K72" s="8"/>
      <c r="L72" s="8"/>
    </row>
    <row r="73" spans="1:12" ht="20.100000000000001" customHeight="1" x14ac:dyDescent="0.25">
      <c r="D73" t="s">
        <v>1006</v>
      </c>
      <c r="E73" t="s">
        <v>99</v>
      </c>
      <c r="F73" t="s">
        <v>1007</v>
      </c>
      <c r="G73" s="8"/>
      <c r="K73" s="8"/>
      <c r="L73" s="8"/>
    </row>
    <row r="74" spans="1: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1: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1: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1: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1: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1: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1: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1006</v>
      </c>
      <c r="E92" t="s">
        <v>99</v>
      </c>
      <c r="F92" t="s">
        <v>1007</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DA223-1A5A-452E-937F-778C46941B91}">
  <dimension ref="A1:M65"/>
  <sheetViews>
    <sheetView showGridLines="0" topLeftCell="A2"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0" t="s">
        <v>1282</v>
      </c>
      <c r="D1" s="30"/>
      <c r="E1" s="30"/>
      <c r="F1" s="30"/>
      <c r="G1" s="30"/>
      <c r="H1" s="30"/>
      <c r="I1" s="30"/>
      <c r="J1" s="30"/>
      <c r="K1" s="30"/>
      <c r="L1" s="30"/>
      <c r="M1" s="3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2"/>
      <c r="D3" s="32"/>
      <c r="E3" s="32"/>
      <c r="F3" s="32"/>
      <c r="G3" s="32"/>
      <c r="H3" s="32"/>
      <c r="I3" s="32"/>
      <c r="J3" s="32"/>
      <c r="K3" s="32"/>
      <c r="L3" s="32"/>
      <c r="M3" s="32"/>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4"/>
      <c r="F6" s="34"/>
      <c r="G6" s="34"/>
      <c r="H6" s="34"/>
    </row>
    <row r="7" spans="1:13" ht="20.100000000000001" customHeight="1" x14ac:dyDescent="0.25">
      <c r="D7" s="34" t="str" cm="1">
        <f t="array" ref="D7">CommonLivestock_SourceData.SourceData_Livestock_Common_SymbolsMMS_Vairable()</f>
        <v>MMS</v>
      </c>
      <c r="E7" s="34"/>
      <c r="F7" s="34"/>
      <c r="G7" s="34"/>
      <c r="H7" s="34"/>
    </row>
    <row r="8" spans="1:13" ht="20.100000000000001" customHeight="1" x14ac:dyDescent="0.25">
      <c r="A8" s="7" t="s">
        <v>0</v>
      </c>
      <c r="D8" s="27" t="str" cm="1">
        <f t="array" ref="D8">CommonLivestock_SourceData.SourceData_Livestock_Common_SymbolsMMS_Source()</f>
        <v>National Inventory Report 2023 Volume 1: Table 5.12</v>
      </c>
      <c r="E8" s="34"/>
      <c r="F8" s="34"/>
      <c r="G8" s="34"/>
      <c r="H8" s="34"/>
    </row>
    <row r="9" spans="1:13" ht="20.100000000000001" customHeight="1" x14ac:dyDescent="0.25">
      <c r="A9" s="5" t="str">
        <f>HYPERLINK("#'Input - Enterprise'!A1", "Enterprise")</f>
        <v>Enterprise</v>
      </c>
      <c r="D9" s="36" t="s">
        <v>1283</v>
      </c>
      <c r="E9" s="29" t="s">
        <v>1284</v>
      </c>
      <c r="F9" s="29" t="s">
        <v>500</v>
      </c>
      <c r="G9" s="34"/>
    </row>
    <row r="10" spans="1:13" ht="20.100000000000001" customHeight="1" x14ac:dyDescent="0.25">
      <c r="A10" s="5" t="str">
        <f>HYPERLINK("#'Input - Site'!A1", "Site")</f>
        <v>Site</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4"/>
    </row>
    <row r="11" spans="1:13" ht="20.100000000000001" customHeight="1" x14ac:dyDescent="0.25">
      <c r="A11" s="5" t="str">
        <f>HYPERLINK("#'Input - Dairy'!A1", "Dairy")</f>
        <v>Dairy</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4"/>
    </row>
    <row r="12" spans="1:13" ht="20.100000000000001" customHeight="1" x14ac:dyDescent="0.25">
      <c r="A12" s="5" t="str">
        <f>HYPERLINK("#'Input - Dairy (Enteric)'!A1", "Dairy (Enteric)")</f>
        <v>Dairy (Enteric)</v>
      </c>
      <c r="D12" s="29" t="str" cm="1">
        <f t="array" ref="D12">Common_InputFunctions.Utility_DisplayArrayInTable(CommonLivestock_SourceData.SourceData_Livestock_Common_SymbolsMMS_Data(), Table_Data_MMSSymbols[[#Headers],[Symbol]], 0)</f>
        <v>3</v>
      </c>
      <c r="E12" s="29" t="str" cm="1">
        <f t="array" ref="E12">Common_InputFunctions.Utility_DisplayArrayInTable(CommonLivestock_SourceData.SourceData_Livestock_Common_SymbolsMMS_Data(), Table_Data_MMSSymbols[[#Headers],[Symbol]], 0)</f>
        <v>Daily spread</v>
      </c>
      <c r="F12" s="29" t="str" cm="1">
        <f t="array" ref="F12">Common_InputFunctions.Utility_DisplayArrayInTable(CommonLivestock_SourceData.SourceData_Livestock_Common_SymbolsMMS_Data(), Table_Data_MMSSymbols[[#Headers],[Symbol]], 0)</f>
        <v>Daily spread (m=3)</v>
      </c>
      <c r="G12" s="34"/>
    </row>
    <row r="13" spans="1:13" ht="20.100000000000001" customHeight="1" x14ac:dyDescent="0.25">
      <c r="A13" s="5" t="str">
        <f>HYPERLINK("#'Input - Livestock sales'!A1", "Livestock sales")</f>
        <v>Livestock sales</v>
      </c>
      <c r="D13" s="29" t="str" cm="1">
        <f t="array" ref="D13">Common_InputFunctions.Utility_DisplayArrayInTable(CommonLivestock_SourceData.SourceData_Livestock_Common_SymbolsMMS_Data(), Table_Data_MMSSymbols[[#Headers],[Symbol]], 0)</f>
        <v>3a</v>
      </c>
      <c r="E13" s="29" t="str" cm="1">
        <f t="array" ref="E13">Common_InputFunctions.Utility_DisplayArrayInTable(CommonLivestock_SourceData.SourceData_Livestock_Common_SymbolsMMS_Data(), Table_Data_MMSSymbols[[#Headers],[Symbol]], 0)</f>
        <v>Sump and dispersal system</v>
      </c>
      <c r="F13" s="29" t="str" cm="1">
        <f t="array" ref="F13">Common_InputFunctions.Utility_DisplayArrayInTable(CommonLivestock_SourceData.SourceData_Livestock_Common_SymbolsMMS_Data(), Table_Data_MMSSymbols[[#Headers],[Symbol]], 0)</f>
        <v>Sump and dispersal system (m=3a)</v>
      </c>
      <c r="G13" s="34"/>
    </row>
    <row r="14" spans="1:13" ht="20.100000000000001" customHeight="1" x14ac:dyDescent="0.25">
      <c r="A14" s="5" t="str">
        <f>HYPERLINK("#'Input - Dairy cattle purchases'!A1", "Dairy cattle purchases")</f>
        <v>Dairy cattle purchases</v>
      </c>
      <c r="D14" s="29" t="str" cm="1">
        <f t="array" ref="D14">Common_InputFunctions.Utility_DisplayArrayInTable(CommonLivestock_SourceData.SourceData_Livestock_Common_SymbolsMMS_Data(), Table_Data_MMSSymbols[[#Headers],[Symbol]], 0)</f>
        <v>3b</v>
      </c>
      <c r="E14" s="29" t="str" cm="1">
        <f t="array" ref="E14">Common_InputFunctions.Utility_DisplayArrayInTable(CommonLivestock_SourceData.SourceData_Livestock_Common_SymbolsMMS_Data(), Table_Data_MMSSymbols[[#Headers],[Symbol]], 0)</f>
        <v>Drains to paddock</v>
      </c>
      <c r="F14" s="29" t="str" cm="1">
        <f t="array" ref="F14">Common_InputFunctions.Utility_DisplayArrayInTable(CommonLivestock_SourceData.SourceData_Livestock_Common_SymbolsMMS_Data(), Table_Data_MMSSymbols[[#Headers],[Symbol]], 0)</f>
        <v>Drains to paddock (m=3b)</v>
      </c>
      <c r="G14" s="34"/>
    </row>
    <row r="15" spans="1:13" ht="20.100000000000001" customHeight="1" x14ac:dyDescent="0.25">
      <c r="A15" s="5" t="str">
        <f>HYPERLINK("#'Input - Pasture'!A1", "Pasture")</f>
        <v>Pasture</v>
      </c>
      <c r="D15" s="29" t="str" cm="1">
        <f t="array" ref="D15">Common_InputFunctions.Utility_DisplayArrayInTable(CommonLivestock_SourceData.SourceData_Livestock_Common_SymbolsMMS_Data(), Table_Data_MMSSymbols[[#Headers],[Symbol]], 0)</f>
        <v>4</v>
      </c>
      <c r="E15" s="29" t="str" cm="1">
        <f t="array" ref="E15">Common_InputFunctions.Utility_DisplayArrayInTable(CommonLivestock_SourceData.SourceData_Livestock_Common_SymbolsMMS_Data(), Table_Data_MMSSymbols[[#Headers],[Symbol]], 0)</f>
        <v>Solid storage</v>
      </c>
      <c r="F15" s="29" t="str" cm="1">
        <f t="array" ref="F15">Common_InputFunctions.Utility_DisplayArrayInTable(CommonLivestock_SourceData.SourceData_Livestock_Common_SymbolsMMS_Data(), Table_Data_MMSSymbols[[#Headers],[Symbol]], 0)</f>
        <v>Solid storage (m=4)</v>
      </c>
      <c r="G15" s="34"/>
    </row>
    <row r="16" spans="1:13" ht="20.100000000000001" customHeight="1" x14ac:dyDescent="0.25">
      <c r="A16" s="5" t="str">
        <f>HYPERLINK("#'Input - Fert Prod System'!A1", "Fert Prod System")</f>
        <v>Fert Prod System</v>
      </c>
      <c r="D16" s="29" t="str" cm="1">
        <f t="array" ref="D16">Common_InputFunctions.Utility_DisplayArrayInTable(CommonLivestock_SourceData.SourceData_Livestock_Common_SymbolsMMS_Data(), Table_Data_MMSSymbols[[#Headers],[Symbol]], 0)</f>
        <v>5</v>
      </c>
      <c r="E16" s="29" t="str" cm="1">
        <f t="array" ref="E16">Common_InputFunctions.Utility_DisplayArrayInTable(CommonLivestock_SourceData.SourceData_Livestock_Common_SymbolsMMS_Data(), Table_Data_MMSSymbols[[#Headers],[Symbol]], 0)</f>
        <v>Drylot (feed pad)</v>
      </c>
      <c r="F16" s="29" t="str" cm="1">
        <f t="array" ref="F16">Common_InputFunctions.Utility_DisplayArrayInTable(CommonLivestock_SourceData.SourceData_Livestock_Common_SymbolsMMS_Data(), Table_Data_MMSSymbols[[#Headers],[Symbol]], 0)</f>
        <v>Drylot (feed pad) (m=5)</v>
      </c>
      <c r="G16" s="34"/>
    </row>
    <row r="17" spans="1:8" ht="20.100000000000001" customHeight="1" x14ac:dyDescent="0.25">
      <c r="A17" s="5" t="str">
        <f>HYPERLINK("#'Input - Fertiliser'!A1", "Fertiliser")</f>
        <v>Fertiliser</v>
      </c>
      <c r="D17" s="29" t="str" cm="1">
        <f t="array" ref="D17">Common_InputFunctions.Utility_DisplayArrayInTable(CommonLivestock_SourceData.SourceData_Livestock_Common_SymbolsMMS_Data(), Table_Data_MMSSymbols[[#Headers],[Symbol]], 0)</f>
        <v>6</v>
      </c>
      <c r="E17" s="29" t="str" cm="1">
        <f t="array" ref="E17">Common_InputFunctions.Utility_DisplayArrayInTable(CommonLivestock_SourceData.SourceData_Livestock_Common_SymbolsMMS_Data(), Table_Data_MMSSymbols[[#Headers],[Symbol]], 0)</f>
        <v>Composting (passive windrow)</v>
      </c>
      <c r="F17" s="29" t="str" cm="1">
        <f t="array" ref="F17">Common_InputFunctions.Utility_DisplayArrayInTable(CommonLivestock_SourceData.SourceData_Livestock_Common_SymbolsMMS_Data(), Table_Data_MMSSymbols[[#Headers],[Symbol]], 0)</f>
        <v>Composting (passive windrow) (m=6)</v>
      </c>
      <c r="G17" s="34"/>
    </row>
    <row r="18" spans="1:8" ht="20.100000000000001" customHeight="1" x14ac:dyDescent="0.25">
      <c r="A18" s="5" t="str">
        <f>HYPERLINK("#'Input - Fuel'!A1", "Fuel")</f>
        <v>Fuel</v>
      </c>
      <c r="D18" s="29" t="str" cm="1">
        <f t="array" ref="D18">Common_InputFunctions.Utility_DisplayArrayInTable(CommonLivestock_SourceData.SourceData_Livestock_Common_SymbolsMMS_Data(), Table_Data_MMSSymbols[[#Headers],[Symbol]], 0)</f>
        <v>7</v>
      </c>
      <c r="E18" s="29" t="str" cm="1">
        <f t="array" ref="E18">Common_InputFunctions.Utility_DisplayArrayInTable(CommonLivestock_SourceData.SourceData_Livestock_Common_SymbolsMMS_Data(), Table_Data_MMSSymbols[[#Headers],[Symbol]], 0)</f>
        <v>Digester / covered lagoons</v>
      </c>
      <c r="F18" s="29" t="str" cm="1">
        <f t="array" ref="F18">Common_InputFunctions.Utility_DisplayArrayInTable(CommonLivestock_SourceData.SourceData_Livestock_Common_SymbolsMMS_Data(), Table_Data_MMSSymbols[[#Headers],[Symbol]], 0)</f>
        <v>Digester / covered lagoons (m=7)</v>
      </c>
      <c r="G18" s="34"/>
    </row>
    <row r="19" spans="1:8" ht="20.100000000000001" customHeight="1" x14ac:dyDescent="0.25">
      <c r="A19" s="5" t="str">
        <f>HYPERLINK("#'Input - Electricity'!A1", "Electricity")</f>
        <v>Electricity</v>
      </c>
      <c r="D19" s="29" t="str" cm="1">
        <f t="array" ref="D19">Common_InputFunctions.Utility_DisplayArrayInTable(CommonLivestock_SourceData.SourceData_Livestock_Common_SymbolsMMS_Data(), Table_Data_MMSSymbols[[#Headers],[Symbol]], 0)</f>
        <v>8</v>
      </c>
      <c r="E19" s="29" t="str" cm="1">
        <f t="array" ref="E19">Common_InputFunctions.Utility_DisplayArrayInTable(CommonLivestock_SourceData.SourceData_Livestock_Common_SymbolsMMS_Data(), Table_Data_MMSSymbols[[#Headers],[Symbol]], 0)</f>
        <v>Deep litter</v>
      </c>
      <c r="F19" s="29" t="str" cm="1">
        <f t="array" ref="F19">Common_InputFunctions.Utility_DisplayArrayInTable(CommonLivestock_SourceData.SourceData_Livestock_Common_SymbolsMMS_Data(), Table_Data_MMSSymbols[[#Headers],[Symbol]], 0)</f>
        <v>Deep litter (m=8)</v>
      </c>
      <c r="G19" s="34"/>
    </row>
    <row r="20" spans="1:8" ht="20.100000000000001" customHeight="1" x14ac:dyDescent="0.25">
      <c r="A20" s="5" t="str">
        <f>HYPERLINK("#'Input - Common farm inputs'!A1", "Common farm inputs")</f>
        <v>Common farm inputs</v>
      </c>
      <c r="D20" s="29" t="str" cm="1">
        <f t="array" ref="D20">Common_InputFunctions.Utility_DisplayArrayInTable(CommonLivestock_SourceData.SourceData_Livestock_Common_SymbolsMMS_Data(), Table_Data_MMSSymbols[[#Headers],[Symbol]], 0)</f>
        <v>9</v>
      </c>
      <c r="E20" s="29" t="str" cm="1">
        <f t="array" ref="E20">Common_InputFunctions.Utility_DisplayArrayInTable(CommonLivestock_SourceData.SourceData_Livestock_Common_SymbolsMMS_Data(), Table_Data_MMSSymbols[[#Headers],[Symbol]], 0)</f>
        <v>Pit storage</v>
      </c>
      <c r="F20" s="29" t="str" cm="1">
        <f t="array" ref="F20">Common_InputFunctions.Utility_DisplayArrayInTable(CommonLivestock_SourceData.SourceData_Livestock_Common_SymbolsMMS_Data(), Table_Data_MMSSymbols[[#Headers],[Symbol]], 0)</f>
        <v>Pit storage (m=9)</v>
      </c>
      <c r="G20" s="34"/>
    </row>
    <row r="21" spans="1:8" ht="20.100000000000001" customHeight="1" x14ac:dyDescent="0.25">
      <c r="A21" s="5" t="str">
        <f>HYPERLINK("#'Input - Crop pasture farm input'!A1", "Crop pasture farm input")</f>
        <v>Crop pasture farm input</v>
      </c>
      <c r="D21" s="29" t="str" cm="1">
        <f t="array" ref="D21">Common_InputFunctions.Utility_DisplayArrayInTable(CommonLivestock_SourceData.SourceData_Livestock_Common_SymbolsMMS_Data(), Table_Data_MMSSymbols[[#Headers],[Symbol]], 0)</f>
        <v>10</v>
      </c>
      <c r="E21" s="29" t="str" cm="1">
        <f t="array" ref="E21">Common_InputFunctions.Utility_DisplayArrayInTable(CommonLivestock_SourceData.SourceData_Livestock_Common_SymbolsMMS_Data(), Table_Data_MMSSymbols[[#Headers],[Symbol]], 0)</f>
        <v>Poultry manure with bedding</v>
      </c>
      <c r="F21" s="29" t="str" cm="1">
        <f t="array" ref="F21">Common_InputFunctions.Utility_DisplayArrayInTable(CommonLivestock_SourceData.SourceData_Livestock_Common_SymbolsMMS_Data(), Table_Data_MMSSymbols[[#Headers],[Symbol]], 0)</f>
        <v>Poultry manure with bedding (m=10)</v>
      </c>
      <c r="G21" s="34"/>
    </row>
    <row r="22" spans="1:8" ht="20.100000000000001" customHeight="1" x14ac:dyDescent="0.25">
      <c r="A22" s="5" t="str">
        <f>HYPERLINK("#'Input - Livestock farm Inputs'!A1", "Livestock farm Inputs")</f>
        <v>Livestock farm Inputs</v>
      </c>
      <c r="D22" s="29" t="str" cm="1">
        <f t="array" ref="D22">Common_InputFunctions.Utility_DisplayArrayInTable(CommonLivestock_SourceData.SourceData_Livestock_Common_SymbolsMMS_Data(), Table_Data_MMSSymbols[[#Headers],[Symbol]], 0)</f>
        <v>11</v>
      </c>
      <c r="E22" s="29" t="str" cm="1">
        <f t="array" ref="E22">Common_InputFunctions.Utility_DisplayArrayInTable(CommonLivestock_SourceData.SourceData_Livestock_Common_SymbolsMMS_Data(), Table_Data_MMSSymbols[[#Headers],[Symbol]], 0)</f>
        <v>Poultry manure without bedding</v>
      </c>
      <c r="F22" s="29" t="str" cm="1">
        <f t="array" ref="F22">Common_InputFunctions.Utility_DisplayArrayInTable(CommonLivestock_SourceData.SourceData_Livestock_Common_SymbolsMMS_Data(), Table_Data_MMSSymbols[[#Headers],[Symbol]], 0)</f>
        <v>Poultry manure without bedding (m=11)</v>
      </c>
      <c r="G22" s="34"/>
    </row>
    <row r="23" spans="1:8" ht="20.100000000000001" customHeight="1" x14ac:dyDescent="0.25">
      <c r="A23" s="5" t="str">
        <f>HYPERLINK("#'Input - Freight'!A1", "Freight")</f>
        <v>Freight</v>
      </c>
      <c r="D23" s="29" t="str" cm="1">
        <f t="array" ref="D23">Common_InputFunctions.Utility_DisplayArrayInTable(CommonLivestock_SourceData.SourceData_Livestock_Common_SymbolsMMS_Data(), Table_Data_MMSSymbols[[#Headers],[Symbol]], 0)</f>
        <v>11a</v>
      </c>
      <c r="E23" s="29" t="str" cm="1">
        <f t="array" ref="E23">Common_InputFunctions.Utility_DisplayArrayInTable(CommonLivestock_SourceData.SourceData_Livestock_Common_SymbolsMMS_Data(), Table_Data_MMSSymbols[[#Headers],[Symbol]], 0)</f>
        <v>Belt manure removal</v>
      </c>
      <c r="F23" s="29" t="str" cm="1">
        <f t="array" ref="F23">Common_InputFunctions.Utility_DisplayArrayInTable(CommonLivestock_SourceData.SourceData_Livestock_Common_SymbolsMMS_Data(), Table_Data_MMSSymbols[[#Headers],[Symbol]], 0)</f>
        <v>Belt manure removal (m=11a)</v>
      </c>
      <c r="G23" s="34"/>
    </row>
    <row r="24" spans="1:8" ht="20.100000000000001" customHeight="1" x14ac:dyDescent="0.25">
      <c r="A24" s="5" t="str">
        <f>HYPERLINK("#'Input - Manure sent off-site'!A1", "Manure sent off-site")</f>
        <v>Manure sent off-site</v>
      </c>
      <c r="D24" s="29" t="str" cm="1">
        <f t="array" ref="D24">Common_InputFunctions.Utility_DisplayArrayInTable(CommonLivestock_SourceData.SourceData_Livestock_Common_SymbolsMMS_Data(), Table_Data_MMSSymbols[[#Headers],[Symbol]], 0)</f>
        <v>11b</v>
      </c>
      <c r="E24" s="29" t="str" cm="1">
        <f t="array" ref="E24">Common_InputFunctions.Utility_DisplayArrayInTable(CommonLivestock_SourceData.SourceData_Livestock_Common_SymbolsMMS_Data(), Table_Data_MMSSymbols[[#Headers],[Symbol]], 0)</f>
        <v>Manure stored in house</v>
      </c>
      <c r="F24" s="29" t="str" cm="1">
        <f t="array" ref="F24">Common_InputFunctions.Utility_DisplayArrayInTable(CommonLivestock_SourceData.SourceData_Livestock_Common_SymbolsMMS_Data(), Table_Data_MMSSymbols[[#Headers],[Symbol]], 0)</f>
        <v>Manure stored in house (m=11b)</v>
      </c>
      <c r="G24" s="34"/>
    </row>
    <row r="25" spans="1:8" ht="20.100000000000001" customHeight="1" x14ac:dyDescent="0.25">
      <c r="A25" s="5" t="str">
        <f>HYPERLINK("#'Input - Solid waste'!A1", "Solid waste")</f>
        <v>Solid waste</v>
      </c>
      <c r="D25" s="29" t="str" cm="1">
        <f t="array" ref="D25">Common_InputFunctions.Utility_DisplayArrayInTable(CommonLivestock_SourceData.SourceData_Livestock_Common_SymbolsMMS_Data(), Table_Data_MMSSymbols[[#Headers],[Symbol]], 0)</f>
        <v>12</v>
      </c>
      <c r="E25" s="29" t="str" cm="1">
        <f t="array" ref="E25">Common_InputFunctions.Utility_DisplayArrayInTable(CommonLivestock_SourceData.SourceData_Livestock_Common_SymbolsMMS_Data(), Table_Data_MMSSymbols[[#Headers],[Symbol]], 0)</f>
        <v>Direct processing</v>
      </c>
      <c r="F25" s="29" t="str" cm="1">
        <f t="array" ref="F25">Common_InputFunctions.Utility_DisplayArrayInTable(CommonLivestock_SourceData.SourceData_Livestock_Common_SymbolsMMS_Data(), Table_Data_MMSSymbols[[#Headers],[Symbol]], 0)</f>
        <v>Direct processing (m=12)</v>
      </c>
      <c r="G25" s="34"/>
    </row>
    <row r="26" spans="1:8" ht="20.100000000000001" customHeight="1" x14ac:dyDescent="0.25">
      <c r="A26" s="5" t="str">
        <f>HYPERLINK("#'Input - Data quality'!A1", "Data quality")</f>
        <v>Data quality</v>
      </c>
      <c r="D26" s="29" t="str" cm="1">
        <f t="array" ref="D26">Common_InputFunctions.Utility_DisplayArrayInTable(CommonLivestock_SourceData.SourceData_Livestock_Common_SymbolsMMS_Data(), Table_Data_MMSSymbols[[#Headers],[Symbol]], 0)</f>
        <v>13</v>
      </c>
      <c r="E26" s="29" t="str" cm="1">
        <f t="array" ref="E26">Common_InputFunctions.Utility_DisplayArrayInTable(CommonLivestock_SourceData.SourceData_Livestock_Common_SymbolsMMS_Data(), Table_Data_MMSSymbols[[#Headers],[Symbol]], 0)</f>
        <v>Direct application</v>
      </c>
      <c r="F26" s="29" t="str" cm="1">
        <f t="array" ref="F26">Common_InputFunctions.Utility_DisplayArrayInTable(CommonLivestock_SourceData.SourceData_Livestock_Common_SymbolsMMS_Data(), Table_Data_MMSSymbols[[#Headers],[Symbol]], 0)</f>
        <v>Direct application (m=13)</v>
      </c>
      <c r="G26" s="34"/>
    </row>
    <row r="27" spans="1:8" ht="20.100000000000001" customHeight="1" x14ac:dyDescent="0.25">
      <c r="D27" s="29" t="str" cm="1">
        <f t="array" ref="D27">Common_InputFunctions.Utility_DisplayArrayInTable(CommonLivestock_SourceData.SourceData_Livestock_Common_SymbolsMMS_Data(), Table_Data_MMSSymbols[[#Headers],[Symbol]], 0)</f>
        <v>14</v>
      </c>
      <c r="E27" s="29" t="str" cm="1">
        <f t="array" ref="E27">Common_InputFunctions.Utility_DisplayArrayInTable(CommonLivestock_SourceData.SourceData_Livestock_Common_SymbolsMMS_Data(), Table_Data_MMSSymbols[[#Headers],[Symbol]], 0)</f>
        <v>Pasture range and paddock</v>
      </c>
      <c r="F27" s="29" t="str" cm="1">
        <f t="array" ref="F27">Common_InputFunctions.Utility_DisplayArrayInTable(CommonLivestock_SourceData.SourceData_Livestock_Common_SymbolsMMS_Data(), Table_Data_MMSSymbols[[#Headers],[Symbol]], 0)</f>
        <v>Pasture range and paddock (m=14)</v>
      </c>
      <c r="G27" s="34"/>
    </row>
    <row r="28" spans="1:8" ht="20.100000000000001" customHeight="1" x14ac:dyDescent="0.25">
      <c r="G28" s="34"/>
      <c r="H28" s="34"/>
    </row>
    <row r="29" spans="1:8" ht="20.100000000000001" customHeight="1" x14ac:dyDescent="0.25">
      <c r="A29" s="6" t="s">
        <v>2</v>
      </c>
    </row>
    <row r="30" spans="1:8" ht="20.100000000000001" customHeight="1" x14ac:dyDescent="0.25">
      <c r="A30" s="5" t="str">
        <f>HYPERLINK("#'5.1.1.1-2 Inorganic fert N2O'!A1", "5.1.1.1-2 Inorganic fert N2O")</f>
        <v>5.1.1.1-2 Inorganic fert N2O</v>
      </c>
    </row>
    <row r="31" spans="1:8" ht="20.100000000000001" customHeight="1" x14ac:dyDescent="0.25">
      <c r="A31" s="5" t="str">
        <f>HYPERLINK("#'5.1.1.3-4 Inorganic fert CO2'!A1", "5.1.1.3-4 Inorganic fert CO2")</f>
        <v>5.1.1.3-4 Inorganic fert CO2</v>
      </c>
    </row>
    <row r="32" spans="1:8"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HYPERLINK("#'4.3.1.1-2 Methane'!A1", "4.3.1.1-2 Methane")</f>
        <v>4.3.1.1-2 Methane</v>
      </c>
    </row>
    <row r="44" spans="1:1" ht="20.100000000000001" customHeight="1" x14ac:dyDescent="0.25">
      <c r="A44" s="5" t="str">
        <f>HYPERLINK("#'4.3.1.3-4 Direct N20'!A1", "4.3.1.3-4 Direct N20")</f>
        <v>4.3.1.3-4 Direct N20</v>
      </c>
    </row>
    <row r="45" spans="1:1" ht="20.100000000000001" customHeight="1" x14ac:dyDescent="0.25">
      <c r="A45" s="5" t="str">
        <f>HYPERLINK("#'4.3.1.5 Atmos deposition'!A1", "4.3.1.5 Atmos deposition")</f>
        <v>4.3.1.5 Atmos deposition</v>
      </c>
    </row>
    <row r="46" spans="1:1" ht="20.100000000000001" customHeight="1" x14ac:dyDescent="0.25">
      <c r="A46" s="5" t="str">
        <f>HYPERLINK("#'4.3.1.6-7 Leaching and runoff'!A1", "4.3.1.6-7 Leaching and runoff")</f>
        <v>4.3.1.6-7 Leaching and runoff</v>
      </c>
    </row>
    <row r="47" spans="1:1" ht="20.100000000000001" customHeight="1" x14ac:dyDescent="0.25">
      <c r="A47" s="5" t="str">
        <f>HYPERLINK("#'4.3.1.8 Manure applied to soils'!A1", "4.3.1.8 Manure applied to soils")</f>
        <v>4.3.1.8 Manure applied to soils</v>
      </c>
    </row>
    <row r="48" spans="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148"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pageMargins left="0.7" right="0.7" top="0.75" bottom="0.75"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2AA15-C930-4445-BC9A-AB058A4839EE}">
  <dimension ref="A1:AI165"/>
  <sheetViews>
    <sheetView showGridLines="0" topLeftCell="A7"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772</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9" t="s">
        <v>773</v>
      </c>
      <c r="E9" s="209" t="s">
        <v>774</v>
      </c>
      <c r="F9" s="209" t="s">
        <v>775</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5">
      <c r="A22" s="5" t="str">
        <f>HYPERLINK("#'Input - Livestock farm Inputs'!A1", "Livestock farm Inputs")</f>
        <v>Livestock farm Inputs</v>
      </c>
      <c r="D22" s="27" t="str" cm="1">
        <f t="array" ref="D22">Electricity_SourceData.Electricity_Scope2Scope3MarketBased_Source()</f>
        <v>Australian National Greenhouse Accounts Factors 2025 - Table 2a</v>
      </c>
    </row>
    <row r="23" spans="1:8" ht="20.100000000000001" customHeight="1" x14ac:dyDescent="0.25">
      <c r="A23" s="5" t="str">
        <f>HYPERLINK("#'Input - Freight'!A1", "Freight")</f>
        <v>Freight</v>
      </c>
    </row>
    <row r="24" spans="1:8" ht="20.100000000000001" customHeight="1" x14ac:dyDescent="0.25">
      <c r="A24" s="5" t="str">
        <f>HYPERLINK("#'Input - Manure sent off-site'!A1", "Manure sent off-site")</f>
        <v>Manure sent off-site</v>
      </c>
      <c r="D24" s="200" t="s">
        <v>773</v>
      </c>
      <c r="E24" s="200" t="s">
        <v>776</v>
      </c>
      <c r="F24" s="200" t="s">
        <v>777</v>
      </c>
      <c r="G24" s="200" t="s">
        <v>778</v>
      </c>
      <c r="H24" s="200" t="s">
        <v>779</v>
      </c>
    </row>
    <row r="25" spans="1:8" ht="20.100000000000001" customHeight="1" x14ac:dyDescent="0.25">
      <c r="A25" s="5" t="str">
        <f>HYPERLINK("#'Input - Solid waste'!A1", "Solid waste")</f>
        <v>Solid waste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HYPERLINK("#'Input - Data quality'!A1", "Data quality")</f>
        <v>Data quality</v>
      </c>
    </row>
    <row r="27" spans="1:8" ht="20.100000000000001" customHeight="1" x14ac:dyDescent="0.25"/>
    <row r="28" spans="1:8" ht="20.100000000000001" customHeight="1" x14ac:dyDescent="0.25"/>
    <row r="29" spans="1:8" ht="20.100000000000001" customHeight="1" x14ac:dyDescent="0.25">
      <c r="A29" s="6" t="s">
        <v>2</v>
      </c>
    </row>
    <row r="30" spans="1:8" ht="20.100000000000001" customHeight="1" x14ac:dyDescent="0.25">
      <c r="A30" s="5" t="str">
        <f>HYPERLINK("#'5.1.1.1-2 Inorganic fert N2O'!A1", "5.1.1.1-2 Inorganic fert N2O")</f>
        <v>5.1.1.1-2 Inorganic fert N2O</v>
      </c>
    </row>
    <row r="31" spans="1:8" ht="20.100000000000001" customHeight="1" x14ac:dyDescent="0.25">
      <c r="A31" s="5" t="str">
        <f>HYPERLINK("#'5.1.1.3-4 Inorganic fert CO2'!A1", "5.1.1.3-4 Inorganic fert CO2")</f>
        <v>5.1.1.3-4 Inorganic fert CO2</v>
      </c>
    </row>
    <row r="32" spans="1:8" ht="20.100000000000001" customHeight="1" x14ac:dyDescent="0.25">
      <c r="A32" s="5" t="str">
        <f>HYPERLINK("#'5.2.1.1-2 Organic Fert N2O'!A1", "5.2.1.1-2 Organic fert N2O")</f>
        <v>5.2.1.1-2 Organic fert N2O</v>
      </c>
    </row>
    <row r="33" spans="1:1" ht="20.100000000000001" customHeight="1" x14ac:dyDescent="0.25">
      <c r="A33" s="5" t="str">
        <f>HYPERLINK("#'5.3.1.1-2 Lime CO2'!A1", "5.3.1.1-2 Lime CO2")</f>
        <v>5.3.1.1-2 Lime CO2</v>
      </c>
    </row>
    <row r="34" spans="1:1" ht="20.100000000000001" customHeight="1" x14ac:dyDescent="0.25">
      <c r="A34" s="5" t="str">
        <f>HYPERLINK("#'5.4.1.1-4 Atmos deposition'!A1", "5.4.1.1-4 Atmos. deposition")</f>
        <v>5.4.1.1-4 Atmos. deposition</v>
      </c>
    </row>
    <row r="35" spans="1:1" ht="20.100000000000001" customHeight="1" x14ac:dyDescent="0.25">
      <c r="A35" s="5" t="str">
        <f>HYPERLINK("#'5.5.1.1-2 Leaching and runoff'!A1", "5.5.1.1-2 Leaching &amp; runoff")</f>
        <v>5.5.1.1-2 Leaching &amp; runoff</v>
      </c>
    </row>
    <row r="36" spans="1:1" ht="20.100000000000001" customHeight="1" x14ac:dyDescent="0.25">
      <c r="A36" s="5" t="str">
        <f>HYPERLINK("#'6.2.1.1-2 Pasture residue N2O'!A1", "6.2.1.1-2 Pasture residue N2O")</f>
        <v>6.2.1.1-2 Pasture residue N2O</v>
      </c>
    </row>
    <row r="37" spans="1:1" ht="20.100000000000001" customHeight="1" x14ac:dyDescent="0.25">
      <c r="A37" s="5" t="str">
        <f>HYPERLINK("#'6.3.1.1-2 Leach runoff pasture'!A1", "6.3.1.1-2 Leach &amp; runoff (pasture)")</f>
        <v>6.3.1.1-2 Leach &amp; runoff (pasture)</v>
      </c>
    </row>
    <row r="38" spans="1:1" ht="20.100000000000001" customHeight="1" x14ac:dyDescent="0.25">
      <c r="A38" s="5" t="str">
        <f>HYPERLINK("#'8.1.1.1-2 Transport fuel'!A1", "8.1.1.1-2 Transport fuel")</f>
        <v>8.1.1.1-2 Transport fuel</v>
      </c>
    </row>
    <row r="39" spans="1:1" ht="20.100000000000001" customHeight="1" x14ac:dyDescent="0.25">
      <c r="A39" s="5" t="str">
        <f>HYPERLINK("#'8.2.1.1-2 Stationary fuel'!A1", "8.2.1.1-2 Stationary fuel")</f>
        <v>8.2.1.1-2 Stationary fuel</v>
      </c>
    </row>
    <row r="40" spans="1:1" ht="20.100000000000001" customHeight="1" x14ac:dyDescent="0.25">
      <c r="A40" s="5" t="str">
        <f>HYPERLINK("#'14.1.1-2 Purchased electricity'!A1", "14.1.1-2 Purchased electricity")</f>
        <v>14.1.1-2 Purchased electricity</v>
      </c>
    </row>
    <row r="41" spans="1:1" ht="20.100000000000001" customHeight="1" x14ac:dyDescent="0.25">
      <c r="A41" s="5" t="str">
        <f>HYPERLINK("#'15 Scope 3'!A1", "15 Scope 3")</f>
        <v>15 Scope 3</v>
      </c>
    </row>
    <row r="42" spans="1:1" ht="20.100000000000001" customHeight="1" x14ac:dyDescent="0.25">
      <c r="A42" s="5" t="str">
        <f>HYPERLINK("#'Calcs - Manure sent off-site'!A1", "Calcs - Manure sent off-site")</f>
        <v>Calcs - Manure sent off-site</v>
      </c>
    </row>
    <row r="43" spans="1:1" ht="20.100000000000001" customHeight="1" x14ac:dyDescent="0.25">
      <c r="A43" s="5" t="str">
        <f>HYPERLINK("#'4.3.1.1-2 Methane'!A1", "4.3.1.1-2 Methane")</f>
        <v>4.3.1.1-2 Methane</v>
      </c>
    </row>
    <row r="44" spans="1:1" ht="20.100000000000001" customHeight="1" x14ac:dyDescent="0.25">
      <c r="A44" s="5" t="str">
        <f>HYPERLINK("#'4.3.1.3-4 Direct N20'!A1", "4.3.1.3-4 Direct N20")</f>
        <v>4.3.1.3-4 Direct N20</v>
      </c>
    </row>
    <row r="45" spans="1:1" ht="20.100000000000001" customHeight="1" x14ac:dyDescent="0.25">
      <c r="A45" s="5" t="str">
        <f>HYPERLINK("#'4.3.1.5 Atmos deposition'!A1", "4.3.1.5 Atmos deposition")</f>
        <v>4.3.1.5 Atmos deposition</v>
      </c>
    </row>
    <row r="46" spans="1:1" ht="20.100000000000001" customHeight="1" x14ac:dyDescent="0.25">
      <c r="A46" s="5" t="str">
        <f>HYPERLINK("#'4.3.1.6-7 Leaching and runoff'!A1", "4.3.1.6-7 Leaching and runoff")</f>
        <v>4.3.1.6-7 Leaching and runoff</v>
      </c>
    </row>
    <row r="47" spans="1:1" ht="20.100000000000001" customHeight="1" x14ac:dyDescent="0.25">
      <c r="A47" s="5" t="str">
        <f>HYPERLINK("#'4.3.1.8 Manure applied to soils'!A1", "4.3.1.8 Manure applied to soils")</f>
        <v>4.3.1.8 Manure applied to soils</v>
      </c>
    </row>
    <row r="48" spans="1:1"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148"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1C47B-E7DB-4AA8-A88D-17972C2B2ACA}">
  <dimension ref="A1:AM223"/>
  <sheetViews>
    <sheetView showGridLines="0" topLeftCell="A126"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0" customFormat="1" ht="30" customHeight="1" x14ac:dyDescent="0.35">
      <c r="A1" s="16" t="e" vm="1">
        <v>#VALUE!</v>
      </c>
      <c r="C1" s="30" t="s">
        <v>701</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92"/>
      <c r="F5" s="192"/>
      <c r="G5" s="192"/>
      <c r="H5" s="192"/>
      <c r="I5" s="192"/>
      <c r="J5" s="192"/>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5" t="str" cm="1">
        <f t="array" ref="D7:D18">Fertiliser_SourceData.Fertiliser_ChemicalCompoundElements_Variation()</f>
        <v>VARIATION ON SOURCE</v>
      </c>
    </row>
    <row r="8" spans="1:36" ht="20.100000000000001" customHeight="1" x14ac:dyDescent="0.25">
      <c r="A8" s="7" t="s">
        <v>0</v>
      </c>
      <c r="D8" s="35"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5" t="str">
        <v>Added extra fertiliser types and generic chemical compounds to allow for custom NPKS blends</v>
      </c>
    </row>
    <row r="10" spans="1:36" ht="20.100000000000001" customHeight="1" x14ac:dyDescent="0.25">
      <c r="A10" s="5" t="str">
        <f>HYPERLINK("#'Input - Site'!A1", "Site")</f>
        <v>Site</v>
      </c>
      <c r="D10" s="35" t="str">
        <v>Added extra 'Scope 3 definition' column to allow mapping with scope 3 data</v>
      </c>
    </row>
    <row r="11" spans="1:36" ht="20.100000000000001" customHeight="1" x14ac:dyDescent="0.25">
      <c r="A11" s="5" t="str">
        <f>HYPERLINK("#'Input - Dairy'!A1", "Dairy")</f>
        <v>Dairy</v>
      </c>
      <c r="D11" s="35" t="str">
        <v>Added 'Source' column</v>
      </c>
    </row>
    <row r="12" spans="1:36" ht="20.100000000000001" customHeight="1" x14ac:dyDescent="0.25">
      <c r="A12" s="5" t="str">
        <f>HYPERLINK("#'Input - Dairy (Enteric)'!A1", "Dairy (Enteric)")</f>
        <v>Dairy (Enteric)</v>
      </c>
      <c r="D12" s="35" t="str">
        <v>Combined data from Table A.2.2.3 and Table A.2.2.4 into one table to aid lookup.</v>
      </c>
    </row>
    <row r="13" spans="1:36" ht="20.100000000000001" customHeight="1" x14ac:dyDescent="0.25">
      <c r="A13" s="5" t="str">
        <f>HYPERLINK("#'Input - Livestock sales'!A1", "Livestock sales")</f>
        <v>Livestock sales</v>
      </c>
      <c r="D13" s="35" t="str">
        <v>Excluded 'References' column</v>
      </c>
    </row>
    <row r="14" spans="1:36" ht="20.100000000000001" customHeight="1" x14ac:dyDescent="0.25">
      <c r="A14" s="5" t="str">
        <f>HYPERLINK("#'Input - Dairy cattle purchases'!A1", "Dairy cattle purchases")</f>
        <v>Dairy cattle purchases</v>
      </c>
      <c r="D14" s="35" t="str">
        <v>Excluded 'Ammonium sulfate' as it is a duplicate of 'Sulphate of ammonia (SOA)'</v>
      </c>
    </row>
    <row r="15" spans="1:36" ht="20.100000000000001" customHeight="1" x14ac:dyDescent="0.25">
      <c r="A15" s="5" t="str">
        <f>HYPERLINK("#'Input - Pasture'!A1", "Pasture")</f>
        <v>Pasture</v>
      </c>
      <c r="D15" s="35" t="str">
        <v>Excluded 'Calcium nitrate' as no scope 3 value available.</v>
      </c>
    </row>
    <row r="16" spans="1:36" ht="20.100000000000001" customHeight="1" x14ac:dyDescent="0.25">
      <c r="A16" s="5" t="str">
        <f>HYPERLINK("#'Input - Fert Prod System'!A1", "Fert Prod System")</f>
        <v>Fert Prod System</v>
      </c>
      <c r="D16" s="35"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5"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619</v>
      </c>
      <c r="E19" t="s">
        <v>702</v>
      </c>
      <c r="F19" t="s">
        <v>703</v>
      </c>
      <c r="G19" t="s">
        <v>677</v>
      </c>
      <c r="H19" t="s">
        <v>704</v>
      </c>
      <c r="I19" t="s">
        <v>705</v>
      </c>
      <c r="K19" s="29" t="s">
        <v>619</v>
      </c>
      <c r="L19" s="29" t="s">
        <v>702</v>
      </c>
      <c r="Q19" s="29" t="s">
        <v>619</v>
      </c>
      <c r="R19" s="29" t="s">
        <v>702</v>
      </c>
      <c r="V19" s="29" t="s">
        <v>705</v>
      </c>
    </row>
    <row r="20" spans="1:22" ht="20.100000000000001" customHeight="1" x14ac:dyDescent="0.25">
      <c r="A20" s="5" t="str">
        <f>HYPERLINK("#'Input - Common farm inputs'!A1", "Common farm inputs")</f>
        <v>Common farm inputs</v>
      </c>
      <c r="D20" s="200" t="str" cm="1">
        <f t="array" ref="D20">Common_InputFunctions.Utility_DisplayArrayInTable(Fertiliser_SourceData.Fertiliser_ChemicalCompoundElements_Data(),Table_Fertiliser_ChemicalCompounds[[#Headers],[Fertiliser type f]], 0)</f>
        <v>Monoammonium phosphate (MAP)</v>
      </c>
      <c r="E20" s="200" cm="1">
        <f t="array" ref="E20">Common_InputFunctions.Utility_DisplayArrayInTable(Fertiliser_SourceData.Fertiliser_ChemicalCompoundElements_Data(),Table_Fertiliser_ChemicalCompounds[[#Headers],[Fertiliser type f]], 0)</f>
        <v>0.1</v>
      </c>
      <c r="F20" s="200" cm="1">
        <f t="array" ref="F20">Common_InputFunctions.Utility_DisplayArrayInTable(Fertiliser_SourceData.Fertiliser_ChemicalCompoundElements_Data(),Table_Fertiliser_ChemicalCompounds[[#Headers],[Fertiliser type f]], 0)</f>
        <v>0</v>
      </c>
      <c r="G20" s="200" t="str" cm="1">
        <f t="array" ref="G20">Common_InputFunctions.Utility_DisplayArrayInTable(Fertiliser_SourceData.Fertiliser_ChemicalCompoundElements_Data(),Table_Fertiliser_ChemicalCompounds[[#Headers],[Fertiliser type f]], 0)</f>
        <v>Ammonium-based fertilisers</v>
      </c>
      <c r="H20" s="200" t="str" cm="1">
        <f t="array" ref="H20">Common_InputFunctions.Utility_DisplayArrayInTable(Fertiliser_SourceData.Fertiliser_ChemicalCompoundElements_Data(),Table_Fertiliser_ChemicalCompounds[[#Headers],[Fertiliser type f]], 0)</f>
        <v>Monoammonium phosphate (MAP)</v>
      </c>
      <c r="I20" s="200" t="str" cm="1">
        <f t="array" ref="I20">Common_InputFunctions.Utility_DisplayArrayInTable(Fertiliser_SourceData.Fertiliser_ChemicalCompoundElements_Data(),Table_Fertiliser_ChemicalCompounds[[#Headers],[Fertiliser type f]], 0)</f>
        <v>VEERG</v>
      </c>
      <c r="K20" s="29" t="str" cm="1">
        <f t="array" ref="K20">Common_InputFunctions.Utility_DisplayArrayInTable(Fertiliser_SourceData.Fertiliser_FractionNCommonFertilisers_Data(), Table2[[#Headers],[Fertiliser type f]], 0)</f>
        <v>Monoammonium phosphate (MAP)</v>
      </c>
      <c r="L20" s="29" cm="1">
        <f t="array" ref="L20">Common_InputFunctions.Utility_DisplayArrayInTable(Fertiliser_SourceData.Fertiliser_FractionNCommonFertilisers_Data(), Table2[[#Headers],[Fertiliser type f]], 0)</f>
        <v>0.1</v>
      </c>
      <c r="Q20" s="29" t="str" cm="1">
        <f t="array" ref="Q20">Common_InputFunctions.Utility_DisplayArrayInTable(Fertiliser_SourceData.Fertiliser_FractionUreaCommonFertilisers_Data(), Table28[[#Headers],[Fertiliser type f]], 0)</f>
        <v>Monoammonium phosphate (MAP)</v>
      </c>
      <c r="R20" s="29" cm="1">
        <f t="array" ref="R20">Common_InputFunctions.Utility_DisplayArrayInTable(Fertiliser_SourceData.Fertiliser_FractionUreaCommonFertilisers_Data(), Table28[[#Headers],[Fertiliser type f]], 0)</f>
        <v>0</v>
      </c>
      <c r="V20" s="2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Crop pasture farm input'!A1", "Crop pasture farm input")</f>
        <v>Crop pasture farm input</v>
      </c>
      <c r="D21" s="200" t="str" cm="1">
        <f t="array" ref="D21">Common_InputFunctions.Utility_DisplayArrayInTable(Fertiliser_SourceData.Fertiliser_ChemicalCompoundElements_Data(),Table_Fertiliser_ChemicalCompounds[[#Headers],[Fertiliser type f]], 0)</f>
        <v>Diammonium phosphate (DAP)</v>
      </c>
      <c r="E21" s="200" cm="1">
        <f t="array" ref="E21">Common_InputFunctions.Utility_DisplayArrayInTable(Fertiliser_SourceData.Fertiliser_ChemicalCompoundElements_Data(),Table_Fertiliser_ChemicalCompounds[[#Headers],[Fertiliser type f]], 0)</f>
        <v>0.18</v>
      </c>
      <c r="F21" s="200" cm="1">
        <f t="array" ref="F21">Common_InputFunctions.Utility_DisplayArrayInTable(Fertiliser_SourceData.Fertiliser_ChemicalCompoundElements_Data(),Table_Fertiliser_ChemicalCompounds[[#Headers],[Fertiliser type f]], 0)</f>
        <v>0</v>
      </c>
      <c r="G21" s="200" t="str" cm="1">
        <f t="array" ref="G21">Common_InputFunctions.Utility_DisplayArrayInTable(Fertiliser_SourceData.Fertiliser_ChemicalCompoundElements_Data(),Table_Fertiliser_ChemicalCompounds[[#Headers],[Fertiliser type f]], 0)</f>
        <v>Ammonium-based fertilisers</v>
      </c>
      <c r="H21" s="200" t="str" cm="1">
        <f t="array" ref="H21">Common_InputFunctions.Utility_DisplayArrayInTable(Fertiliser_SourceData.Fertiliser_ChemicalCompoundElements_Data(),Table_Fertiliser_ChemicalCompounds[[#Headers],[Fertiliser type f]], 0)</f>
        <v>Diammonium phosphate (DAP)</v>
      </c>
      <c r="I21" s="200" t="str" cm="1">
        <f t="array" ref="I21">Common_InputFunctions.Utility_DisplayArrayInTable(Fertiliser_SourceData.Fertiliser_ChemicalCompoundElements_Data(),Table_Fertiliser_ChemicalCompounds[[#Headers],[Fertiliser type f]], 0)</f>
        <v>VEERG</v>
      </c>
      <c r="K21" s="29" t="str" cm="1">
        <f t="array" ref="K21">Common_InputFunctions.Utility_DisplayArrayInTable(Fertiliser_SourceData.Fertiliser_FractionNCommonFertilisers_Data(), Table2[[#Headers],[Fertiliser type f]], 0)</f>
        <v>Diammonium phosphate (DAP)</v>
      </c>
      <c r="L21" s="29" cm="1">
        <f t="array" ref="L21">Common_InputFunctions.Utility_DisplayArrayInTable(Fertiliser_SourceData.Fertiliser_FractionNCommonFertilisers_Data(), Table2[[#Headers],[Fertiliser type f]], 0)</f>
        <v>0.18</v>
      </c>
      <c r="Q21" s="29" t="str" cm="1">
        <f t="array" ref="Q21">Common_InputFunctions.Utility_DisplayArrayInTable(Fertiliser_SourceData.Fertiliser_FractionUreaCommonFertilisers_Data(), Table28[[#Headers],[Fertiliser type f]], 0)</f>
        <v>Diammonium phosphate (DAP)</v>
      </c>
      <c r="R21" s="29" cm="1">
        <f t="array" ref="R21">Common_InputFunctions.Utility_DisplayArrayInTable(Fertiliser_SourceData.Fertiliser_FractionUreaCommonFertilisers_Data(), Table28[[#Headers],[Fertiliser type f]], 0)</f>
        <v>0</v>
      </c>
      <c r="V21" s="2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Livestock farm Inputs'!A1", "Livestock farm Inputs")</f>
        <v>Livestock farm Inputs</v>
      </c>
      <c r="D22" s="200" t="str" cm="1">
        <f t="array" ref="D22">Common_InputFunctions.Utility_DisplayArrayInTable(Fertiliser_SourceData.Fertiliser_ChemicalCompoundElements_Data(),Table_Fertiliser_ChemicalCompounds[[#Headers],[Fertiliser type f]], 0)</f>
        <v>Urea</v>
      </c>
      <c r="E22" s="200" cm="1">
        <f t="array" ref="E22">Common_InputFunctions.Utility_DisplayArrayInTable(Fertiliser_SourceData.Fertiliser_ChemicalCompoundElements_Data(),Table_Fertiliser_ChemicalCompounds[[#Headers],[Fertiliser type f]], 0)</f>
        <v>0.46</v>
      </c>
      <c r="F22" s="200" cm="1">
        <f t="array" ref="F22">Common_InputFunctions.Utility_DisplayArrayInTable(Fertiliser_SourceData.Fertiliser_ChemicalCompoundElements_Data(),Table_Fertiliser_ChemicalCompounds[[#Headers],[Fertiliser type f]], 0)</f>
        <v>1</v>
      </c>
      <c r="G22" s="200" t="str" cm="1">
        <f t="array" ref="G22">Common_InputFunctions.Utility_DisplayArrayInTable(Fertiliser_SourceData.Fertiliser_ChemicalCompoundElements_Data(),Table_Fertiliser_ChemicalCompounds[[#Headers],[Fertiliser type f]], 0)</f>
        <v>Urea-based fertilisers</v>
      </c>
      <c r="H22" s="200" t="str" cm="1">
        <f t="array" ref="H22">Common_InputFunctions.Utility_DisplayArrayInTable(Fertiliser_SourceData.Fertiliser_ChemicalCompoundElements_Data(),Table_Fertiliser_ChemicalCompounds[[#Headers],[Fertiliser type f]], 0)</f>
        <v>Urea</v>
      </c>
      <c r="I22" s="200" t="str" cm="1">
        <f t="array" ref="I22">Common_InputFunctions.Utility_DisplayArrayInTable(Fertiliser_SourceData.Fertiliser_ChemicalCompoundElements_Data(),Table_Fertiliser_ChemicalCompounds[[#Headers],[Fertiliser type f]], 0)</f>
        <v>VEERG</v>
      </c>
      <c r="K22" s="29" t="str" cm="1">
        <f t="array" ref="K22">Common_InputFunctions.Utility_DisplayArrayInTable(Fertiliser_SourceData.Fertiliser_FractionNCommonFertilisers_Data(), Table2[[#Headers],[Fertiliser type f]], 0)</f>
        <v>Urea</v>
      </c>
      <c r="L22" s="29" cm="1">
        <f t="array" ref="L22">Common_InputFunctions.Utility_DisplayArrayInTable(Fertiliser_SourceData.Fertiliser_FractionNCommonFertilisers_Data(), Table2[[#Headers],[Fertiliser type f]], 0)</f>
        <v>0.46</v>
      </c>
      <c r="Q22" s="29" t="str" cm="1">
        <f t="array" ref="Q22">Common_InputFunctions.Utility_DisplayArrayInTable(Fertiliser_SourceData.Fertiliser_FractionUreaCommonFertilisers_Data(), Table28[[#Headers],[Fertiliser type f]], 0)</f>
        <v>Urea</v>
      </c>
      <c r="R22" s="29" cm="1">
        <f t="array" ref="R22">Common_InputFunctions.Utility_DisplayArrayInTable(Fertiliser_SourceData.Fertiliser_FractionUreaCommonFertilisers_Data(), Table28[[#Headers],[Fertiliser type f]], 0)</f>
        <v>1</v>
      </c>
      <c r="V22" s="2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Freight'!A1", "Freight")</f>
        <v>Freight</v>
      </c>
      <c r="D23" s="200" t="str" cm="1">
        <f t="array" ref="D23">Common_InputFunctions.Utility_DisplayArrayInTable(Fertiliser_SourceData.Fertiliser_ChemicalCompoundElements_Data(),Table_Fertiliser_ChemicalCompounds[[#Headers],[Fertiliser type f]], 0)</f>
        <v>Sulphate of ammonia (SOA)</v>
      </c>
      <c r="E23" s="200" cm="1">
        <f t="array" ref="E23">Common_InputFunctions.Utility_DisplayArrayInTable(Fertiliser_SourceData.Fertiliser_ChemicalCompoundElements_Data(),Table_Fertiliser_ChemicalCompounds[[#Headers],[Fertiliser type f]], 0)</f>
        <v>0.21</v>
      </c>
      <c r="F23" s="200" cm="1">
        <f t="array" ref="F23">Common_InputFunctions.Utility_DisplayArrayInTable(Fertiliser_SourceData.Fertiliser_ChemicalCompoundElements_Data(),Table_Fertiliser_ChemicalCompounds[[#Headers],[Fertiliser type f]], 0)</f>
        <v>0</v>
      </c>
      <c r="G23" s="200" t="str" cm="1">
        <f t="array" ref="G23">Common_InputFunctions.Utility_DisplayArrayInTable(Fertiliser_SourceData.Fertiliser_ChemicalCompoundElements_Data(),Table_Fertiliser_ChemicalCompounds[[#Headers],[Fertiliser type f]], 0)</f>
        <v>Ammonium-based fertilisers</v>
      </c>
      <c r="H23" s="200" t="str" cm="1">
        <f t="array" ref="H23">Common_InputFunctions.Utility_DisplayArrayInTable(Fertiliser_SourceData.Fertiliser_ChemicalCompoundElements_Data(),Table_Fertiliser_ChemicalCompounds[[#Headers],[Fertiliser type f]], 0)</f>
        <v>Sulphate of ammonia (SOA)</v>
      </c>
      <c r="I23" s="200" t="str" cm="1">
        <f t="array" ref="I23">Common_InputFunctions.Utility_DisplayArrayInTable(Fertiliser_SourceData.Fertiliser_ChemicalCompoundElements_Data(),Table_Fertiliser_ChemicalCompounds[[#Headers],[Fertiliser type f]], 0)</f>
        <v>VEERG</v>
      </c>
      <c r="K23" s="29" t="str" cm="1">
        <f t="array" ref="K23">Common_InputFunctions.Utility_DisplayArrayInTable(Fertiliser_SourceData.Fertiliser_FractionNCommonFertilisers_Data(), Table2[[#Headers],[Fertiliser type f]], 0)</f>
        <v>Sulphate of ammonia (SOA)</v>
      </c>
      <c r="L23" s="29" cm="1">
        <f t="array" ref="L23">Common_InputFunctions.Utility_DisplayArrayInTable(Fertiliser_SourceData.Fertiliser_FractionNCommonFertilisers_Data(), Table2[[#Headers],[Fertiliser type f]], 0)</f>
        <v>0.21</v>
      </c>
      <c r="Q23" s="29" t="str" cm="1">
        <f t="array" ref="Q23">Common_InputFunctions.Utility_DisplayArrayInTable(Fertiliser_SourceData.Fertiliser_FractionUreaCommonFertilisers_Data(), Table28[[#Headers],[Fertiliser type f]], 0)</f>
        <v>Sulphate of ammonia (SOA)</v>
      </c>
      <c r="R23" s="29" cm="1">
        <f t="array" ref="R23">Common_InputFunctions.Utility_DisplayArrayInTable(Fertiliser_SourceData.Fertiliser_FractionUreaCommonFertilisers_Data(), Table28[[#Headers],[Fertiliser type f]], 0)</f>
        <v>0</v>
      </c>
      <c r="V23" s="2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200" t="str" cm="1">
        <f t="array" ref="D24">Common_InputFunctions.Utility_DisplayArrayInTable(Fertiliser_SourceData.Fertiliser_ChemicalCompoundElements_Data(),Table_Fertiliser_ChemicalCompounds[[#Headers],[Fertiliser type f]], 0)</f>
        <v>Urea-ammonium nitrate (UAN)</v>
      </c>
      <c r="E24" s="200" cm="1">
        <f t="array" ref="E24">Common_InputFunctions.Utility_DisplayArrayInTable(Fertiliser_SourceData.Fertiliser_ChemicalCompoundElements_Data(),Table_Fertiliser_ChemicalCompounds[[#Headers],[Fertiliser type f]], 0)</f>
        <v>0.32</v>
      </c>
      <c r="F24" s="200" cm="1">
        <f t="array" ref="F24">Common_InputFunctions.Utility_DisplayArrayInTable(Fertiliser_SourceData.Fertiliser_ChemicalCompoundElements_Data(),Table_Fertiliser_ChemicalCompounds[[#Headers],[Fertiliser type f]], 0)</f>
        <v>0.35</v>
      </c>
      <c r="G24" s="200" t="str" cm="1">
        <f t="array" ref="G24">Common_InputFunctions.Utility_DisplayArrayInTable(Fertiliser_SourceData.Fertiliser_ChemicalCompoundElements_Data(),Table_Fertiliser_ChemicalCompounds[[#Headers],[Fertiliser type f]], 0)</f>
        <v>Urea-based fertilisers</v>
      </c>
      <c r="H24" s="200" t="str" cm="1">
        <f t="array" ref="H24">Common_InputFunctions.Utility_DisplayArrayInTable(Fertiliser_SourceData.Fertiliser_ChemicalCompoundElements_Data(),Table_Fertiliser_ChemicalCompounds[[#Headers],[Fertiliser type f]], 0)</f>
        <v>Urea-ammonium nitrate (UAN)</v>
      </c>
      <c r="I24" s="200" t="str" cm="1">
        <f t="array" ref="I24">Common_InputFunctions.Utility_DisplayArrayInTable(Fertiliser_SourceData.Fertiliser_ChemicalCompoundElements_Data(),Table_Fertiliser_ChemicalCompounds[[#Headers],[Fertiliser type f]], 0)</f>
        <v>VEERG</v>
      </c>
      <c r="K24" s="29" t="str" cm="1">
        <f t="array" ref="K24">Common_InputFunctions.Utility_DisplayArrayInTable(Fertiliser_SourceData.Fertiliser_FractionNCommonFertilisers_Data(), Table2[[#Headers],[Fertiliser type f]], 0)</f>
        <v>Urea-ammonium nitrate (UAN)</v>
      </c>
      <c r="L24" s="29" cm="1">
        <f t="array" ref="L24">Common_InputFunctions.Utility_DisplayArrayInTable(Fertiliser_SourceData.Fertiliser_FractionNCommonFertilisers_Data(), Table2[[#Headers],[Fertiliser type f]], 0)</f>
        <v>0.32</v>
      </c>
      <c r="Q24" s="29" t="str" cm="1">
        <f t="array" ref="Q24">Common_InputFunctions.Utility_DisplayArrayInTable(Fertiliser_SourceData.Fertiliser_FractionUreaCommonFertilisers_Data(), Table28[[#Headers],[Fertiliser type f]], 0)</f>
        <v>Urea-ammonium nitrate (UAN)</v>
      </c>
      <c r="R24" s="29"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Solid waste'!A1", "Solid waste")</f>
        <v>Solid waste</v>
      </c>
      <c r="D25" s="200" t="str" cm="1">
        <f t="array" ref="D25">Common_InputFunctions.Utility_DisplayArrayInTable(Fertiliser_SourceData.Fertiliser_ChemicalCompoundElements_Data(),Table_Fertiliser_ChemicalCompounds[[#Headers],[Fertiliser type f]], 0)</f>
        <v>Ammonium nitrate (AN)</v>
      </c>
      <c r="E25" s="200" cm="1">
        <f t="array" ref="E25">Common_InputFunctions.Utility_DisplayArrayInTable(Fertiliser_SourceData.Fertiliser_ChemicalCompoundElements_Data(),Table_Fertiliser_ChemicalCompounds[[#Headers],[Fertiliser type f]], 0)</f>
        <v>0.33700000000000002</v>
      </c>
      <c r="F25" s="200" cm="1">
        <f t="array" ref="F25">Common_InputFunctions.Utility_DisplayArrayInTable(Fertiliser_SourceData.Fertiliser_ChemicalCompoundElements_Data(),Table_Fertiliser_ChemicalCompounds[[#Headers],[Fertiliser type f]], 0)</f>
        <v>0</v>
      </c>
      <c r="G25" s="200" t="str" cm="1">
        <f t="array" ref="G25">Common_InputFunctions.Utility_DisplayArrayInTable(Fertiliser_SourceData.Fertiliser_ChemicalCompoundElements_Data(),Table_Fertiliser_ChemicalCompounds[[#Headers],[Fertiliser type f]], 0)</f>
        <v>Ammonium-nitrate based fertilisers</v>
      </c>
      <c r="H25" s="200" t="str" cm="1">
        <f t="array" ref="H25">Common_InputFunctions.Utility_DisplayArrayInTable(Fertiliser_SourceData.Fertiliser_ChemicalCompoundElements_Data(),Table_Fertiliser_ChemicalCompounds[[#Headers],[Fertiliser type f]], 0)</f>
        <v>Ammonium nitrate (AN)</v>
      </c>
      <c r="I25" s="200" t="str" cm="1">
        <f t="array" ref="I25">Common_InputFunctions.Utility_DisplayArrayInTable(Fertiliser_SourceData.Fertiliser_ChemicalCompoundElements_Data(),Table_Fertiliser_ChemicalCompounds[[#Headers],[Fertiliser type f]], 0)</f>
        <v>VEERG</v>
      </c>
      <c r="K25" s="29" t="str" cm="1">
        <f t="array" ref="K25">Common_InputFunctions.Utility_DisplayArrayInTable(Fertiliser_SourceData.Fertiliser_FractionNCommonFertilisers_Data(), Table2[[#Headers],[Fertiliser type f]], 0)</f>
        <v>Ammonium nitrate (AN)</v>
      </c>
      <c r="L25" s="29" cm="1">
        <f t="array" ref="L25">Common_InputFunctions.Utility_DisplayArrayInTable(Fertiliser_SourceData.Fertiliser_FractionNCommonFertilisers_Data(), Table2[[#Headers],[Fertiliser type f]], 0)</f>
        <v>0.33700000000000002</v>
      </c>
      <c r="Q25" s="29" t="str" cm="1">
        <f t="array" ref="Q25">Common_InputFunctions.Utility_DisplayArrayInTable(Fertiliser_SourceData.Fertiliser_FractionUreaCommonFertilisers_Data(), Table28[[#Headers],[Fertiliser type f]], 0)</f>
        <v>Ammonium nitrate (AN)</v>
      </c>
      <c r="R25" s="29" cm="1">
        <f t="array" ref="R25">Common_InputFunctions.Utility_DisplayArrayInTable(Fertiliser_SourceData.Fertiliser_FractionUreaCommonFertilisers_Data(), Table28[[#Headers],[Fertiliser type f]], 0)</f>
        <v>0</v>
      </c>
    </row>
    <row r="26" spans="1:22" ht="20.100000000000001" customHeight="1" x14ac:dyDescent="0.25">
      <c r="A26" s="5" t="str">
        <f>HYPERLINK("#'Input - Data quality'!A1", "Data quality")</f>
        <v>Data quality</v>
      </c>
      <c r="D26" s="200" t="str" cm="1">
        <f t="array" ref="D26">Common_InputFunctions.Utility_DisplayArrayInTable(Fertiliser_SourceData.Fertiliser_ChemicalCompoundElements_Data(),Table_Fertiliser_ChemicalCompounds[[#Headers],[Fertiliser type f]], 0)</f>
        <v>Calcium ammonium nitrate (CAN)</v>
      </c>
      <c r="E26" s="200" cm="1">
        <f t="array" ref="E26">Common_InputFunctions.Utility_DisplayArrayInTable(Fertiliser_SourceData.Fertiliser_ChemicalCompoundElements_Data(),Table_Fertiliser_ChemicalCompounds[[#Headers],[Fertiliser type f]], 0)</f>
        <v>0.27</v>
      </c>
      <c r="F26" s="200" cm="1">
        <f t="array" ref="F26">Common_InputFunctions.Utility_DisplayArrayInTable(Fertiliser_SourceData.Fertiliser_ChemicalCompoundElements_Data(),Table_Fertiliser_ChemicalCompounds[[#Headers],[Fertiliser type f]], 0)</f>
        <v>0</v>
      </c>
      <c r="G26" s="200" t="str" cm="1">
        <f t="array" ref="G26">Common_InputFunctions.Utility_DisplayArrayInTable(Fertiliser_SourceData.Fertiliser_ChemicalCompoundElements_Data(),Table_Fertiliser_ChemicalCompounds[[#Headers],[Fertiliser type f]], 0)</f>
        <v>Ammonium-nitrate based fertilisers</v>
      </c>
      <c r="H26" s="200" t="str" cm="1">
        <f t="array" ref="H26">Common_InputFunctions.Utility_DisplayArrayInTable(Fertiliser_SourceData.Fertiliser_ChemicalCompoundElements_Data(),Table_Fertiliser_ChemicalCompounds[[#Headers],[Fertiliser type f]], 0)</f>
        <v>Calcium ammonium nitrate (CAN)</v>
      </c>
      <c r="I26" s="200" t="str" cm="1">
        <f t="array" ref="I26">Common_InputFunctions.Utility_DisplayArrayInTable(Fertiliser_SourceData.Fertiliser_ChemicalCompoundElements_Data(),Table_Fertiliser_ChemicalCompounds[[#Headers],[Fertiliser type f]], 0)</f>
        <v>VEERG</v>
      </c>
      <c r="K26" s="29" t="str" cm="1">
        <f t="array" ref="K26">Common_InputFunctions.Utility_DisplayArrayInTable(Fertiliser_SourceData.Fertiliser_FractionNCommonFertilisers_Data(), Table2[[#Headers],[Fertiliser type f]], 0)</f>
        <v>Calcium ammonium nitrate (CAN)</v>
      </c>
      <c r="L26" s="29" cm="1">
        <f t="array" ref="L26">Common_InputFunctions.Utility_DisplayArrayInTable(Fertiliser_SourceData.Fertiliser_FractionNCommonFertilisers_Data(), Table2[[#Headers],[Fertiliser type f]], 0)</f>
        <v>0.27</v>
      </c>
      <c r="Q26" s="29" t="str" cm="1">
        <f t="array" ref="Q26">Common_InputFunctions.Utility_DisplayArrayInTable(Fertiliser_SourceData.Fertiliser_FractionUreaCommonFertilisers_Data(), Table28[[#Headers],[Fertiliser type f]], 0)</f>
        <v>Calcium ammonium nitrate (CAN)</v>
      </c>
      <c r="R26" s="29" cm="1">
        <f t="array" ref="R26">Common_InputFunctions.Utility_DisplayArrayInTable(Fertiliser_SourceData.Fertiliser_FractionUreaCommonFertilisers_Data(), Table28[[#Headers],[Fertiliser type f]], 0)</f>
        <v>0</v>
      </c>
    </row>
    <row r="27" spans="1:22" ht="20.100000000000001" customHeight="1" x14ac:dyDescent="0.25">
      <c r="D27" s="200" t="str" cm="1">
        <f t="array" ref="D27">Common_InputFunctions.Utility_DisplayArrayInTable(Fertiliser_SourceData.Fertiliser_ChemicalCompoundElements_Data(),Table_Fertiliser_ChemicalCompounds[[#Headers],[Fertiliser type f]], 0)</f>
        <v>Nitrogen - Ammoniacal</v>
      </c>
      <c r="E27" s="200" cm="1">
        <f t="array" ref="E27">Common_InputFunctions.Utility_DisplayArrayInTable(Fertiliser_SourceData.Fertiliser_ChemicalCompoundElements_Data(),Table_Fertiliser_ChemicalCompounds[[#Headers],[Fertiliser type f]], 0)</f>
        <v>1</v>
      </c>
      <c r="F27" s="200" cm="1">
        <f t="array" ref="F27">Common_InputFunctions.Utility_DisplayArrayInTable(Fertiliser_SourceData.Fertiliser_ChemicalCompoundElements_Data(),Table_Fertiliser_ChemicalCompounds[[#Headers],[Fertiliser type f]], 0)</f>
        <v>0</v>
      </c>
      <c r="G27" s="200" t="str" cm="1">
        <f t="array" ref="G27">Common_InputFunctions.Utility_DisplayArrayInTable(Fertiliser_SourceData.Fertiliser_ChemicalCompoundElements_Data(),Table_Fertiliser_ChemicalCompounds[[#Headers],[Fertiliser type f]], 0)</f>
        <v>Ammonium-based fertilisers</v>
      </c>
      <c r="H27" s="200" t="str" cm="1">
        <f t="array" ref="H27">Common_InputFunctions.Utility_DisplayArrayInTable(Fertiliser_SourceData.Fertiliser_ChemicalCompoundElements_Data(),Table_Fertiliser_ChemicalCompounds[[#Headers],[Fertiliser type f]], 0)</f>
        <v>Nitrogen - Ammoniacal</v>
      </c>
      <c r="I27" s="200" t="str" cm="1">
        <f t="array" ref="I27">Common_InputFunctions.Utility_DisplayArrayInTable(Fertiliser_SourceData.Fertiliser_ChemicalCompoundElements_Data(),Table_Fertiliser_ChemicalCompounds[[#Headers],[Fertiliser type f]], 0)</f>
        <v>LifeCycles</v>
      </c>
      <c r="K27" s="29" t="str" cm="1">
        <f t="array" ref="K27">Common_InputFunctions.Utility_DisplayArrayInTable(Fertiliser_SourceData.Fertiliser_FractionNCommonFertilisers_Data(), Table2[[#Headers],[Fertiliser type f]], 0)</f>
        <v>Ammonium Sulfate</v>
      </c>
      <c r="L27" s="29" cm="1">
        <f t="array" ref="L27">Common_InputFunctions.Utility_DisplayArrayInTable(Fertiliser_SourceData.Fertiliser_FractionNCommonFertilisers_Data(), Table2[[#Headers],[Fertiliser type f]], 0)</f>
        <v>0.21</v>
      </c>
      <c r="Q27" s="29" t="str" cm="1">
        <f t="array" ref="Q27">Common_InputFunctions.Utility_DisplayArrayInTable(Fertiliser_SourceData.Fertiliser_FractionUreaCommonFertilisers_Data(), Table28[[#Headers],[Fertiliser type f]], 0)</f>
        <v>Ammonium Sulfate</v>
      </c>
      <c r="R27" s="29" cm="1">
        <f t="array" ref="R27">Common_InputFunctions.Utility_DisplayArrayInTable(Fertiliser_SourceData.Fertiliser_FractionUreaCommonFertilisers_Data(), Table28[[#Headers],[Fertiliser type f]], 0)</f>
        <v>0</v>
      </c>
    </row>
    <row r="28" spans="1:22" ht="20.100000000000001" customHeight="1" x14ac:dyDescent="0.25">
      <c r="D28" s="200" t="str" cm="1">
        <f t="array" ref="D28">Common_InputFunctions.Utility_DisplayArrayInTable(Fertiliser_SourceData.Fertiliser_ChemicalCompoundElements_Data(),Table_Fertiliser_ChemicalCompounds[[#Headers],[Fertiliser type f]], 0)</f>
        <v>Nitrogen - Nitrate</v>
      </c>
      <c r="E28" s="200" cm="1">
        <f t="array" ref="E28">Common_InputFunctions.Utility_DisplayArrayInTable(Fertiliser_SourceData.Fertiliser_ChemicalCompoundElements_Data(),Table_Fertiliser_ChemicalCompounds[[#Headers],[Fertiliser type f]], 0)</f>
        <v>1</v>
      </c>
      <c r="F28" s="200" cm="1">
        <f t="array" ref="F28">Common_InputFunctions.Utility_DisplayArrayInTable(Fertiliser_SourceData.Fertiliser_ChemicalCompoundElements_Data(),Table_Fertiliser_ChemicalCompounds[[#Headers],[Fertiliser type f]], 0)</f>
        <v>0</v>
      </c>
      <c r="G28" s="200" t="str" cm="1">
        <f t="array" ref="G28">Common_InputFunctions.Utility_DisplayArrayInTable(Fertiliser_SourceData.Fertiliser_ChemicalCompoundElements_Data(),Table_Fertiliser_ChemicalCompounds[[#Headers],[Fertiliser type f]], 0)</f>
        <v>Nitrate-based fertilisers</v>
      </c>
      <c r="H28" s="200" t="str" cm="1">
        <f t="array" ref="H28">Common_InputFunctions.Utility_DisplayArrayInTable(Fertiliser_SourceData.Fertiliser_ChemicalCompoundElements_Data(),Table_Fertiliser_ChemicalCompounds[[#Headers],[Fertiliser type f]], 0)</f>
        <v>Nitrogen from Nitrate</v>
      </c>
      <c r="I28" s="200" t="str" cm="1">
        <f t="array" ref="I28">Common_InputFunctions.Utility_DisplayArrayInTable(Fertiliser_SourceData.Fertiliser_ChemicalCompoundElements_Data(),Table_Fertiliser_ChemicalCompounds[[#Headers],[Fertiliser type f]], 0)</f>
        <v>LifeCycles</v>
      </c>
      <c r="K28" s="29" t="str" cm="1">
        <f t="array" ref="K28">Common_InputFunctions.Utility_DisplayArrayInTable(Fertiliser_SourceData.Fertiliser_FractionNCommonFertilisers_Data(), Table2[[#Headers],[Fertiliser type f]], 0)</f>
        <v>Calcium Nitrate</v>
      </c>
      <c r="L28" s="29" cm="1">
        <f t="array" ref="L28">Common_InputFunctions.Utility_DisplayArrayInTable(Fertiliser_SourceData.Fertiliser_FractionNCommonFertilisers_Data(), Table2[[#Headers],[Fertiliser type f]], 0)</f>
        <v>0.155</v>
      </c>
      <c r="Q28" s="29" t="str" cm="1">
        <f t="array" ref="Q28">Common_InputFunctions.Utility_DisplayArrayInTable(Fertiliser_SourceData.Fertiliser_FractionUreaCommonFertilisers_Data(), Table28[[#Headers],[Fertiliser type f]], 0)</f>
        <v>Calcium Nitrate</v>
      </c>
      <c r="R28" s="29" cm="1">
        <f t="array" ref="R28">Common_InputFunctions.Utility_DisplayArrayInTable(Fertiliser_SourceData.Fertiliser_FractionUreaCommonFertilisers_Data(), Table28[[#Headers],[Fertiliser type f]], 0)</f>
        <v>0</v>
      </c>
    </row>
    <row r="29" spans="1:22" ht="20.100000000000001" customHeight="1" x14ac:dyDescent="0.25">
      <c r="A29" s="6" t="s">
        <v>2</v>
      </c>
      <c r="D29" s="200" t="str" cm="1">
        <f t="array" ref="D29">Common_InputFunctions.Utility_DisplayArrayInTable(Fertiliser_SourceData.Fertiliser_ChemicalCompoundElements_Data(),Table_Fertiliser_ChemicalCompounds[[#Headers],[Fertiliser type f]], 0)</f>
        <v>Nitrogen - Generic</v>
      </c>
      <c r="E29" s="200" cm="1">
        <f t="array" ref="E29">Common_InputFunctions.Utility_DisplayArrayInTable(Fertiliser_SourceData.Fertiliser_ChemicalCompoundElements_Data(),Table_Fertiliser_ChemicalCompounds[[#Headers],[Fertiliser type f]], 0)</f>
        <v>1</v>
      </c>
      <c r="F29" s="200" cm="1">
        <f t="array" ref="F29">Common_InputFunctions.Utility_DisplayArrayInTable(Fertiliser_SourceData.Fertiliser_ChemicalCompoundElements_Data(),Table_Fertiliser_ChemicalCompounds[[#Headers],[Fertiliser type f]], 0)</f>
        <v>0</v>
      </c>
      <c r="G29" s="200" t="str" cm="1">
        <f t="array" ref="G29">Common_InputFunctions.Utility_DisplayArrayInTable(Fertiliser_SourceData.Fertiliser_ChemicalCompoundElements_Data(),Table_Fertiliser_ChemicalCompounds[[#Headers],[Fertiliser type f]], 0)</f>
        <v>Urea-based fertilisers</v>
      </c>
      <c r="H29" s="200" t="str" cm="1">
        <f t="array" ref="H29">Common_InputFunctions.Utility_DisplayArrayInTable(Fertiliser_SourceData.Fertiliser_ChemicalCompoundElements_Data(),Table_Fertiliser_ChemicalCompounds[[#Headers],[Fertiliser type f]], 0)</f>
        <v>Nitrogen from fertiliser</v>
      </c>
      <c r="I29" s="200"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HYPERLINK("#'5.1.1.1-2 Inorganic fert N2O'!A1", "5.1.1.1-2 Inorganic fert N2O")</f>
        <v>5.1.1.1-2 Inorganic fert N2O</v>
      </c>
      <c r="D30" s="200" t="str" cm="1">
        <f t="array" ref="D30">Common_InputFunctions.Utility_DisplayArrayInTable(Fertiliser_SourceData.Fertiliser_ChemicalCompoundElements_Data(),Table_Fertiliser_ChemicalCompounds[[#Headers],[Fertiliser type f]], 0)</f>
        <v>Phosphorus - Generic</v>
      </c>
      <c r="E30" s="200" cm="1">
        <f t="array" ref="E30">Common_InputFunctions.Utility_DisplayArrayInTable(Fertiliser_SourceData.Fertiliser_ChemicalCompoundElements_Data(),Table_Fertiliser_ChemicalCompounds[[#Headers],[Fertiliser type f]], 0)</f>
        <v>0</v>
      </c>
      <c r="F30" s="200" cm="1">
        <f t="array" ref="F30">Common_InputFunctions.Utility_DisplayArrayInTable(Fertiliser_SourceData.Fertiliser_ChemicalCompoundElements_Data(),Table_Fertiliser_ChemicalCompounds[[#Headers],[Fertiliser type f]], 0)</f>
        <v>0</v>
      </c>
      <c r="G30" s="200" t="str" cm="1">
        <f t="array" ref="G30">Common_InputFunctions.Utility_DisplayArrayInTable(Fertiliser_SourceData.Fertiliser_ChemicalCompoundElements_Data(),Table_Fertiliser_ChemicalCompounds[[#Headers],[Fertiliser type f]], 0)</f>
        <v>Other fertilisers</v>
      </c>
      <c r="H30" s="200" t="str" cm="1">
        <f t="array" ref="H30">Common_InputFunctions.Utility_DisplayArrayInTable(Fertiliser_SourceData.Fertiliser_ChemicalCompoundElements_Data(),Table_Fertiliser_ChemicalCompounds[[#Headers],[Fertiliser type f]], 0)</f>
        <v>Phosphorus from fertiliser</v>
      </c>
      <c r="I30" s="200"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HYPERLINK("#'5.1.1.3-4 Inorganic fert CO2'!A1", "5.1.1.3-4 Inorganic fert CO2")</f>
        <v>5.1.1.3-4 Inorganic fert CO2</v>
      </c>
      <c r="D31" s="200" t="str" cm="1">
        <f t="array" ref="D31">Common_InputFunctions.Utility_DisplayArrayInTable(Fertiliser_SourceData.Fertiliser_ChemicalCompoundElements_Data(),Table_Fertiliser_ChemicalCompounds[[#Headers],[Fertiliser type f]], 0)</f>
        <v>Potassium - Generic</v>
      </c>
      <c r="E31" s="200" cm="1">
        <f t="array" ref="E31">Common_InputFunctions.Utility_DisplayArrayInTable(Fertiliser_SourceData.Fertiliser_ChemicalCompoundElements_Data(),Table_Fertiliser_ChemicalCompounds[[#Headers],[Fertiliser type f]], 0)</f>
        <v>0</v>
      </c>
      <c r="F31" s="200" cm="1">
        <f t="array" ref="F31">Common_InputFunctions.Utility_DisplayArrayInTable(Fertiliser_SourceData.Fertiliser_ChemicalCompoundElements_Data(),Table_Fertiliser_ChemicalCompounds[[#Headers],[Fertiliser type f]], 0)</f>
        <v>0</v>
      </c>
      <c r="G31" s="200" t="str" cm="1">
        <f t="array" ref="G31">Common_InputFunctions.Utility_DisplayArrayInTable(Fertiliser_SourceData.Fertiliser_ChemicalCompoundElements_Data(),Table_Fertiliser_ChemicalCompounds[[#Headers],[Fertiliser type f]], 0)</f>
        <v>Other fertilisers</v>
      </c>
      <c r="H31" s="200" t="str" cm="1">
        <f t="array" ref="H31">Common_InputFunctions.Utility_DisplayArrayInTable(Fertiliser_SourceData.Fertiliser_ChemicalCompoundElements_Data(),Table_Fertiliser_ChemicalCompounds[[#Headers],[Fertiliser type f]], 0)</f>
        <v>Potassium from fertiliser</v>
      </c>
      <c r="I31" s="200"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HYPERLINK("#'5.2.1.1-2 Organic Fert N2O'!A1", "5.2.1.1-2 Organic fert N2O")</f>
        <v>5.2.1.1-2 Organic fert N2O</v>
      </c>
      <c r="D32" s="200" t="str" cm="1">
        <f t="array" ref="D32">Common_InputFunctions.Utility_DisplayArrayInTable(Fertiliser_SourceData.Fertiliser_ChemicalCompoundElements_Data(),Table_Fertiliser_ChemicalCompounds[[#Headers],[Fertiliser type f]], 0)</f>
        <v>Sulfur - Generic</v>
      </c>
      <c r="E32" s="200" cm="1">
        <f t="array" ref="E32">Common_InputFunctions.Utility_DisplayArrayInTable(Fertiliser_SourceData.Fertiliser_ChemicalCompoundElements_Data(),Table_Fertiliser_ChemicalCompounds[[#Headers],[Fertiliser type f]], 0)</f>
        <v>0</v>
      </c>
      <c r="F32" s="200" cm="1">
        <f t="array" ref="F32">Common_InputFunctions.Utility_DisplayArrayInTable(Fertiliser_SourceData.Fertiliser_ChemicalCompoundElements_Data(),Table_Fertiliser_ChemicalCompounds[[#Headers],[Fertiliser type f]], 0)</f>
        <v>0</v>
      </c>
      <c r="G32" s="200" t="str" cm="1">
        <f t="array" ref="G32">Common_InputFunctions.Utility_DisplayArrayInTable(Fertiliser_SourceData.Fertiliser_ChemicalCompoundElements_Data(),Table_Fertiliser_ChemicalCompounds[[#Headers],[Fertiliser type f]], 0)</f>
        <v>Other fertilisers</v>
      </c>
      <c r="H32" s="200" t="str" cm="1">
        <f t="array" ref="H32">Common_InputFunctions.Utility_DisplayArrayInTable(Fertiliser_SourceData.Fertiliser_ChemicalCompoundElements_Data(),Table_Fertiliser_ChemicalCompounds[[#Headers],[Fertiliser type f]], 0)</f>
        <v>Sulfur from fertiliser</v>
      </c>
      <c r="I32" s="200"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HYPERLINK("#'5.3.1.1-2 Lime CO2'!A1", "5.3.1.1-2 Lime CO2")</f>
        <v>5.3.1.1-2 Lime CO2</v>
      </c>
      <c r="D33" s="200" t="str" cm="1">
        <f t="array" ref="D33">Common_InputFunctions.Utility_DisplayArrayInTable(Fertiliser_SourceData.Fertiliser_ChemicalCompoundElements_Data(),Table_Fertiliser_ChemicalCompounds[[#Headers],[Fertiliser type f]], 0)</f>
        <v>Zinc - Generic</v>
      </c>
      <c r="E33" s="200" cm="1">
        <f t="array" ref="E33">Common_InputFunctions.Utility_DisplayArrayInTable(Fertiliser_SourceData.Fertiliser_ChemicalCompoundElements_Data(),Table_Fertiliser_ChemicalCompounds[[#Headers],[Fertiliser type f]], 0)</f>
        <v>0</v>
      </c>
      <c r="F33" s="200" cm="1">
        <f t="array" ref="F33">Common_InputFunctions.Utility_DisplayArrayInTable(Fertiliser_SourceData.Fertiliser_ChemicalCompoundElements_Data(),Table_Fertiliser_ChemicalCompounds[[#Headers],[Fertiliser type f]], 0)</f>
        <v>0</v>
      </c>
      <c r="G33" s="200" t="str" cm="1">
        <f t="array" ref="G33">Common_InputFunctions.Utility_DisplayArrayInTable(Fertiliser_SourceData.Fertiliser_ChemicalCompoundElements_Data(),Table_Fertiliser_ChemicalCompounds[[#Headers],[Fertiliser type f]], 0)</f>
        <v>Other fertilisers</v>
      </c>
      <c r="H33" s="200" t="str" cm="1">
        <f t="array" ref="H33">Common_InputFunctions.Utility_DisplayArrayInTable(Fertiliser_SourceData.Fertiliser_ChemicalCompoundElements_Data(),Table_Fertiliser_ChemicalCompounds[[#Headers],[Fertiliser type f]], 0)</f>
        <v>Zinc from fertiliser</v>
      </c>
      <c r="I33" s="200"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HYPERLINK("#'5.4.1.1-4 Atmos deposition'!A1", "5.4.1.1-4 Atmos. deposition")</f>
        <v>5.4.1.1-4 Atmos. deposition</v>
      </c>
      <c r="D34" s="200" t="str" cm="1">
        <f t="array" ref="D34">Common_InputFunctions.Utility_DisplayArrayInTable(Fertiliser_SourceData.Fertiliser_ChemicalCompoundElements_Data(),Table_Fertiliser_ChemicalCompounds[[#Headers],[Fertiliser type f]], 0)</f>
        <v>Muriate of potash (MOP)</v>
      </c>
      <c r="E34" s="200" cm="1">
        <f t="array" ref="E34">Common_InputFunctions.Utility_DisplayArrayInTable(Fertiliser_SourceData.Fertiliser_ChemicalCompoundElements_Data(),Table_Fertiliser_ChemicalCompounds[[#Headers],[Fertiliser type f]], 0)</f>
        <v>0</v>
      </c>
      <c r="F34" s="200" cm="1">
        <f t="array" ref="F34">Common_InputFunctions.Utility_DisplayArrayInTable(Fertiliser_SourceData.Fertiliser_ChemicalCompoundElements_Data(),Table_Fertiliser_ChemicalCompounds[[#Headers],[Fertiliser type f]], 0)</f>
        <v>0</v>
      </c>
      <c r="G34" s="200" t="str" cm="1">
        <f t="array" ref="G34">Common_InputFunctions.Utility_DisplayArrayInTable(Fertiliser_SourceData.Fertiliser_ChemicalCompoundElements_Data(),Table_Fertiliser_ChemicalCompounds[[#Headers],[Fertiliser type f]], 0)</f>
        <v>Other fertilisers</v>
      </c>
      <c r="H34" s="200" t="str" cm="1">
        <f t="array" ref="H34">Common_InputFunctions.Utility_DisplayArrayInTable(Fertiliser_SourceData.Fertiliser_ChemicalCompoundElements_Data(),Table_Fertiliser_ChemicalCompounds[[#Headers],[Fertiliser type f]], 0)</f>
        <v>Muriate of potash (MOP)</v>
      </c>
      <c r="I34" s="200"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HYPERLINK("#'5.5.1.1-2 Leaching and runoff'!A1", "5.5.1.1-2 Leaching &amp; runoff")</f>
        <v>5.5.1.1-2 Leaching &amp; runoff</v>
      </c>
      <c r="D35" s="200" t="str" cm="1">
        <f t="array" ref="D35">Common_InputFunctions.Utility_DisplayArrayInTable(Fertiliser_SourceData.Fertiliser_ChemicalCompoundElements_Data(),Table_Fertiliser_ChemicalCompounds[[#Headers],[Fertiliser type f]], 0)</f>
        <v>Double superphosphate</v>
      </c>
      <c r="E35" s="200" cm="1">
        <f t="array" ref="E35">Common_InputFunctions.Utility_DisplayArrayInTable(Fertiliser_SourceData.Fertiliser_ChemicalCompoundElements_Data(),Table_Fertiliser_ChemicalCompounds[[#Headers],[Fertiliser type f]], 0)</f>
        <v>0</v>
      </c>
      <c r="F35" s="200" cm="1">
        <f t="array" ref="F35">Common_InputFunctions.Utility_DisplayArrayInTable(Fertiliser_SourceData.Fertiliser_ChemicalCompoundElements_Data(),Table_Fertiliser_ChemicalCompounds[[#Headers],[Fertiliser type f]], 0)</f>
        <v>0</v>
      </c>
      <c r="G35" s="200" t="str" cm="1">
        <f t="array" ref="G35">Common_InputFunctions.Utility_DisplayArrayInTable(Fertiliser_SourceData.Fertiliser_ChemicalCompoundElements_Data(),Table_Fertiliser_ChemicalCompounds[[#Headers],[Fertiliser type f]], 0)</f>
        <v>Other fertilisers</v>
      </c>
      <c r="H35" s="200" t="str" cm="1">
        <f t="array" ref="H35">Common_InputFunctions.Utility_DisplayArrayInTable(Fertiliser_SourceData.Fertiliser_ChemicalCompoundElements_Data(),Table_Fertiliser_ChemicalCompounds[[#Headers],[Fertiliser type f]], 0)</f>
        <v>Double superphosphate</v>
      </c>
      <c r="I35" s="200"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HYPERLINK("#'6.2.1.1-2 Pasture residue N2O'!A1", "6.2.1.1-2 Pasture residue N2O")</f>
        <v>6.2.1.1-2 Pasture residue N2O</v>
      </c>
      <c r="D36" s="200" t="str" cm="1">
        <f t="array" ref="D36">Common_InputFunctions.Utility_DisplayArrayInTable(Fertiliser_SourceData.Fertiliser_ChemicalCompoundElements_Data(),Table_Fertiliser_ChemicalCompounds[[#Headers],[Fertiliser type f]], 0)</f>
        <v>Single superphosphate (SSP)</v>
      </c>
      <c r="E36" s="200" cm="1">
        <f t="array" ref="E36">Common_InputFunctions.Utility_DisplayArrayInTable(Fertiliser_SourceData.Fertiliser_ChemicalCompoundElements_Data(),Table_Fertiliser_ChemicalCompounds[[#Headers],[Fertiliser type f]], 0)</f>
        <v>0</v>
      </c>
      <c r="F36" s="200" cm="1">
        <f t="array" ref="F36">Common_InputFunctions.Utility_DisplayArrayInTable(Fertiliser_SourceData.Fertiliser_ChemicalCompoundElements_Data(),Table_Fertiliser_ChemicalCompounds[[#Headers],[Fertiliser type f]], 0)</f>
        <v>0</v>
      </c>
      <c r="G36" s="200" t="str" cm="1">
        <f t="array" ref="G36">Common_InputFunctions.Utility_DisplayArrayInTable(Fertiliser_SourceData.Fertiliser_ChemicalCompoundElements_Data(),Table_Fertiliser_ChemicalCompounds[[#Headers],[Fertiliser type f]], 0)</f>
        <v>Other fertilisers</v>
      </c>
      <c r="H36" s="200" t="str" cm="1">
        <f t="array" ref="H36">Common_InputFunctions.Utility_DisplayArrayInTable(Fertiliser_SourceData.Fertiliser_ChemicalCompoundElements_Data(),Table_Fertiliser_ChemicalCompounds[[#Headers],[Fertiliser type f]], 0)</f>
        <v>Single superphosphate (SSP)</v>
      </c>
      <c r="I36" s="200"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HYPERLINK("#'6.3.1.1-2 Leach runoff pasture'!A1", "6.3.1.1-2 Leach &amp; runoff (pasture)")</f>
        <v>6.3.1.1-2 Leach &amp; runoff (pasture)</v>
      </c>
      <c r="D37" s="200" t="str" cm="1">
        <f t="array" ref="D37">Common_InputFunctions.Utility_DisplayArrayInTable(Fertiliser_SourceData.Fertiliser_ChemicalCompoundElements_Data(),Table_Fertiliser_ChemicalCompounds[[#Headers],[Fertiliser type f]], 0)</f>
        <v>Ammonia</v>
      </c>
      <c r="E37" s="200" cm="1">
        <f t="array" ref="E37">Common_InputFunctions.Utility_DisplayArrayInTable(Fertiliser_SourceData.Fertiliser_ChemicalCompoundElements_Data(),Table_Fertiliser_ChemicalCompounds[[#Headers],[Fertiliser type f]], 0)</f>
        <v>0.82350000000000001</v>
      </c>
      <c r="F37" s="200" cm="1">
        <f t="array" ref="F37">Common_InputFunctions.Utility_DisplayArrayInTable(Fertiliser_SourceData.Fertiliser_ChemicalCompoundElements_Data(),Table_Fertiliser_ChemicalCompounds[[#Headers],[Fertiliser type f]], 0)</f>
        <v>0</v>
      </c>
      <c r="G37" s="200" t="str" cm="1">
        <f t="array" ref="G37">Common_InputFunctions.Utility_DisplayArrayInTable(Fertiliser_SourceData.Fertiliser_ChemicalCompoundElements_Data(),Table_Fertiliser_ChemicalCompounds[[#Headers],[Fertiliser type f]], 0)</f>
        <v>Ammonium-based fertilisers</v>
      </c>
      <c r="H37" s="200" t="str" cm="1">
        <f t="array" ref="H37">Common_InputFunctions.Utility_DisplayArrayInTable(Fertiliser_SourceData.Fertiliser_ChemicalCompoundElements_Data(),Table_Fertiliser_ChemicalCompounds[[#Headers],[Fertiliser type f]], 0)</f>
        <v>Ammonia</v>
      </c>
      <c r="I37" s="200"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HYPERLINK("#'8.1.1.1-2 Transport fuel'!A1", "8.1.1.1-2 Transport fuel")</f>
        <v>8.1.1.1-2 Transport fuel</v>
      </c>
      <c r="D38" s="29" t="str" cm="1">
        <f t="array" ref="D38">Common_InputFunctions.Utility_DisplayArrayInTable(Fertiliser_SourceData.Fertiliser_ChemicalCompoundElements_Data(),Table_Fertiliser_ChemicalCompounds[[#Headers],[Fertiliser type f]], 0)</f>
        <v>Calcium nitrate</v>
      </c>
      <c r="E38" s="29" cm="1">
        <f t="array" ref="E38">Common_InputFunctions.Utility_DisplayArrayInTable(Fertiliser_SourceData.Fertiliser_ChemicalCompoundElements_Data(),Table_Fertiliser_ChemicalCompounds[[#Headers],[Fertiliser type f]], 0)</f>
        <v>0.155</v>
      </c>
      <c r="F38" s="29" cm="1">
        <f t="array" ref="F38">Common_InputFunctions.Utility_DisplayArrayInTable(Fertiliser_SourceData.Fertiliser_ChemicalCompoundElements_Data(),Table_Fertiliser_ChemicalCompounds[[#Headers],[Fertiliser type f]], 0)</f>
        <v>0</v>
      </c>
      <c r="G38" s="29" t="str" cm="1">
        <f t="array" ref="G38">Common_InputFunctions.Utility_DisplayArrayInTable(Fertiliser_SourceData.Fertiliser_ChemicalCompoundElements_Data(),Table_Fertiliser_ChemicalCompounds[[#Headers],[Fertiliser type f]], 0)</f>
        <v>Nitrate-based fertilisers</v>
      </c>
      <c r="H38" s="29" t="str" cm="1">
        <f t="array" ref="H38">Common_InputFunctions.Utility_DisplayArrayInTable(Fertiliser_SourceData.Fertiliser_ChemicalCompoundElements_Data(),Table_Fertiliser_ChemicalCompounds[[#Headers],[Fertiliser type f]], 0)</f>
        <v>Calcium nitrate</v>
      </c>
      <c r="I38" s="2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HYPERLINK("#'8.2.1.1-2 Stationary fuel'!A1", "8.2.1.1-2 Stationary fuel")</f>
        <v>8.2.1.1-2 Stationary fuel</v>
      </c>
    </row>
    <row r="40" spans="1:10" ht="20.100000000000001" customHeight="1" x14ac:dyDescent="0.25">
      <c r="A40" s="5" t="str">
        <f>HYPERLINK("#'14.1.1-2 Purchased electricity'!A1", "14.1.1-2 Purchased electricity")</f>
        <v>14.1.1-2 Purchased electricity</v>
      </c>
      <c r="D40" s="2" t="s">
        <v>241</v>
      </c>
      <c r="F40" s="2" t="s">
        <v>706</v>
      </c>
      <c r="H40" s="2" t="s">
        <v>497</v>
      </c>
      <c r="J40" s="2" t="s">
        <v>707</v>
      </c>
    </row>
    <row r="41" spans="1:10" ht="20.100000000000001" customHeight="1" x14ac:dyDescent="0.25">
      <c r="A41" s="5" t="str">
        <f>HYPERLINK("#'15 Scope 3'!A1", "15 Scope 3")</f>
        <v>15 Scope 3</v>
      </c>
      <c r="D41" s="29" t="s">
        <v>168</v>
      </c>
      <c r="F41" s="29" t="s">
        <v>168</v>
      </c>
      <c r="H41" s="29" t="s">
        <v>64</v>
      </c>
      <c r="J41" s="29" t="s">
        <v>708</v>
      </c>
    </row>
    <row r="42" spans="1:10" ht="20.100000000000001" customHeight="1" x14ac:dyDescent="0.25">
      <c r="A42" s="5" t="str">
        <f>HYPERLINK("#'Calcs - Manure sent off-site'!A1", "Calcs - Manure sent off-site")</f>
        <v>Calcs - Manure sent off-site</v>
      </c>
      <c r="D42" s="29" t="s">
        <v>171</v>
      </c>
      <c r="F42" s="29" t="s">
        <v>171</v>
      </c>
      <c r="H42" s="29" t="s">
        <v>502</v>
      </c>
      <c r="J42" s="29" t="s">
        <v>709</v>
      </c>
    </row>
    <row r="43" spans="1:10" ht="20.100000000000001" customHeight="1" x14ac:dyDescent="0.25">
      <c r="A43" s="5" t="str">
        <f>HYPERLINK("#'4.3.1.1-2 Methane'!A1", "4.3.1.1-2 Methane")</f>
        <v>4.3.1.1-2 Methane</v>
      </c>
      <c r="D43" s="1" t="s">
        <v>710</v>
      </c>
      <c r="F43" s="1" t="s">
        <v>711</v>
      </c>
      <c r="H43" s="29" t="s">
        <v>503</v>
      </c>
      <c r="J43" s="1" t="s">
        <v>613</v>
      </c>
    </row>
    <row r="44" spans="1:10" ht="20.100000000000001" customHeight="1" x14ac:dyDescent="0.25">
      <c r="A44" s="5" t="str">
        <f>HYPERLINK("#'4.3.1.3-4 Direct N20'!A1", "4.3.1.3-4 Direct N20")</f>
        <v>4.3.1.3-4 Direct N20</v>
      </c>
      <c r="F44" s="1" t="s">
        <v>712</v>
      </c>
      <c r="H44" s="1" t="s">
        <v>260</v>
      </c>
      <c r="J44" s="1" t="s">
        <v>713</v>
      </c>
    </row>
    <row r="45" spans="1:10" ht="20.100000000000001" customHeight="1" x14ac:dyDescent="0.25">
      <c r="A45" s="5" t="str">
        <f>HYPERLINK("#'4.3.1.5 Atmos deposition'!A1", "4.3.1.5 Atmos deposition")</f>
        <v>4.3.1.5 Atmos deposition</v>
      </c>
      <c r="F45" s="1" t="s">
        <v>714</v>
      </c>
      <c r="H45" s="1" t="s">
        <v>504</v>
      </c>
      <c r="J45" s="1" t="s">
        <v>612</v>
      </c>
    </row>
    <row r="46" spans="1:10" ht="20.100000000000001" customHeight="1" x14ac:dyDescent="0.25">
      <c r="A46" s="5" t="str">
        <f>HYPERLINK("#'4.3.1.6-7 Leaching and runoff'!A1", "4.3.1.6-7 Leaching and runoff")</f>
        <v>4.3.1.6-7 Leaching and runoff</v>
      </c>
      <c r="H46" s="1" t="s">
        <v>505</v>
      </c>
      <c r="J46" s="1" t="s">
        <v>614</v>
      </c>
    </row>
    <row r="47" spans="1:10" ht="20.100000000000001" customHeight="1" x14ac:dyDescent="0.25">
      <c r="A47" s="5" t="str">
        <f>HYPERLINK("#'4.3.1.8 Manure applied to soils'!A1", "4.3.1.8 Manure applied to soils")</f>
        <v>4.3.1.8 Manure applied to soils</v>
      </c>
    </row>
    <row r="48" spans="1:10" ht="20.100000000000001" customHeight="1" x14ac:dyDescent="0.25">
      <c r="A48" s="5" t="str">
        <f>HYPERLINK("#'4.3.1.9 Soil direct N2O'!A1", "4.3.1.9 Soil direct N2O")</f>
        <v>4.3.1.9 Soil direct N2O</v>
      </c>
      <c r="D48" s="2" t="str" cm="1">
        <f t="array" ref="D48">Fertiliser_SourceData.Fertiliser_FracGASF_Title()</f>
        <v>Fraction of inorganic fertiliser that volatilises as NH3 and NOx</v>
      </c>
      <c r="G48" s="192"/>
    </row>
    <row r="49" spans="1:8" ht="20.100000000000001" customHeight="1" x14ac:dyDescent="0.25">
      <c r="A49" s="5" t="str">
        <f>HYPERLINK("#'4.3.1.10-11 Soil Atmos Dep'!A1", "4.3.1.10-11 Soil Atmos Dep")</f>
        <v>4.3.1.10-11 Soil Atmos Dep</v>
      </c>
      <c r="D49" s="27" t="str" cm="1">
        <f t="array" ref="D49">Fertiliser_SourceData.Fertiliser_FracGASF_Source()</f>
        <v>Table A.2.2.6: Fraction of inorganic fertiliser f that volatilises as NH3 and NOx ((kg NH3-N + NOx-N)/kg N) (FracGASFf)</v>
      </c>
      <c r="G49" s="192"/>
    </row>
    <row r="50" spans="1:8" ht="20.100000000000001" customHeight="1" x14ac:dyDescent="0.25">
      <c r="A50" s="5" t="str">
        <f>HYPERLINK("#'4.3.1.12-13 Soil leach runoff'!A1", "4.3.1.12-13 Soil leach runoff")</f>
        <v>4.3.1.12-13 Soil leach runoff</v>
      </c>
      <c r="D50" s="29" t="s">
        <v>619</v>
      </c>
      <c r="E50" s="29" t="s">
        <v>715</v>
      </c>
      <c r="G50" s="192"/>
    </row>
    <row r="51" spans="1:8" ht="20.100000000000001" customHeight="1" x14ac:dyDescent="0.25">
      <c r="A51" s="5" t="str">
        <f>HYPERLINK("#'3.3.1.1-2 Enteric Methane'!A1", "3.3.1.1-2 Enteric Methane")</f>
        <v>3.3.1.1-2 Enteric Methane</v>
      </c>
      <c r="D51" s="29" t="str" cm="1">
        <f t="array" ref="D51">Common_InputFunctions.Utility_DisplayArrayInTable(Fertiliser_SourceData.Fertiliser_FracGASF_Data(), Table_SourceData_Fertiliser_FracGASF[[#Headers],[Fertiliser type f]], 0)</f>
        <v>Urea-based fertilisers</v>
      </c>
      <c r="E51" s="29" cm="1">
        <f t="array" ref="E51">Common_InputFunctions.Utility_DisplayArrayInTable(Fertiliser_SourceData.Fertiliser_FracGASF_Data(), Table_SourceData_Fertiliser_FracGASF[[#Headers],[Fertiliser type f]], 0)</f>
        <v>0.15</v>
      </c>
      <c r="G51" s="192"/>
    </row>
    <row r="52" spans="1:8" ht="20.100000000000001" customHeight="1" x14ac:dyDescent="0.25">
      <c r="A52" s="5" t="str">
        <f>HYPERLINK("#'10.1.1-2 Solid waste treatment'!A1", "10.1.1-2 Solid waste treatment")</f>
        <v>10.1.1-2 Solid waste treatment</v>
      </c>
      <c r="D52" s="1" t="str" cm="1">
        <f t="array" ref="D52">Common_InputFunctions.Utility_DisplayArrayInTable(Fertiliser_SourceData.Fertiliser_FracGASF_Data(), Table_SourceData_Fertiliser_FracGASF[[#Headers],[Fertiliser type f]], 0)</f>
        <v>Ammonium-based fertilisers</v>
      </c>
      <c r="E52" s="29" cm="1">
        <f t="array" ref="E52">Common_InputFunctions.Utility_DisplayArrayInTable(Fertiliser_SourceData.Fertiliser_FracGASF_Data(), Table_SourceData_Fertiliser_FracGASF[[#Headers],[Fertiliser type f]], 0)</f>
        <v>0.08</v>
      </c>
      <c r="G52" s="192"/>
    </row>
    <row r="53" spans="1: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29" cm="1">
        <f t="array" ref="E53">Common_InputFunctions.Utility_DisplayArrayInTable(Fertiliser_SourceData.Fertiliser_FracGASF_Data(), Table_SourceData_Fertiliser_FracGASF[[#Headers],[Fertiliser type f]], 0)</f>
        <v>0.01</v>
      </c>
      <c r="G53" s="192"/>
    </row>
    <row r="54" spans="1: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29" cm="1">
        <f t="array" ref="E54">Common_InputFunctions.Utility_DisplayArrayInTable(Fertiliser_SourceData.Fertiliser_FracGASF_Data(), Table_SourceData_Fertiliser_FracGASF[[#Headers],[Fertiliser type f]], 0)</f>
        <v>0.05</v>
      </c>
      <c r="G54" s="192"/>
      <c r="H54" s="192"/>
    </row>
    <row r="55" spans="1:8" ht="20.100000000000001" customHeight="1" x14ac:dyDescent="0.25">
      <c r="A55" s="100" t="s">
        <v>1</v>
      </c>
      <c r="D55" s="1" t="str" cm="1">
        <f t="array" ref="D55">Common_InputFunctions.Utility_DisplayArrayInTable(Fertiliser_SourceData.Fertiliser_FracGASF_Data(), Table_SourceData_Fertiliser_FracGASF[[#Headers],[Fertiliser type f]], 0)</f>
        <v>Other fertilisers</v>
      </c>
      <c r="E55" s="29" cm="1">
        <f t="array" ref="E55">Common_InputFunctions.Utility_DisplayArrayInTable(Fertiliser_SourceData.Fertiliser_FracGASF_Data(), Table_SourceData_Fertiliser_FracGASF[[#Headers],[Fertiliser type f]], 0)</f>
        <v>0.11</v>
      </c>
      <c r="G55" s="192"/>
      <c r="H55" s="192"/>
    </row>
    <row r="56" spans="1:8" ht="20.100000000000001" customHeight="1" x14ac:dyDescent="0.25">
      <c r="A56" s="5" t="str">
        <f>HYPERLINK("#'Constants - Dairy'!A1", "Constants - Dairy")</f>
        <v>Constants - Dairy</v>
      </c>
    </row>
    <row r="57" spans="1:8" ht="20.100000000000001" customHeight="1" x14ac:dyDescent="0.25">
      <c r="A57" s="5" t="str">
        <f>HYPERLINK("#'Constants - Ag Residue'!A1", "Constants - Ag residue")</f>
        <v>Constants - Ag residue</v>
      </c>
    </row>
    <row r="58" spans="1:8" ht="20.100000000000001" customHeight="1" x14ac:dyDescent="0.25">
      <c r="A58" s="5" t="str">
        <f>HYPERLINK("#'Constants - Common Livestock'!A1", "Constants - Common Livestock")</f>
        <v>Constants - Common Livestock</v>
      </c>
      <c r="D58" s="2" t="str" cm="1">
        <f t="array" ref="D58">Fertiliser_SourceData.Fertiliser_EFUreaCO2_Title()</f>
        <v>Emission factor for carbon emissions from urea application</v>
      </c>
    </row>
    <row r="59" spans="1:8" ht="20.100000000000001" customHeight="1" x14ac:dyDescent="0.25">
      <c r="A59" s="5" t="str">
        <f>HYPERLINK("#'Constants - Electricity'!A1", "Constants - Electricity")</f>
        <v>Constants - Electricity</v>
      </c>
      <c r="D59" s="27" t="str" cm="1">
        <f t="array" ref="D59">Fertiliser_SourceData.Fertiliser_EFUreaCO2_Source()</f>
        <v>VEERG 2026: 5.1.2.2 Constant Parameters</v>
      </c>
    </row>
    <row r="60" spans="1:8" ht="20.100000000000001" customHeight="1" x14ac:dyDescent="0.25">
      <c r="A60" s="148" t="str">
        <f>HYPERLINK("#'Constants - Fertiliser'!A1", "Constants - Fertiliser")</f>
        <v>Constants - Fertiliser</v>
      </c>
      <c r="D60" s="87"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HYPERLINK("#'Constants - Fuel'!A1", "Constants - Fuel")</f>
        <v>Constants - Fuel</v>
      </c>
    </row>
    <row r="62" spans="1:8" ht="20.100000000000001" customHeight="1" x14ac:dyDescent="0.25">
      <c r="A62" s="5" t="str">
        <f>HYPERLINK("#'Constants - Scope 3'!A1", "Constants - Scope 3")</f>
        <v>Constants - Scope 3</v>
      </c>
    </row>
    <row r="63" spans="1:8" ht="20.100000000000001" customHeight="1" x14ac:dyDescent="0.25">
      <c r="A63" s="5" t="str">
        <f>HYPERLINK("#'Constants - Common'!A1", "Constants - Common")</f>
        <v>Constants - Common</v>
      </c>
      <c r="D63" s="2" t="str" cm="1">
        <f t="array" ref="D63">Fertiliser_SourceData.Fertiliser_LimeDolomiteGypsumConstants_Title()</f>
        <v>Constants for lime, dolomite and gypsum</v>
      </c>
    </row>
    <row r="64" spans="1:8" ht="20.100000000000001" customHeight="1" x14ac:dyDescent="0.25">
      <c r="A64" s="5" t="str">
        <f>HYPERLINK("#'Acknowledgements'!A1", "Acknowledgements")</f>
        <v>Acknowledgements</v>
      </c>
      <c r="D64" s="27" t="str" cm="1">
        <f t="array" ref="D64">Fertiliser_SourceData.Fertiliser_LimeDolomiteGypsumConstants_Source()</f>
        <v>VEERG 2026: 5.3.2.3 Constant Parameters</v>
      </c>
    </row>
    <row r="65" spans="1:6" ht="20.100000000000001" customHeight="1" x14ac:dyDescent="0.25">
      <c r="A65" s="5" t="str">
        <f>HYPERLINK("#'Constants - Solid Waste'!A1", "Constants - Solid Waste")</f>
        <v>Constants - Solid Waste</v>
      </c>
      <c r="D65" s="29" t="s">
        <v>666</v>
      </c>
      <c r="E65" s="29" t="s">
        <v>716</v>
      </c>
      <c r="F65" s="29" t="s">
        <v>717</v>
      </c>
    </row>
    <row r="66" spans="1:6" ht="20.100000000000001" customHeight="1" x14ac:dyDescent="0.25">
      <c r="D66" s="29" t="str" cm="1">
        <f t="array" ref="D66">Common_InputFunctions.Utility_DisplayArrayInTable(Fertiliser_SourceData.Fertiliser_LimeDolomiteGypsumConstants_Data(), Table_SourceData_Fertiliser_LimeDolomiteConstants[[#Headers],[Element]], 0)</f>
        <v>Lime (Calcium carbonate)</v>
      </c>
      <c r="E66" s="29" cm="1">
        <f t="array" ref="E66">Common_InputFunctions.Utility_DisplayArrayInTable(Fertiliser_SourceData.Fertiliser_LimeDolomiteGypsumConstants_Data(), Table_SourceData_Fertiliser_LimeDolomiteConstants[[#Headers],[Element]], 0)</f>
        <v>0.9</v>
      </c>
      <c r="F66" s="29"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9" cm="1">
        <f t="array" ref="E67">Common_InputFunctions.Utility_DisplayArrayInTable(Fertiliser_SourceData.Fertiliser_LimeDolomiteGypsumConstants_Data(), Table_SourceData_Fertiliser_LimeDolomiteConstants[[#Headers],[Element]], 0)</f>
        <v>0.95</v>
      </c>
      <c r="F67" s="29"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9" cm="1">
        <f t="array" ref="E68">Common_InputFunctions.Utility_DisplayArrayInTable(Fertiliser_SourceData.Fertiliser_LimeDolomiteGypsumConstants_Data(), Table_SourceData_Fertiliser_LimeDolomiteConstants[[#Headers],[Element]], 0)</f>
        <v>0</v>
      </c>
      <c r="F68" s="29" cm="1">
        <f t="array" ref="F68">Common_InputFunctions.Utility_DisplayArrayInTable(Fertiliser_SourceData.Fertiliser_LimeDolomiteGypsumConstants_Data(), Table_SourceData_Fertiliser_LimeDolomiteConstants[[#Headers],[Element]], 0)</f>
        <v>0</v>
      </c>
    </row>
    <row r="69" spans="1:6" ht="20.100000000000001" customHeight="1" x14ac:dyDescent="0.25"/>
    <row r="70" spans="1:6" ht="20.100000000000001" customHeight="1" x14ac:dyDescent="0.25"/>
    <row r="71" spans="1:6" ht="20.100000000000001" customHeight="1" x14ac:dyDescent="0.25">
      <c r="D71" s="2" t="str" cm="1">
        <f t="array" ref="D71">Fertiliser_SourceData.Fertiliser_FracGASMSoil_Title()</f>
        <v>Fraction of organic fertiliser that volatilises as NH3 and NOx</v>
      </c>
    </row>
    <row r="72" spans="1:6" ht="20.100000000000001" customHeight="1" x14ac:dyDescent="0.25">
      <c r="D72" s="27" t="str" cm="1">
        <f t="array" ref="D72">Fertiliser_SourceData.Fertiliser_FracGASMSoil_Source()</f>
        <v>VEERG 2026: 5.4.2.3 Constant Parameters</v>
      </c>
    </row>
    <row r="73" spans="1:6" ht="20.100000000000001" customHeight="1" x14ac:dyDescent="0.25">
      <c r="D73" s="87"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1:6" ht="20.100000000000001" customHeight="1" x14ac:dyDescent="0.25"/>
    <row r="75" spans="1:6" ht="20.100000000000001" customHeight="1" x14ac:dyDescent="0.25"/>
    <row r="76" spans="1:6" ht="20.100000000000001" customHeight="1" x14ac:dyDescent="0.25">
      <c r="D76" s="2" t="str" cm="1">
        <f t="array" ref="D76">Fertiliser_SourceData.Fertiliser_FracLEACH_Title()</f>
        <v>Fraction of nitrogen that is lost through leaching and runoff</v>
      </c>
    </row>
    <row r="77" spans="1:6" ht="20.100000000000001" customHeight="1" x14ac:dyDescent="0.25">
      <c r="D77" s="27" t="str" cm="1">
        <f t="array" ref="D77">Fertiliser_SourceData.Fertiliser_FracLEACH_Source()</f>
        <v>VEERG 2026: 5.5.2.3 Constant Parameters</v>
      </c>
    </row>
    <row r="78" spans="1:6" ht="20.100000000000001" customHeight="1" x14ac:dyDescent="0.25">
      <c r="D78" s="87"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1:6" ht="20.100000000000001" customHeight="1" x14ac:dyDescent="0.25"/>
    <row r="80" spans="1: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7"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718</v>
      </c>
    </row>
    <row r="87" spans="4:39" ht="20.100000000000001" customHeight="1" x14ac:dyDescent="0.25">
      <c r="D87" s="2" t="s">
        <v>719</v>
      </c>
      <c r="E87" s="192"/>
      <c r="F87" s="192"/>
      <c r="G87" s="192"/>
      <c r="H87" s="192"/>
      <c r="I87" s="192"/>
      <c r="J87" s="192"/>
      <c r="K87" s="192"/>
      <c r="L87" s="192"/>
      <c r="N87" s="192" t="s">
        <v>718</v>
      </c>
      <c r="O87" s="192"/>
      <c r="P87" s="192"/>
      <c r="Q87" s="192"/>
      <c r="R87" s="192"/>
      <c r="S87" s="192"/>
      <c r="T87" s="192"/>
      <c r="U87" s="192"/>
    </row>
    <row r="88" spans="4:39" ht="20.100000000000001" customHeight="1" x14ac:dyDescent="0.25">
      <c r="D88" s="192"/>
    </row>
    <row r="89" spans="4:39" ht="20.100000000000001" customHeight="1" x14ac:dyDescent="0.25">
      <c r="D89" s="201" t="s">
        <v>720</v>
      </c>
      <c r="E89" s="29" t="s">
        <v>138</v>
      </c>
      <c r="F89" s="29" t="s">
        <v>122</v>
      </c>
      <c r="G89" s="156" t="s">
        <v>558</v>
      </c>
      <c r="H89" s="156" t="s">
        <v>721</v>
      </c>
      <c r="I89" s="156" t="s">
        <v>575</v>
      </c>
      <c r="J89" s="156" t="s">
        <v>576</v>
      </c>
      <c r="K89" s="156" t="s">
        <v>722</v>
      </c>
      <c r="L89" s="156" t="s">
        <v>723</v>
      </c>
      <c r="M89" s="156" t="s">
        <v>724</v>
      </c>
      <c r="N89" s="156" t="s">
        <v>725</v>
      </c>
      <c r="O89" s="156" t="s">
        <v>560</v>
      </c>
      <c r="P89" s="156" t="s">
        <v>561</v>
      </c>
      <c r="Q89" s="29" t="s">
        <v>562</v>
      </c>
      <c r="R89" s="29" t="s">
        <v>563</v>
      </c>
      <c r="S89" s="29" t="s">
        <v>564</v>
      </c>
      <c r="T89" s="29" t="s">
        <v>565</v>
      </c>
      <c r="U89" s="156" t="s">
        <v>566</v>
      </c>
      <c r="V89" s="156" t="s">
        <v>567</v>
      </c>
      <c r="W89" s="29" t="s">
        <v>568</v>
      </c>
      <c r="X89" s="156" t="s">
        <v>569</v>
      </c>
      <c r="Y89" s="156" t="s">
        <v>570</v>
      </c>
      <c r="Z89" s="156" t="s">
        <v>571</v>
      </c>
      <c r="AA89" s="156" t="s">
        <v>726</v>
      </c>
      <c r="AB89" s="156" t="s">
        <v>727</v>
      </c>
      <c r="AC89" s="29" t="s">
        <v>728</v>
      </c>
      <c r="AD89" s="29" t="s">
        <v>729</v>
      </c>
      <c r="AE89" s="29" t="s">
        <v>730</v>
      </c>
      <c r="AF89" s="29" t="s">
        <v>731</v>
      </c>
      <c r="AG89" s="29" t="s">
        <v>732</v>
      </c>
      <c r="AH89" s="29" t="s">
        <v>733</v>
      </c>
      <c r="AK89" s="1"/>
      <c r="AL89" s="1"/>
      <c r="AM89" s="1"/>
    </row>
    <row r="90" spans="4:39" ht="20.100000000000001" customHeight="1" x14ac:dyDescent="0.25">
      <c r="D90" s="200" t="str" cm="1">
        <f t="array" ref="D90">Common_InputFunctions.Utility_DisplayArrayInTable(Fertiliser_SourceData.Fertiliser_Products_Data1(), FertiliserProducts[[#Headers],[Company]],1)</f>
        <v>Campbells fertilisers Australia</v>
      </c>
      <c r="E90" s="200" t="str" cm="1">
        <f t="array" ref="E90">Common_InputFunctions.Utility_DisplayArrayInTable(Fertiliser_SourceData.Fertiliser_Products_Data1(), FertiliserProducts[[#Headers],[Company]],1)</f>
        <v>Aqua Finish</v>
      </c>
      <c r="F90" s="200" t="str" cm="1">
        <f t="array" ref="F90">Common_InputFunctions.Utility_DisplayArrayInTable(Fertiliser_SourceData.Fertiliser_Products_Data1(), FertiliserProducts[[#Headers],[Company]],1)</f>
        <v>L</v>
      </c>
      <c r="G90" s="200" cm="1">
        <f t="array" ref="G90">Common_InputFunctions.Utility_DisplayArrayInTable(Fertiliser_SourceData.Fertiliser_Products_Data1(), FertiliserProducts[[#Headers],[Company]],1)</f>
        <v>1.26</v>
      </c>
      <c r="H90" s="200" t="str" cm="1">
        <f t="array" ref="H90">Common_InputFunctions.Utility_DisplayArrayInTable(Fertiliser_SourceData.Fertiliser_Products_Data1(), FertiliserProducts[[#Headers],[Company]],1)</f>
        <v/>
      </c>
      <c r="I90" s="200" t="str" cm="1">
        <f t="array" ref="I90">Common_InputFunctions.Utility_DisplayArrayInTable(Fertiliser_SourceData.Fertiliser_Products_Data1(), FertiliserProducts[[#Headers],[Company]],1)</f>
        <v/>
      </c>
      <c r="J90" s="200" t="str" cm="1">
        <f t="array" ref="J90">Common_InputFunctions.Utility_DisplayArrayInTable(Fertiliser_SourceData.Fertiliser_Products_Data1(), FertiliserProducts[[#Headers],[Company]],1)</f>
        <v/>
      </c>
      <c r="K90" s="200" cm="1">
        <f t="array" ref="K90">Common_InputFunctions.Utility_DisplayArrayInTable(Fertiliser_SourceData.Fertiliser_Products_Data1(), FertiliserProducts[[#Headers],[Company]],1)</f>
        <v>2.6</v>
      </c>
      <c r="L90" s="200" cm="1">
        <f t="array" ref="L90">Common_InputFunctions.Utility_DisplayArrayInTable(Fertiliser_SourceData.Fertiliser_Products_Data1(), FertiliserProducts[[#Headers],[Company]],1)</f>
        <v>4</v>
      </c>
      <c r="M90" s="200" cm="1">
        <f t="array" ref="M90">Common_InputFunctions.Utility_DisplayArrayInTable(Fertiliser_SourceData.Fertiliser_Products_Data1(), FertiliserProducts[[#Headers],[Company]],1)</f>
        <v>22.5</v>
      </c>
      <c r="N90" s="200" t="str" cm="1">
        <f t="array" ref="N90">Common_InputFunctions.Utility_DisplayArrayInTable(Fertiliser_SourceData.Fertiliser_Products_Data1(), FertiliserProducts[[#Headers],[Company]],1)</f>
        <v/>
      </c>
      <c r="O90" s="200" t="str" cm="1">
        <f t="array" ref="O90">Common_InputFunctions.Utility_DisplayArrayInTable(Fertiliser_SourceData.Fertiliser_Products_Data1(), FertiliserProducts[[#Headers],[Company]],1)</f>
        <v>Potassium - Generic</v>
      </c>
      <c r="P90" s="200" cm="1">
        <f t="array" ref="P90">Common_InputFunctions.Utility_DisplayArrayInTable(Fertiliser_SourceData.Fertiliser_Products_Data1(), FertiliserProducts[[#Headers],[Company]],1)</f>
        <v>0.22500000000000001</v>
      </c>
      <c r="Q90" s="200" t="str" cm="1">
        <f t="array" ref="Q90">Common_InputFunctions.Utility_DisplayArrayInTable(Fertiliser_SourceData.Fertiliser_Products_Data1(), FertiliserProducts[[#Headers],[Company]],1)</f>
        <v>Phosphorus - Generic</v>
      </c>
      <c r="R90" s="200" cm="1">
        <f t="array" ref="R90">Common_InputFunctions.Utility_DisplayArrayInTable(Fertiliser_SourceData.Fertiliser_Products_Data1(), FertiliserProducts[[#Headers],[Company]],1)</f>
        <v>0.04</v>
      </c>
      <c r="S90" s="200" t="str" cm="1">
        <f t="array" ref="S90">Common_InputFunctions.Utility_DisplayArrayInTable(Fertiliser_SourceData.Fertiliser_Products_Data1(), FertiliserProducts[[#Headers],[Company]],1)</f>
        <v>Nitrogen - Generic</v>
      </c>
      <c r="T90" s="200" cm="1">
        <f t="array" ref="T90">Common_InputFunctions.Utility_DisplayArrayInTable(Fertiliser_SourceData.Fertiliser_Products_Data1(), FertiliserProducts[[#Headers],[Company]],1)</f>
        <v>2.5999999999999999E-2</v>
      </c>
      <c r="U90" s="200" t="str" cm="1">
        <f t="array" ref="U90">Common_InputFunctions.Utility_DisplayArrayInTable(Fertiliser_SourceData.Fertiliser_Products_Data1(), FertiliserProducts[[#Headers],[Company]],1)</f>
        <v/>
      </c>
      <c r="V90" s="200" t="str" cm="1">
        <f t="array" ref="V90">Common_InputFunctions.Utility_DisplayArrayInTable(Fertiliser_SourceData.Fertiliser_Products_Data1(), FertiliserProducts[[#Headers],[Company]],1)</f>
        <v/>
      </c>
      <c r="W90" s="200" t="str" cm="1">
        <f t="array" ref="W90">Common_InputFunctions.Utility_DisplayArrayInTable(Fertiliser_SourceData.Fertiliser_Products_Data1(), FertiliserProducts[[#Headers],[Company]],1)</f>
        <v/>
      </c>
      <c r="X90" s="200" t="str" cm="1">
        <f t="array" ref="X90">Common_InputFunctions.Utility_DisplayArrayInTable(Fertiliser_SourceData.Fertiliser_Products_Data1(), FertiliserProducts[[#Headers],[Company]],1)</f>
        <v/>
      </c>
      <c r="Y90" s="200" t="str" cm="1">
        <f t="array" ref="Y90">Common_InputFunctions.Utility_DisplayArrayInTable(Fertiliser_SourceData.Fertiliser_Products_Data1(), FertiliserProducts[[#Headers],[Company]],1)</f>
        <v/>
      </c>
      <c r="Z90" s="200" t="str" cm="1">
        <f t="array" ref="Z90">Common_InputFunctions.Utility_DisplayArrayInTable(Fertiliser_SourceData.Fertiliser_Products_Data1(), FertiliserProducts[[#Headers],[Company]],1)</f>
        <v/>
      </c>
      <c r="AA90" s="200" t="str" cm="1">
        <f t="array" ref="AA90">Common_InputFunctions.Utility_DisplayArrayInTable(Fertiliser_SourceData.Fertiliser_Products_Data1(), FertiliserProducts[[#Headers],[Company]],1)</f>
        <v/>
      </c>
      <c r="AB90" s="200" t="str" cm="1">
        <f t="array" ref="AB90">Common_InputFunctions.Utility_DisplayArrayInTable(Fertiliser_SourceData.Fertiliser_Products_Data1(), FertiliserProducts[[#Headers],[Company]],1)</f>
        <v/>
      </c>
      <c r="AC90" s="200" t="str" cm="1">
        <f t="array" ref="AC90">Common_InputFunctions.Utility_DisplayArrayInTable(Fertiliser_SourceData.Fertiliser_Products_Data1(), FertiliserProducts[[#Headers],[Company]],1)</f>
        <v/>
      </c>
      <c r="AD90" s="200" t="str" cm="1">
        <f t="array" ref="AD90">Common_InputFunctions.Utility_DisplayArrayInTable(Fertiliser_SourceData.Fertiliser_Products_Data1(), FertiliserProducts[[#Headers],[Company]],1)</f>
        <v/>
      </c>
      <c r="AE90" s="200" t="str" cm="1">
        <f t="array" ref="AE90">Common_InputFunctions.Utility_DisplayArrayInTable(Fertiliser_SourceData.Fertiliser_Products_Data1(), FertiliserProducts[[#Headers],[Company]],1)</f>
        <v/>
      </c>
      <c r="AF90" s="200" t="str" cm="1">
        <f t="array" ref="AF90">Common_InputFunctions.Utility_DisplayArrayInTable(Fertiliser_SourceData.Fertiliser_Products_Data1(), FertiliserProducts[[#Headers],[Company]],1)</f>
        <v/>
      </c>
      <c r="AG90" s="200" t="str" cm="1">
        <f t="array" ref="AG90">Common_InputFunctions.Utility_DisplayArrayInTable(Fertiliser_SourceData.Fertiliser_Products_Data1(), FertiliserProducts[[#Headers],[Company]],1)</f>
        <v/>
      </c>
      <c r="AH90" s="200" t="str" cm="1">
        <f t="array" ref="AH90">Common_InputFunctions.Utility_DisplayArrayInTable(Fertiliser_SourceData.Fertiliser_Products_Data1(), FertiliserProducts[[#Headers],[Company]],1)</f>
        <v/>
      </c>
      <c r="AK90" s="1"/>
      <c r="AL90" s="1"/>
      <c r="AM90" s="1"/>
    </row>
    <row r="91" spans="4:39" ht="20.100000000000001" customHeight="1" x14ac:dyDescent="0.25">
      <c r="D91" s="200" t="str" cm="1">
        <f t="array" ref="D91">Common_InputFunctions.Utility_DisplayArrayInTable(Fertiliser_SourceData.Fertiliser_Products_Data1(), FertiliserProducts[[#Headers],[Company]],1)</f>
        <v>Campbells fertilisers Australia</v>
      </c>
      <c r="E91" s="200" t="str" cm="1">
        <f t="array" ref="E91">Common_InputFunctions.Utility_DisplayArrayInTable(Fertiliser_SourceData.Fertiliser_Products_Data1(), FertiliserProducts[[#Headers],[Company]],1)</f>
        <v>Aqua Grow</v>
      </c>
      <c r="F91" s="200" t="str" cm="1">
        <f t="array" ref="F91">Common_InputFunctions.Utility_DisplayArrayInTable(Fertiliser_SourceData.Fertiliser_Products_Data1(), FertiliserProducts[[#Headers],[Company]],1)</f>
        <v>L</v>
      </c>
      <c r="G91" s="200" cm="1">
        <f t="array" ref="G91">Common_InputFunctions.Utility_DisplayArrayInTable(Fertiliser_SourceData.Fertiliser_Products_Data1(), FertiliserProducts[[#Headers],[Company]],1)</f>
        <v>1.26</v>
      </c>
      <c r="H91" s="200" t="str" cm="1">
        <f t="array" ref="H91">Common_InputFunctions.Utility_DisplayArrayInTable(Fertiliser_SourceData.Fertiliser_Products_Data1(), FertiliserProducts[[#Headers],[Company]],1)</f>
        <v/>
      </c>
      <c r="I91" s="200" t="str" cm="1">
        <f t="array" ref="I91">Common_InputFunctions.Utility_DisplayArrayInTable(Fertiliser_SourceData.Fertiliser_Products_Data1(), FertiliserProducts[[#Headers],[Company]],1)</f>
        <v/>
      </c>
      <c r="J91" s="200" t="str" cm="1">
        <f t="array" ref="J91">Common_InputFunctions.Utility_DisplayArrayInTable(Fertiliser_SourceData.Fertiliser_Products_Data1(), FertiliserProducts[[#Headers],[Company]],1)</f>
        <v/>
      </c>
      <c r="K91" s="200" cm="1">
        <f t="array" ref="K91">Common_InputFunctions.Utility_DisplayArrayInTable(Fertiliser_SourceData.Fertiliser_Products_Data1(), FertiliserProducts[[#Headers],[Company]],1)</f>
        <v>9.6</v>
      </c>
      <c r="L91" s="200" cm="1">
        <f t="array" ref="L91">Common_InputFunctions.Utility_DisplayArrayInTable(Fertiliser_SourceData.Fertiliser_Products_Data1(), FertiliserProducts[[#Headers],[Company]],1)</f>
        <v>5</v>
      </c>
      <c r="M91" s="200" cm="1">
        <f t="array" ref="M91">Common_InputFunctions.Utility_DisplayArrayInTable(Fertiliser_SourceData.Fertiliser_Products_Data1(), FertiliserProducts[[#Headers],[Company]],1)</f>
        <v>10.5</v>
      </c>
      <c r="N91" s="200" t="str" cm="1">
        <f t="array" ref="N91">Common_InputFunctions.Utility_DisplayArrayInTable(Fertiliser_SourceData.Fertiliser_Products_Data1(), FertiliserProducts[[#Headers],[Company]],1)</f>
        <v/>
      </c>
      <c r="O91" s="200" t="str" cm="1">
        <f t="array" ref="O91">Common_InputFunctions.Utility_DisplayArrayInTable(Fertiliser_SourceData.Fertiliser_Products_Data1(), FertiliserProducts[[#Headers],[Company]],1)</f>
        <v>Potassium - Generic</v>
      </c>
      <c r="P91" s="200" cm="1">
        <f t="array" ref="P91">Common_InputFunctions.Utility_DisplayArrayInTable(Fertiliser_SourceData.Fertiliser_Products_Data1(), FertiliserProducts[[#Headers],[Company]],1)</f>
        <v>0.105</v>
      </c>
      <c r="Q91" s="200" t="str" cm="1">
        <f t="array" ref="Q91">Common_InputFunctions.Utility_DisplayArrayInTable(Fertiliser_SourceData.Fertiliser_Products_Data1(), FertiliserProducts[[#Headers],[Company]],1)</f>
        <v>Nitrogen - Generic</v>
      </c>
      <c r="R91" s="200" cm="1">
        <f t="array" ref="R91">Common_InputFunctions.Utility_DisplayArrayInTable(Fertiliser_SourceData.Fertiliser_Products_Data1(), FertiliserProducts[[#Headers],[Company]],1)</f>
        <v>9.6000000000000002E-2</v>
      </c>
      <c r="S91" s="200" t="str" cm="1">
        <f t="array" ref="S91">Common_InputFunctions.Utility_DisplayArrayInTable(Fertiliser_SourceData.Fertiliser_Products_Data1(), FertiliserProducts[[#Headers],[Company]],1)</f>
        <v>Phosphorus - Generic</v>
      </c>
      <c r="T91" s="200" cm="1">
        <f t="array" ref="T91">Common_InputFunctions.Utility_DisplayArrayInTable(Fertiliser_SourceData.Fertiliser_Products_Data1(), FertiliserProducts[[#Headers],[Company]],1)</f>
        <v>0.05</v>
      </c>
      <c r="U91" s="200" t="str" cm="1">
        <f t="array" ref="U91">Common_InputFunctions.Utility_DisplayArrayInTable(Fertiliser_SourceData.Fertiliser_Products_Data1(), FertiliserProducts[[#Headers],[Company]],1)</f>
        <v/>
      </c>
      <c r="V91" s="200" t="str" cm="1">
        <f t="array" ref="V91">Common_InputFunctions.Utility_DisplayArrayInTable(Fertiliser_SourceData.Fertiliser_Products_Data1(), FertiliserProducts[[#Headers],[Company]],1)</f>
        <v/>
      </c>
      <c r="W91" s="200" t="str" cm="1">
        <f t="array" ref="W91">Common_InputFunctions.Utility_DisplayArrayInTable(Fertiliser_SourceData.Fertiliser_Products_Data1(), FertiliserProducts[[#Headers],[Company]],1)</f>
        <v/>
      </c>
      <c r="X91" s="200" t="str" cm="1">
        <f t="array" ref="X91">Common_InputFunctions.Utility_DisplayArrayInTable(Fertiliser_SourceData.Fertiliser_Products_Data1(), FertiliserProducts[[#Headers],[Company]],1)</f>
        <v/>
      </c>
      <c r="Y91" s="200" t="str" cm="1">
        <f t="array" ref="Y91">Common_InputFunctions.Utility_DisplayArrayInTable(Fertiliser_SourceData.Fertiliser_Products_Data1(), FertiliserProducts[[#Headers],[Company]],1)</f>
        <v/>
      </c>
      <c r="Z91" s="200" t="str" cm="1">
        <f t="array" ref="Z91">Common_InputFunctions.Utility_DisplayArrayInTable(Fertiliser_SourceData.Fertiliser_Products_Data1(), FertiliserProducts[[#Headers],[Company]],1)</f>
        <v/>
      </c>
      <c r="AA91" s="200" t="str" cm="1">
        <f t="array" ref="AA91">Common_InputFunctions.Utility_DisplayArrayInTable(Fertiliser_SourceData.Fertiliser_Products_Data1(), FertiliserProducts[[#Headers],[Company]],1)</f>
        <v/>
      </c>
      <c r="AB91" s="200" t="str" cm="1">
        <f t="array" ref="AB91">Common_InputFunctions.Utility_DisplayArrayInTable(Fertiliser_SourceData.Fertiliser_Products_Data1(), FertiliserProducts[[#Headers],[Company]],1)</f>
        <v/>
      </c>
      <c r="AC91" s="200" t="str" cm="1">
        <f t="array" ref="AC91">Common_InputFunctions.Utility_DisplayArrayInTable(Fertiliser_SourceData.Fertiliser_Products_Data1(), FertiliserProducts[[#Headers],[Company]],1)</f>
        <v/>
      </c>
      <c r="AD91" s="200" t="str" cm="1">
        <f t="array" ref="AD91">Common_InputFunctions.Utility_DisplayArrayInTable(Fertiliser_SourceData.Fertiliser_Products_Data1(), FertiliserProducts[[#Headers],[Company]],1)</f>
        <v/>
      </c>
      <c r="AE91" s="200" t="str" cm="1">
        <f t="array" ref="AE91">Common_InputFunctions.Utility_DisplayArrayInTable(Fertiliser_SourceData.Fertiliser_Products_Data1(), FertiliserProducts[[#Headers],[Company]],1)</f>
        <v/>
      </c>
      <c r="AF91" s="200" t="str" cm="1">
        <f t="array" ref="AF91">Common_InputFunctions.Utility_DisplayArrayInTable(Fertiliser_SourceData.Fertiliser_Products_Data1(), FertiliserProducts[[#Headers],[Company]],1)</f>
        <v/>
      </c>
      <c r="AG91" s="200" t="str" cm="1">
        <f t="array" ref="AG91">Common_InputFunctions.Utility_DisplayArrayInTable(Fertiliser_SourceData.Fertiliser_Products_Data1(), FertiliserProducts[[#Headers],[Company]],1)</f>
        <v/>
      </c>
      <c r="AH91" s="200" t="str" cm="1">
        <f t="array" ref="AH91">Common_InputFunctions.Utility_DisplayArrayInTable(Fertiliser_SourceData.Fertiliser_Products_Data1(), FertiliserProducts[[#Headers],[Company]],1)</f>
        <v/>
      </c>
      <c r="AK91" s="1"/>
      <c r="AL91" s="1"/>
      <c r="AM91" s="1"/>
    </row>
    <row r="92" spans="4:39" ht="20.100000000000001" customHeight="1" x14ac:dyDescent="0.25">
      <c r="D92" s="200" t="str" cm="1">
        <f t="array" ref="D92">Common_InputFunctions.Utility_DisplayArrayInTable(Fertiliser_SourceData.Fertiliser_Products_Data1(), FertiliserProducts[[#Headers],[Company]],1)</f>
        <v>Campbells fertilisers Australia</v>
      </c>
      <c r="E92" s="200" t="str" cm="1">
        <f t="array" ref="E92">Common_InputFunctions.Utility_DisplayArrayInTable(Fertiliser_SourceData.Fertiliser_Products_Data1(), FertiliserProducts[[#Headers],[Company]],1)</f>
        <v>Aqua Nitro AN</v>
      </c>
      <c r="F92" s="200" t="str" cm="1">
        <f t="array" ref="F92">Common_InputFunctions.Utility_DisplayArrayInTable(Fertiliser_SourceData.Fertiliser_Products_Data1(), FertiliserProducts[[#Headers],[Company]],1)</f>
        <v>L</v>
      </c>
      <c r="G92" s="200" cm="1">
        <f t="array" ref="G92">Common_InputFunctions.Utility_DisplayArrayInTable(Fertiliser_SourceData.Fertiliser_Products_Data1(), FertiliserProducts[[#Headers],[Company]],1)</f>
        <v>1.24</v>
      </c>
      <c r="H92" s="200" t="str" cm="1">
        <f t="array" ref="H92">Common_InputFunctions.Utility_DisplayArrayInTable(Fertiliser_SourceData.Fertiliser_Products_Data1(), FertiliserProducts[[#Headers],[Company]],1)</f>
        <v/>
      </c>
      <c r="I92" s="200" t="str" cm="1">
        <f t="array" ref="I92">Common_InputFunctions.Utility_DisplayArrayInTable(Fertiliser_SourceData.Fertiliser_Products_Data1(), FertiliserProducts[[#Headers],[Company]],1)</f>
        <v/>
      </c>
      <c r="J92" s="200" t="str" cm="1">
        <f t="array" ref="J92">Common_InputFunctions.Utility_DisplayArrayInTable(Fertiliser_SourceData.Fertiliser_Products_Data1(), FertiliserProducts[[#Headers],[Company]],1)</f>
        <v/>
      </c>
      <c r="K92" s="200" cm="1">
        <f t="array" ref="K92">Common_InputFunctions.Utility_DisplayArrayInTable(Fertiliser_SourceData.Fertiliser_Products_Data1(), FertiliserProducts[[#Headers],[Company]],1)</f>
        <v>22.3</v>
      </c>
      <c r="L92" s="200" t="str" cm="1">
        <f t="array" ref="L92">Common_InputFunctions.Utility_DisplayArrayInTable(Fertiliser_SourceData.Fertiliser_Products_Data1(), FertiliserProducts[[#Headers],[Company]],1)</f>
        <v/>
      </c>
      <c r="M92" s="200" t="str" cm="1">
        <f t="array" ref="M92">Common_InputFunctions.Utility_DisplayArrayInTable(Fertiliser_SourceData.Fertiliser_Products_Data1(), FertiliserProducts[[#Headers],[Company]],1)</f>
        <v/>
      </c>
      <c r="N92" s="200" t="str" cm="1">
        <f t="array" ref="N92">Common_InputFunctions.Utility_DisplayArrayInTable(Fertiliser_SourceData.Fertiliser_Products_Data1(), FertiliserProducts[[#Headers],[Company]],1)</f>
        <v/>
      </c>
      <c r="O92" s="200" t="str" cm="1">
        <f t="array" ref="O92">Common_InputFunctions.Utility_DisplayArrayInTable(Fertiliser_SourceData.Fertiliser_Products_Data1(), FertiliserProducts[[#Headers],[Company]],1)</f>
        <v>Nitrogen - Ammoniacal</v>
      </c>
      <c r="P92" s="200" cm="1">
        <f t="array" ref="P92">Common_InputFunctions.Utility_DisplayArrayInTable(Fertiliser_SourceData.Fertiliser_Products_Data1(), FertiliserProducts[[#Headers],[Company]],1)</f>
        <v>0.223</v>
      </c>
      <c r="Q92" s="200" t="str" cm="1">
        <f t="array" ref="Q92">Common_InputFunctions.Utility_DisplayArrayInTable(Fertiliser_SourceData.Fertiliser_Products_Data1(), FertiliserProducts[[#Headers],[Company]],1)</f>
        <v/>
      </c>
      <c r="R92" s="200" t="str" cm="1">
        <f t="array" ref="R92">Common_InputFunctions.Utility_DisplayArrayInTable(Fertiliser_SourceData.Fertiliser_Products_Data1(), FertiliserProducts[[#Headers],[Company]],1)</f>
        <v/>
      </c>
      <c r="S92" s="200" t="str" cm="1">
        <f t="array" ref="S92">Common_InputFunctions.Utility_DisplayArrayInTable(Fertiliser_SourceData.Fertiliser_Products_Data1(), FertiliserProducts[[#Headers],[Company]],1)</f>
        <v/>
      </c>
      <c r="T92" s="200" t="str" cm="1">
        <f t="array" ref="T92">Common_InputFunctions.Utility_DisplayArrayInTable(Fertiliser_SourceData.Fertiliser_Products_Data1(), FertiliserProducts[[#Headers],[Company]],1)</f>
        <v/>
      </c>
      <c r="U92" s="200" t="str" cm="1">
        <f t="array" ref="U92">Common_InputFunctions.Utility_DisplayArrayInTable(Fertiliser_SourceData.Fertiliser_Products_Data1(), FertiliserProducts[[#Headers],[Company]],1)</f>
        <v/>
      </c>
      <c r="V92" s="200" t="str" cm="1">
        <f t="array" ref="V92">Common_InputFunctions.Utility_DisplayArrayInTable(Fertiliser_SourceData.Fertiliser_Products_Data1(), FertiliserProducts[[#Headers],[Company]],1)</f>
        <v/>
      </c>
      <c r="W92" s="200" t="str" cm="1">
        <f t="array" ref="W92">Common_InputFunctions.Utility_DisplayArrayInTable(Fertiliser_SourceData.Fertiliser_Products_Data1(), FertiliserProducts[[#Headers],[Company]],1)</f>
        <v/>
      </c>
      <c r="X92" s="200" t="str" cm="1">
        <f t="array" ref="X92">Common_InputFunctions.Utility_DisplayArrayInTable(Fertiliser_SourceData.Fertiliser_Products_Data1(), FertiliserProducts[[#Headers],[Company]],1)</f>
        <v/>
      </c>
      <c r="Y92" s="200" t="str" cm="1">
        <f t="array" ref="Y92">Common_InputFunctions.Utility_DisplayArrayInTable(Fertiliser_SourceData.Fertiliser_Products_Data1(), FertiliserProducts[[#Headers],[Company]],1)</f>
        <v/>
      </c>
      <c r="Z92" s="200" t="str" cm="1">
        <f t="array" ref="Z92">Common_InputFunctions.Utility_DisplayArrayInTable(Fertiliser_SourceData.Fertiliser_Products_Data1(), FertiliserProducts[[#Headers],[Company]],1)</f>
        <v/>
      </c>
      <c r="AA92" s="200" t="str" cm="1">
        <f t="array" ref="AA92">Common_InputFunctions.Utility_DisplayArrayInTable(Fertiliser_SourceData.Fertiliser_Products_Data1(), FertiliserProducts[[#Headers],[Company]],1)</f>
        <v/>
      </c>
      <c r="AB92" s="200" t="str" cm="1">
        <f t="array" ref="AB92">Common_InputFunctions.Utility_DisplayArrayInTable(Fertiliser_SourceData.Fertiliser_Products_Data1(), FertiliserProducts[[#Headers],[Company]],1)</f>
        <v/>
      </c>
      <c r="AC92" s="200" t="str" cm="1">
        <f t="array" ref="AC92">Common_InputFunctions.Utility_DisplayArrayInTable(Fertiliser_SourceData.Fertiliser_Products_Data1(), FertiliserProducts[[#Headers],[Company]],1)</f>
        <v/>
      </c>
      <c r="AD92" s="200" t="str" cm="1">
        <f t="array" ref="AD92">Common_InputFunctions.Utility_DisplayArrayInTable(Fertiliser_SourceData.Fertiliser_Products_Data1(), FertiliserProducts[[#Headers],[Company]],1)</f>
        <v/>
      </c>
      <c r="AE92" s="200" t="str" cm="1">
        <f t="array" ref="AE92">Common_InputFunctions.Utility_DisplayArrayInTable(Fertiliser_SourceData.Fertiliser_Products_Data1(), FertiliserProducts[[#Headers],[Company]],1)</f>
        <v/>
      </c>
      <c r="AF92" s="200" t="str" cm="1">
        <f t="array" ref="AF92">Common_InputFunctions.Utility_DisplayArrayInTable(Fertiliser_SourceData.Fertiliser_Products_Data1(), FertiliserProducts[[#Headers],[Company]],1)</f>
        <v/>
      </c>
      <c r="AG92" s="200" t="str" cm="1">
        <f t="array" ref="AG92">Common_InputFunctions.Utility_DisplayArrayInTable(Fertiliser_SourceData.Fertiliser_Products_Data1(), FertiliserProducts[[#Headers],[Company]],1)</f>
        <v/>
      </c>
      <c r="AH92" s="200" t="str" cm="1">
        <f t="array" ref="AH92">Common_InputFunctions.Utility_DisplayArrayInTable(Fertiliser_SourceData.Fertiliser_Products_Data1(), FertiliserProducts[[#Headers],[Company]],1)</f>
        <v/>
      </c>
      <c r="AK92" s="1"/>
      <c r="AL92" s="1"/>
      <c r="AM92" s="1"/>
    </row>
    <row r="93" spans="4:39" ht="20.100000000000001" customHeight="1" x14ac:dyDescent="0.25">
      <c r="D93" s="200" t="str" cm="1">
        <f t="array" ref="D93">Common_InputFunctions.Utility_DisplayArrayInTable(Fertiliser_SourceData.Fertiliser_Products_Data1(), FertiliserProducts[[#Headers],[Company]],1)</f>
        <v>Campbells fertilisers Australia</v>
      </c>
      <c r="E93" s="200" t="str" cm="1">
        <f t="array" ref="E93">Common_InputFunctions.Utility_DisplayArrayInTable(Fertiliser_SourceData.Fertiliser_Products_Data1(), FertiliserProducts[[#Headers],[Company]],1)</f>
        <v>Aqua NitroCal</v>
      </c>
      <c r="F93" s="200" t="str" cm="1">
        <f t="array" ref="F93">Common_InputFunctions.Utility_DisplayArrayInTable(Fertiliser_SourceData.Fertiliser_Products_Data1(), FertiliserProducts[[#Headers],[Company]],1)</f>
        <v>L</v>
      </c>
      <c r="G93" s="200" cm="1">
        <f t="array" ref="G93">Common_InputFunctions.Utility_DisplayArrayInTable(Fertiliser_SourceData.Fertiliser_Products_Data1(), FertiliserProducts[[#Headers],[Company]],1)</f>
        <v>1.5</v>
      </c>
      <c r="H93" s="200" t="str" cm="1">
        <f t="array" ref="H93">Common_InputFunctions.Utility_DisplayArrayInTable(Fertiliser_SourceData.Fertiliser_Products_Data1(), FertiliserProducts[[#Headers],[Company]],1)</f>
        <v/>
      </c>
      <c r="I93" s="200" t="str" cm="1">
        <f t="array" ref="I93">Common_InputFunctions.Utility_DisplayArrayInTable(Fertiliser_SourceData.Fertiliser_Products_Data1(), FertiliserProducts[[#Headers],[Company]],1)</f>
        <v/>
      </c>
      <c r="J93" s="200" t="str" cm="1">
        <f t="array" ref="J93">Common_InputFunctions.Utility_DisplayArrayInTable(Fertiliser_SourceData.Fertiliser_Products_Data1(), FertiliserProducts[[#Headers],[Company]],1)</f>
        <v/>
      </c>
      <c r="K93" s="200" cm="1">
        <f t="array" ref="K93">Common_InputFunctions.Utility_DisplayArrayInTable(Fertiliser_SourceData.Fertiliser_Products_Data1(), FertiliserProducts[[#Headers],[Company]],1)</f>
        <v>13.2</v>
      </c>
      <c r="L93" s="200" t="str" cm="1">
        <f t="array" ref="L93">Common_InputFunctions.Utility_DisplayArrayInTable(Fertiliser_SourceData.Fertiliser_Products_Data1(), FertiliserProducts[[#Headers],[Company]],1)</f>
        <v/>
      </c>
      <c r="M93" s="200" t="str" cm="1">
        <f t="array" ref="M93">Common_InputFunctions.Utility_DisplayArrayInTable(Fertiliser_SourceData.Fertiliser_Products_Data1(), FertiliserProducts[[#Headers],[Company]],1)</f>
        <v/>
      </c>
      <c r="N93" s="200" t="str" cm="1">
        <f t="array" ref="N93">Common_InputFunctions.Utility_DisplayArrayInTable(Fertiliser_SourceData.Fertiliser_Products_Data1(), FertiliserProducts[[#Headers],[Company]],1)</f>
        <v/>
      </c>
      <c r="O93" s="200" t="str" cm="1">
        <f t="array" ref="O93">Common_InputFunctions.Utility_DisplayArrayInTable(Fertiliser_SourceData.Fertiliser_Products_Data1(), FertiliserProducts[[#Headers],[Company]],1)</f>
        <v>Calcium</v>
      </c>
      <c r="P93" s="200" cm="1">
        <f t="array" ref="P93">Common_InputFunctions.Utility_DisplayArrayInTable(Fertiliser_SourceData.Fertiliser_Products_Data1(), FertiliserProducts[[#Headers],[Company]],1)</f>
        <v>0.16200000000000001</v>
      </c>
      <c r="Q93" s="200" t="str" cm="1">
        <f t="array" ref="Q93">Common_InputFunctions.Utility_DisplayArrayInTable(Fertiliser_SourceData.Fertiliser_Products_Data1(), FertiliserProducts[[#Headers],[Company]],1)</f>
        <v>Nitrogen - Nitrate</v>
      </c>
      <c r="R93" s="200" cm="1">
        <f t="array" ref="R93">Common_InputFunctions.Utility_DisplayArrayInTable(Fertiliser_SourceData.Fertiliser_Products_Data1(), FertiliserProducts[[#Headers],[Company]],1)</f>
        <v>0.13200000000000001</v>
      </c>
      <c r="S93" s="200" t="str" cm="1">
        <f t="array" ref="S93">Common_InputFunctions.Utility_DisplayArrayInTable(Fertiliser_SourceData.Fertiliser_Products_Data1(), FertiliserProducts[[#Headers],[Company]],1)</f>
        <v/>
      </c>
      <c r="T93" s="200" t="str" cm="1">
        <f t="array" ref="T93">Common_InputFunctions.Utility_DisplayArrayInTable(Fertiliser_SourceData.Fertiliser_Products_Data1(), FertiliserProducts[[#Headers],[Company]],1)</f>
        <v/>
      </c>
      <c r="U93" s="200" t="str" cm="1">
        <f t="array" ref="U93">Common_InputFunctions.Utility_DisplayArrayInTable(Fertiliser_SourceData.Fertiliser_Products_Data1(), FertiliserProducts[[#Headers],[Company]],1)</f>
        <v/>
      </c>
      <c r="V93" s="200" t="str" cm="1">
        <f t="array" ref="V93">Common_InputFunctions.Utility_DisplayArrayInTable(Fertiliser_SourceData.Fertiliser_Products_Data1(), FertiliserProducts[[#Headers],[Company]],1)</f>
        <v/>
      </c>
      <c r="W93" s="200" t="str" cm="1">
        <f t="array" ref="W93">Common_InputFunctions.Utility_DisplayArrayInTable(Fertiliser_SourceData.Fertiliser_Products_Data1(), FertiliserProducts[[#Headers],[Company]],1)</f>
        <v/>
      </c>
      <c r="X93" s="200" t="str" cm="1">
        <f t="array" ref="X93">Common_InputFunctions.Utility_DisplayArrayInTable(Fertiliser_SourceData.Fertiliser_Products_Data1(), FertiliserProducts[[#Headers],[Company]],1)</f>
        <v/>
      </c>
      <c r="Y93" s="200" t="str" cm="1">
        <f t="array" ref="Y93">Common_InputFunctions.Utility_DisplayArrayInTable(Fertiliser_SourceData.Fertiliser_Products_Data1(), FertiliserProducts[[#Headers],[Company]],1)</f>
        <v/>
      </c>
      <c r="Z93" s="200" t="str" cm="1">
        <f t="array" ref="Z93">Common_InputFunctions.Utility_DisplayArrayInTable(Fertiliser_SourceData.Fertiliser_Products_Data1(), FertiliserProducts[[#Headers],[Company]],1)</f>
        <v/>
      </c>
      <c r="AA93" s="200" t="str" cm="1">
        <f t="array" ref="AA93">Common_InputFunctions.Utility_DisplayArrayInTable(Fertiliser_SourceData.Fertiliser_Products_Data1(), FertiliserProducts[[#Headers],[Company]],1)</f>
        <v/>
      </c>
      <c r="AB93" s="200" t="str" cm="1">
        <f t="array" ref="AB93">Common_InputFunctions.Utility_DisplayArrayInTable(Fertiliser_SourceData.Fertiliser_Products_Data1(), FertiliserProducts[[#Headers],[Company]],1)</f>
        <v/>
      </c>
      <c r="AC93" s="200" t="str" cm="1">
        <f t="array" ref="AC93">Common_InputFunctions.Utility_DisplayArrayInTable(Fertiliser_SourceData.Fertiliser_Products_Data1(), FertiliserProducts[[#Headers],[Company]],1)</f>
        <v/>
      </c>
      <c r="AD93" s="200" t="str" cm="1">
        <f t="array" ref="AD93">Common_InputFunctions.Utility_DisplayArrayInTable(Fertiliser_SourceData.Fertiliser_Products_Data1(), FertiliserProducts[[#Headers],[Company]],1)</f>
        <v/>
      </c>
      <c r="AE93" s="200" t="str" cm="1">
        <f t="array" ref="AE93">Common_InputFunctions.Utility_DisplayArrayInTable(Fertiliser_SourceData.Fertiliser_Products_Data1(), FertiliserProducts[[#Headers],[Company]],1)</f>
        <v/>
      </c>
      <c r="AF93" s="200" t="str" cm="1">
        <f t="array" ref="AF93">Common_InputFunctions.Utility_DisplayArrayInTable(Fertiliser_SourceData.Fertiliser_Products_Data1(), FertiliserProducts[[#Headers],[Company]],1)</f>
        <v/>
      </c>
      <c r="AG93" s="200" t="str" cm="1">
        <f t="array" ref="AG93">Common_InputFunctions.Utility_DisplayArrayInTable(Fertiliser_SourceData.Fertiliser_Products_Data1(), FertiliserProducts[[#Headers],[Company]],1)</f>
        <v/>
      </c>
      <c r="AH93" s="200" t="str" cm="1">
        <f t="array" ref="AH93">Common_InputFunctions.Utility_DisplayArrayInTable(Fertiliser_SourceData.Fertiliser_Products_Data1(), FertiliserProducts[[#Headers],[Company]],1)</f>
        <v/>
      </c>
      <c r="AK93" s="1"/>
      <c r="AL93" s="1"/>
      <c r="AM93" s="1"/>
    </row>
    <row r="94" spans="4:39" ht="20.100000000000001" customHeight="1" x14ac:dyDescent="0.25">
      <c r="D94" s="200" t="str" cm="1">
        <f t="array" ref="D94">Common_InputFunctions.Utility_DisplayArrayInTable(Fertiliser_SourceData.Fertiliser_Products_Data1(), FertiliserProducts[[#Headers],[Company]],1)</f>
        <v>Campbells fertilisers Australia</v>
      </c>
      <c r="E94" s="200" t="str" cm="1">
        <f t="array" ref="E94">Common_InputFunctions.Utility_DisplayArrayInTable(Fertiliser_SourceData.Fertiliser_Products_Data1(), FertiliserProducts[[#Headers],[Company]],1)</f>
        <v>Aqua NitroCal (VI)</v>
      </c>
      <c r="F94" s="200" t="str" cm="1">
        <f t="array" ref="F94">Common_InputFunctions.Utility_DisplayArrayInTable(Fertiliser_SourceData.Fertiliser_Products_Data1(), FertiliserProducts[[#Headers],[Company]],1)</f>
        <v>L</v>
      </c>
      <c r="G94" s="200" cm="1">
        <f t="array" ref="G94">Common_InputFunctions.Utility_DisplayArrayInTable(Fertiliser_SourceData.Fertiliser_Products_Data1(), FertiliserProducts[[#Headers],[Company]],1)</f>
        <v>1.5</v>
      </c>
      <c r="H94" s="200" t="str" cm="1">
        <f t="array" ref="H94">Common_InputFunctions.Utility_DisplayArrayInTable(Fertiliser_SourceData.Fertiliser_Products_Data1(), FertiliserProducts[[#Headers],[Company]],1)</f>
        <v/>
      </c>
      <c r="I94" s="200" t="str" cm="1">
        <f t="array" ref="I94">Common_InputFunctions.Utility_DisplayArrayInTable(Fertiliser_SourceData.Fertiliser_Products_Data1(), FertiliserProducts[[#Headers],[Company]],1)</f>
        <v/>
      </c>
      <c r="J94" s="200" t="str" cm="1">
        <f t="array" ref="J94">Common_InputFunctions.Utility_DisplayArrayInTable(Fertiliser_SourceData.Fertiliser_Products_Data1(), FertiliserProducts[[#Headers],[Company]],1)</f>
        <v/>
      </c>
      <c r="K94" s="200" cm="1">
        <f t="array" ref="K94">Common_InputFunctions.Utility_DisplayArrayInTable(Fertiliser_SourceData.Fertiliser_Products_Data1(), FertiliserProducts[[#Headers],[Company]],1)</f>
        <v>13.2</v>
      </c>
      <c r="L94" s="200" t="str" cm="1">
        <f t="array" ref="L94">Common_InputFunctions.Utility_DisplayArrayInTable(Fertiliser_SourceData.Fertiliser_Products_Data1(), FertiliserProducts[[#Headers],[Company]],1)</f>
        <v/>
      </c>
      <c r="M94" s="200" t="str" cm="1">
        <f t="array" ref="M94">Common_InputFunctions.Utility_DisplayArrayInTable(Fertiliser_SourceData.Fertiliser_Products_Data1(), FertiliserProducts[[#Headers],[Company]],1)</f>
        <v/>
      </c>
      <c r="N94" s="200" t="str" cm="1">
        <f t="array" ref="N94">Common_InputFunctions.Utility_DisplayArrayInTable(Fertiliser_SourceData.Fertiliser_Products_Data1(), FertiliserProducts[[#Headers],[Company]],1)</f>
        <v/>
      </c>
      <c r="O94" s="200" t="str" cm="1">
        <f t="array" ref="O94">Common_InputFunctions.Utility_DisplayArrayInTable(Fertiliser_SourceData.Fertiliser_Products_Data1(), FertiliserProducts[[#Headers],[Company]],1)</f>
        <v>Calcium</v>
      </c>
      <c r="P94" s="200" cm="1">
        <f t="array" ref="P94">Common_InputFunctions.Utility_DisplayArrayInTable(Fertiliser_SourceData.Fertiliser_Products_Data1(), FertiliserProducts[[#Headers],[Company]],1)</f>
        <v>0.187</v>
      </c>
      <c r="Q94" s="200" t="str" cm="1">
        <f t="array" ref="Q94">Common_InputFunctions.Utility_DisplayArrayInTable(Fertiliser_SourceData.Fertiliser_Products_Data1(), FertiliserProducts[[#Headers],[Company]],1)</f>
        <v>Nitrogen - Nitrate</v>
      </c>
      <c r="R94" s="200" cm="1">
        <f t="array" ref="R94">Common_InputFunctions.Utility_DisplayArrayInTable(Fertiliser_SourceData.Fertiliser_Products_Data1(), FertiliserProducts[[#Headers],[Company]],1)</f>
        <v>0.13200000000000001</v>
      </c>
      <c r="S94" s="200" t="str" cm="1">
        <f t="array" ref="S94">Common_InputFunctions.Utility_DisplayArrayInTable(Fertiliser_SourceData.Fertiliser_Products_Data1(), FertiliserProducts[[#Headers],[Company]],1)</f>
        <v/>
      </c>
      <c r="T94" s="200" t="str" cm="1">
        <f t="array" ref="T94">Common_InputFunctions.Utility_DisplayArrayInTable(Fertiliser_SourceData.Fertiliser_Products_Data1(), FertiliserProducts[[#Headers],[Company]],1)</f>
        <v/>
      </c>
      <c r="U94" s="200" t="str" cm="1">
        <f t="array" ref="U94">Common_InputFunctions.Utility_DisplayArrayInTable(Fertiliser_SourceData.Fertiliser_Products_Data1(), FertiliserProducts[[#Headers],[Company]],1)</f>
        <v/>
      </c>
      <c r="V94" s="200" t="str" cm="1">
        <f t="array" ref="V94">Common_InputFunctions.Utility_DisplayArrayInTable(Fertiliser_SourceData.Fertiliser_Products_Data1(), FertiliserProducts[[#Headers],[Company]],1)</f>
        <v/>
      </c>
      <c r="W94" s="200" t="str" cm="1">
        <f t="array" ref="W94">Common_InputFunctions.Utility_DisplayArrayInTable(Fertiliser_SourceData.Fertiliser_Products_Data1(), FertiliserProducts[[#Headers],[Company]],1)</f>
        <v/>
      </c>
      <c r="X94" s="200" t="str" cm="1">
        <f t="array" ref="X94">Common_InputFunctions.Utility_DisplayArrayInTable(Fertiliser_SourceData.Fertiliser_Products_Data1(), FertiliserProducts[[#Headers],[Company]],1)</f>
        <v/>
      </c>
      <c r="Y94" s="200" t="str" cm="1">
        <f t="array" ref="Y94">Common_InputFunctions.Utility_DisplayArrayInTable(Fertiliser_SourceData.Fertiliser_Products_Data1(), FertiliserProducts[[#Headers],[Company]],1)</f>
        <v/>
      </c>
      <c r="Z94" s="200" t="str" cm="1">
        <f t="array" ref="Z94">Common_InputFunctions.Utility_DisplayArrayInTable(Fertiliser_SourceData.Fertiliser_Products_Data1(), FertiliserProducts[[#Headers],[Company]],1)</f>
        <v/>
      </c>
      <c r="AA94" s="200" t="str" cm="1">
        <f t="array" ref="AA94">Common_InputFunctions.Utility_DisplayArrayInTable(Fertiliser_SourceData.Fertiliser_Products_Data1(), FertiliserProducts[[#Headers],[Company]],1)</f>
        <v/>
      </c>
      <c r="AB94" s="200" t="str" cm="1">
        <f t="array" ref="AB94">Common_InputFunctions.Utility_DisplayArrayInTable(Fertiliser_SourceData.Fertiliser_Products_Data1(), FertiliserProducts[[#Headers],[Company]],1)</f>
        <v/>
      </c>
      <c r="AC94" s="200" t="str" cm="1">
        <f t="array" ref="AC94">Common_InputFunctions.Utility_DisplayArrayInTable(Fertiliser_SourceData.Fertiliser_Products_Data1(), FertiliserProducts[[#Headers],[Company]],1)</f>
        <v/>
      </c>
      <c r="AD94" s="200" t="str" cm="1">
        <f t="array" ref="AD94">Common_InputFunctions.Utility_DisplayArrayInTable(Fertiliser_SourceData.Fertiliser_Products_Data1(), FertiliserProducts[[#Headers],[Company]],1)</f>
        <v/>
      </c>
      <c r="AE94" s="200" t="str" cm="1">
        <f t="array" ref="AE94">Common_InputFunctions.Utility_DisplayArrayInTable(Fertiliser_SourceData.Fertiliser_Products_Data1(), FertiliserProducts[[#Headers],[Company]],1)</f>
        <v/>
      </c>
      <c r="AF94" s="200" t="str" cm="1">
        <f t="array" ref="AF94">Common_InputFunctions.Utility_DisplayArrayInTable(Fertiliser_SourceData.Fertiliser_Products_Data1(), FertiliserProducts[[#Headers],[Company]],1)</f>
        <v/>
      </c>
      <c r="AG94" s="200" t="str" cm="1">
        <f t="array" ref="AG94">Common_InputFunctions.Utility_DisplayArrayInTable(Fertiliser_SourceData.Fertiliser_Products_Data1(), FertiliserProducts[[#Headers],[Company]],1)</f>
        <v/>
      </c>
      <c r="AH94" s="200" t="str" cm="1">
        <f t="array" ref="AH94">Common_InputFunctions.Utility_DisplayArrayInTable(Fertiliser_SourceData.Fertiliser_Products_Data1(), FertiliserProducts[[#Headers],[Company]],1)</f>
        <v/>
      </c>
      <c r="AK94" s="1"/>
      <c r="AL94" s="1"/>
      <c r="AM94" s="1"/>
    </row>
    <row r="95" spans="4:39" ht="20.100000000000001" customHeight="1" x14ac:dyDescent="0.25">
      <c r="D95" s="200" t="str" cm="1">
        <f t="array" ref="D95">Common_InputFunctions.Utility_DisplayArrayInTable(Fertiliser_SourceData.Fertiliser_Products_Data1(), FertiliserProducts[[#Headers],[Company]],1)</f>
        <v>Campbells fertilisers Australia</v>
      </c>
      <c r="E95" s="200" t="str" cm="1">
        <f t="array" ref="E95">Common_InputFunctions.Utility_DisplayArrayInTable(Fertiliser_SourceData.Fertiliser_Products_Data1(), FertiliserProducts[[#Headers],[Company]],1)</f>
        <v>Aqua NitroCal Ultimate</v>
      </c>
      <c r="F95" s="200" t="str" cm="1">
        <f t="array" ref="F95">Common_InputFunctions.Utility_DisplayArrayInTable(Fertiliser_SourceData.Fertiliser_Products_Data1(), FertiliserProducts[[#Headers],[Company]],1)</f>
        <v>L</v>
      </c>
      <c r="G95" s="200" cm="1">
        <f t="array" ref="G95">Common_InputFunctions.Utility_DisplayArrayInTable(Fertiliser_SourceData.Fertiliser_Products_Data1(), FertiliserProducts[[#Headers],[Company]],1)</f>
        <v>1.5</v>
      </c>
      <c r="H95" s="200" t="str" cm="1">
        <f t="array" ref="H95">Common_InputFunctions.Utility_DisplayArrayInTable(Fertiliser_SourceData.Fertiliser_Products_Data1(), FertiliserProducts[[#Headers],[Company]],1)</f>
        <v/>
      </c>
      <c r="I95" s="200" t="str" cm="1">
        <f t="array" ref="I95">Common_InputFunctions.Utility_DisplayArrayInTable(Fertiliser_SourceData.Fertiliser_Products_Data1(), FertiliserProducts[[#Headers],[Company]],1)</f>
        <v/>
      </c>
      <c r="J95" s="200" t="str" cm="1">
        <f t="array" ref="J95">Common_InputFunctions.Utility_DisplayArrayInTable(Fertiliser_SourceData.Fertiliser_Products_Data1(), FertiliserProducts[[#Headers],[Company]],1)</f>
        <v/>
      </c>
      <c r="K95" s="200" cm="1">
        <f t="array" ref="K95">Common_InputFunctions.Utility_DisplayArrayInTable(Fertiliser_SourceData.Fertiliser_Products_Data1(), FertiliserProducts[[#Headers],[Company]],1)</f>
        <v>13.2</v>
      </c>
      <c r="L95" s="200" t="str" cm="1">
        <f t="array" ref="L95">Common_InputFunctions.Utility_DisplayArrayInTable(Fertiliser_SourceData.Fertiliser_Products_Data1(), FertiliserProducts[[#Headers],[Company]],1)</f>
        <v/>
      </c>
      <c r="M95" s="200" t="str" cm="1">
        <f t="array" ref="M95">Common_InputFunctions.Utility_DisplayArrayInTable(Fertiliser_SourceData.Fertiliser_Products_Data1(), FertiliserProducts[[#Headers],[Company]],1)</f>
        <v/>
      </c>
      <c r="N95" s="200" t="str" cm="1">
        <f t="array" ref="N95">Common_InputFunctions.Utility_DisplayArrayInTable(Fertiliser_SourceData.Fertiliser_Products_Data1(), FertiliserProducts[[#Headers],[Company]],1)</f>
        <v/>
      </c>
      <c r="O95" s="200" t="str" cm="1">
        <f t="array" ref="O95">Common_InputFunctions.Utility_DisplayArrayInTable(Fertiliser_SourceData.Fertiliser_Products_Data1(), FertiliserProducts[[#Headers],[Company]],1)</f>
        <v>Calcium</v>
      </c>
      <c r="P95" s="200" cm="1">
        <f t="array" ref="P95">Common_InputFunctions.Utility_DisplayArrayInTable(Fertiliser_SourceData.Fertiliser_Products_Data1(), FertiliserProducts[[#Headers],[Company]],1)</f>
        <v>0.183</v>
      </c>
      <c r="Q95" s="200" t="str" cm="1">
        <f t="array" ref="Q95">Common_InputFunctions.Utility_DisplayArrayInTable(Fertiliser_SourceData.Fertiliser_Products_Data1(), FertiliserProducts[[#Headers],[Company]],1)</f>
        <v>Nitrogen - Nitrate</v>
      </c>
      <c r="R95" s="200" cm="1">
        <f t="array" ref="R95">Common_InputFunctions.Utility_DisplayArrayInTable(Fertiliser_SourceData.Fertiliser_Products_Data1(), FertiliserProducts[[#Headers],[Company]],1)</f>
        <v>0.13200000000000001</v>
      </c>
      <c r="S95" s="200" t="str" cm="1">
        <f t="array" ref="S95">Common_InputFunctions.Utility_DisplayArrayInTable(Fertiliser_SourceData.Fertiliser_Products_Data1(), FertiliserProducts[[#Headers],[Company]],1)</f>
        <v/>
      </c>
      <c r="T95" s="200" t="str" cm="1">
        <f t="array" ref="T95">Common_InputFunctions.Utility_DisplayArrayInTable(Fertiliser_SourceData.Fertiliser_Products_Data1(), FertiliserProducts[[#Headers],[Company]],1)</f>
        <v/>
      </c>
      <c r="U95" s="200" t="str" cm="1">
        <f t="array" ref="U95">Common_InputFunctions.Utility_DisplayArrayInTable(Fertiliser_SourceData.Fertiliser_Products_Data1(), FertiliserProducts[[#Headers],[Company]],1)</f>
        <v/>
      </c>
      <c r="V95" s="200" t="str" cm="1">
        <f t="array" ref="V95">Common_InputFunctions.Utility_DisplayArrayInTable(Fertiliser_SourceData.Fertiliser_Products_Data1(), FertiliserProducts[[#Headers],[Company]],1)</f>
        <v/>
      </c>
      <c r="W95" s="200" t="str" cm="1">
        <f t="array" ref="W95">Common_InputFunctions.Utility_DisplayArrayInTable(Fertiliser_SourceData.Fertiliser_Products_Data1(), FertiliserProducts[[#Headers],[Company]],1)</f>
        <v/>
      </c>
      <c r="X95" s="200" t="str" cm="1">
        <f t="array" ref="X95">Common_InputFunctions.Utility_DisplayArrayInTable(Fertiliser_SourceData.Fertiliser_Products_Data1(), FertiliserProducts[[#Headers],[Company]],1)</f>
        <v/>
      </c>
      <c r="Y95" s="200" t="str" cm="1">
        <f t="array" ref="Y95">Common_InputFunctions.Utility_DisplayArrayInTable(Fertiliser_SourceData.Fertiliser_Products_Data1(), FertiliserProducts[[#Headers],[Company]],1)</f>
        <v/>
      </c>
      <c r="Z95" s="200" t="str" cm="1">
        <f t="array" ref="Z95">Common_InputFunctions.Utility_DisplayArrayInTable(Fertiliser_SourceData.Fertiliser_Products_Data1(), FertiliserProducts[[#Headers],[Company]],1)</f>
        <v/>
      </c>
      <c r="AA95" s="200" t="str" cm="1">
        <f t="array" ref="AA95">Common_InputFunctions.Utility_DisplayArrayInTable(Fertiliser_SourceData.Fertiliser_Products_Data1(), FertiliserProducts[[#Headers],[Company]],1)</f>
        <v/>
      </c>
      <c r="AB95" s="200" t="str" cm="1">
        <f t="array" ref="AB95">Common_InputFunctions.Utility_DisplayArrayInTable(Fertiliser_SourceData.Fertiliser_Products_Data1(), FertiliserProducts[[#Headers],[Company]],1)</f>
        <v/>
      </c>
      <c r="AC95" s="200" t="str" cm="1">
        <f t="array" ref="AC95">Common_InputFunctions.Utility_DisplayArrayInTable(Fertiliser_SourceData.Fertiliser_Products_Data1(), FertiliserProducts[[#Headers],[Company]],1)</f>
        <v/>
      </c>
      <c r="AD95" s="200" t="str" cm="1">
        <f t="array" ref="AD95">Common_InputFunctions.Utility_DisplayArrayInTable(Fertiliser_SourceData.Fertiliser_Products_Data1(), FertiliserProducts[[#Headers],[Company]],1)</f>
        <v/>
      </c>
      <c r="AE95" s="200" t="str" cm="1">
        <f t="array" ref="AE95">Common_InputFunctions.Utility_DisplayArrayInTable(Fertiliser_SourceData.Fertiliser_Products_Data1(), FertiliserProducts[[#Headers],[Company]],1)</f>
        <v/>
      </c>
      <c r="AF95" s="200" t="str" cm="1">
        <f t="array" ref="AF95">Common_InputFunctions.Utility_DisplayArrayInTable(Fertiliser_SourceData.Fertiliser_Products_Data1(), FertiliserProducts[[#Headers],[Company]],1)</f>
        <v/>
      </c>
      <c r="AG95" s="200" t="str" cm="1">
        <f t="array" ref="AG95">Common_InputFunctions.Utility_DisplayArrayInTable(Fertiliser_SourceData.Fertiliser_Products_Data1(), FertiliserProducts[[#Headers],[Company]],1)</f>
        <v/>
      </c>
      <c r="AH95" s="200" t="str" cm="1">
        <f t="array" ref="AH95">Common_InputFunctions.Utility_DisplayArrayInTable(Fertiliser_SourceData.Fertiliser_Products_Data1(), FertiliserProducts[[#Headers],[Company]],1)</f>
        <v/>
      </c>
      <c r="AK95" s="1"/>
      <c r="AL95" s="1"/>
      <c r="AM95" s="1"/>
    </row>
    <row r="96" spans="4:39" ht="20.100000000000001" customHeight="1" x14ac:dyDescent="0.25">
      <c r="D96" s="200" t="str" cm="1">
        <f t="array" ref="D96">Common_InputFunctions.Utility_DisplayArrayInTable(Fertiliser_SourceData.Fertiliser_Products_Data1(), FertiliserProducts[[#Headers],[Company]],1)</f>
        <v>Campbells fertilisers Australia</v>
      </c>
      <c r="E96" s="200" t="str" cm="1">
        <f t="array" ref="E96">Common_InputFunctions.Utility_DisplayArrayInTable(Fertiliser_SourceData.Fertiliser_Products_Data1(), FertiliserProducts[[#Headers],[Company]],1)</f>
        <v>Aqua Start</v>
      </c>
      <c r="F96" s="200" t="str" cm="1">
        <f t="array" ref="F96">Common_InputFunctions.Utility_DisplayArrayInTable(Fertiliser_SourceData.Fertiliser_Products_Data1(), FertiliserProducts[[#Headers],[Company]],1)</f>
        <v>L</v>
      </c>
      <c r="G96" s="200" cm="1">
        <f t="array" ref="G96">Common_InputFunctions.Utility_DisplayArrayInTable(Fertiliser_SourceData.Fertiliser_Products_Data1(), FertiliserProducts[[#Headers],[Company]],1)</f>
        <v>1.25</v>
      </c>
      <c r="H96" s="200" t="str" cm="1">
        <f t="array" ref="H96">Common_InputFunctions.Utility_DisplayArrayInTable(Fertiliser_SourceData.Fertiliser_Products_Data1(), FertiliserProducts[[#Headers],[Company]],1)</f>
        <v/>
      </c>
      <c r="I96" s="200" t="str" cm="1">
        <f t="array" ref="I96">Common_InputFunctions.Utility_DisplayArrayInTable(Fertiliser_SourceData.Fertiliser_Products_Data1(), FertiliserProducts[[#Headers],[Company]],1)</f>
        <v/>
      </c>
      <c r="J96" s="200" t="str" cm="1">
        <f t="array" ref="J96">Common_InputFunctions.Utility_DisplayArrayInTable(Fertiliser_SourceData.Fertiliser_Products_Data1(), FertiliserProducts[[#Headers],[Company]],1)</f>
        <v/>
      </c>
      <c r="K96" s="200" cm="1">
        <f t="array" ref="K96">Common_InputFunctions.Utility_DisplayArrayInTable(Fertiliser_SourceData.Fertiliser_Products_Data1(), FertiliserProducts[[#Headers],[Company]],1)</f>
        <v>10.3</v>
      </c>
      <c r="L96" s="200" cm="1">
        <f t="array" ref="L96">Common_InputFunctions.Utility_DisplayArrayInTable(Fertiliser_SourceData.Fertiliser_Products_Data1(), FertiliserProducts[[#Headers],[Company]],1)</f>
        <v>10</v>
      </c>
      <c r="M96" s="200" cm="1">
        <f t="array" ref="M96">Common_InputFunctions.Utility_DisplayArrayInTable(Fertiliser_SourceData.Fertiliser_Products_Data1(), FertiliserProducts[[#Headers],[Company]],1)</f>
        <v>3.4</v>
      </c>
      <c r="N96" s="200" t="str" cm="1">
        <f t="array" ref="N96">Common_InputFunctions.Utility_DisplayArrayInTable(Fertiliser_SourceData.Fertiliser_Products_Data1(), FertiliserProducts[[#Headers],[Company]],1)</f>
        <v/>
      </c>
      <c r="O96" s="200" t="str" cm="1">
        <f t="array" ref="O96">Common_InputFunctions.Utility_DisplayArrayInTable(Fertiliser_SourceData.Fertiliser_Products_Data1(), FertiliserProducts[[#Headers],[Company]],1)</f>
        <v>Nitrogen - Generic</v>
      </c>
      <c r="P96" s="200" cm="1">
        <f t="array" ref="P96">Common_InputFunctions.Utility_DisplayArrayInTable(Fertiliser_SourceData.Fertiliser_Products_Data1(), FertiliserProducts[[#Headers],[Company]],1)</f>
        <v>0.10299999999999999</v>
      </c>
      <c r="Q96" s="200" t="str" cm="1">
        <f t="array" ref="Q96">Common_InputFunctions.Utility_DisplayArrayInTable(Fertiliser_SourceData.Fertiliser_Products_Data1(), FertiliserProducts[[#Headers],[Company]],1)</f>
        <v>Phosphorus - Generic</v>
      </c>
      <c r="R96" s="200" cm="1">
        <f t="array" ref="R96">Common_InputFunctions.Utility_DisplayArrayInTable(Fertiliser_SourceData.Fertiliser_Products_Data1(), FertiliserProducts[[#Headers],[Company]],1)</f>
        <v>0.1</v>
      </c>
      <c r="S96" s="200" t="str" cm="1">
        <f t="array" ref="S96">Common_InputFunctions.Utility_DisplayArrayInTable(Fertiliser_SourceData.Fertiliser_Products_Data1(), FertiliserProducts[[#Headers],[Company]],1)</f>
        <v>Potassium - Generic</v>
      </c>
      <c r="T96" s="200" cm="1">
        <f t="array" ref="T96">Common_InputFunctions.Utility_DisplayArrayInTable(Fertiliser_SourceData.Fertiliser_Products_Data1(), FertiliserProducts[[#Headers],[Company]],1)</f>
        <v>3.4000000000000002E-2</v>
      </c>
      <c r="U96" s="200" t="str" cm="1">
        <f t="array" ref="U96">Common_InputFunctions.Utility_DisplayArrayInTable(Fertiliser_SourceData.Fertiliser_Products_Data1(), FertiliserProducts[[#Headers],[Company]],1)</f>
        <v/>
      </c>
      <c r="V96" s="200" t="str" cm="1">
        <f t="array" ref="V96">Common_InputFunctions.Utility_DisplayArrayInTable(Fertiliser_SourceData.Fertiliser_Products_Data1(), FertiliserProducts[[#Headers],[Company]],1)</f>
        <v/>
      </c>
      <c r="W96" s="200" t="str" cm="1">
        <f t="array" ref="W96">Common_InputFunctions.Utility_DisplayArrayInTable(Fertiliser_SourceData.Fertiliser_Products_Data1(), FertiliserProducts[[#Headers],[Company]],1)</f>
        <v/>
      </c>
      <c r="X96" s="200" t="str" cm="1">
        <f t="array" ref="X96">Common_InputFunctions.Utility_DisplayArrayInTable(Fertiliser_SourceData.Fertiliser_Products_Data1(), FertiliserProducts[[#Headers],[Company]],1)</f>
        <v/>
      </c>
      <c r="Y96" s="200" t="str" cm="1">
        <f t="array" ref="Y96">Common_InputFunctions.Utility_DisplayArrayInTable(Fertiliser_SourceData.Fertiliser_Products_Data1(), FertiliserProducts[[#Headers],[Company]],1)</f>
        <v/>
      </c>
      <c r="Z96" s="200" t="str" cm="1">
        <f t="array" ref="Z96">Common_InputFunctions.Utility_DisplayArrayInTable(Fertiliser_SourceData.Fertiliser_Products_Data1(), FertiliserProducts[[#Headers],[Company]],1)</f>
        <v/>
      </c>
      <c r="AA96" s="200" t="str" cm="1">
        <f t="array" ref="AA96">Common_InputFunctions.Utility_DisplayArrayInTable(Fertiliser_SourceData.Fertiliser_Products_Data1(), FertiliserProducts[[#Headers],[Company]],1)</f>
        <v/>
      </c>
      <c r="AB96" s="200" t="str" cm="1">
        <f t="array" ref="AB96">Common_InputFunctions.Utility_DisplayArrayInTable(Fertiliser_SourceData.Fertiliser_Products_Data1(), FertiliserProducts[[#Headers],[Company]],1)</f>
        <v/>
      </c>
      <c r="AC96" s="200" t="str" cm="1">
        <f t="array" ref="AC96">Common_InputFunctions.Utility_DisplayArrayInTable(Fertiliser_SourceData.Fertiliser_Products_Data1(), FertiliserProducts[[#Headers],[Company]],1)</f>
        <v/>
      </c>
      <c r="AD96" s="200" t="str" cm="1">
        <f t="array" ref="AD96">Common_InputFunctions.Utility_DisplayArrayInTable(Fertiliser_SourceData.Fertiliser_Products_Data1(), FertiliserProducts[[#Headers],[Company]],1)</f>
        <v/>
      </c>
      <c r="AE96" s="200" t="str" cm="1">
        <f t="array" ref="AE96">Common_InputFunctions.Utility_DisplayArrayInTable(Fertiliser_SourceData.Fertiliser_Products_Data1(), FertiliserProducts[[#Headers],[Company]],1)</f>
        <v/>
      </c>
      <c r="AF96" s="200" t="str" cm="1">
        <f t="array" ref="AF96">Common_InputFunctions.Utility_DisplayArrayInTable(Fertiliser_SourceData.Fertiliser_Products_Data1(), FertiliserProducts[[#Headers],[Company]],1)</f>
        <v/>
      </c>
      <c r="AG96" s="200" t="str" cm="1">
        <f t="array" ref="AG96">Common_InputFunctions.Utility_DisplayArrayInTable(Fertiliser_SourceData.Fertiliser_Products_Data1(), FertiliserProducts[[#Headers],[Company]],1)</f>
        <v/>
      </c>
      <c r="AH96" s="200" t="str" cm="1">
        <f t="array" ref="AH96">Common_InputFunctions.Utility_DisplayArrayInTable(Fertiliser_SourceData.Fertiliser_Products_Data1(), FertiliserProducts[[#Headers],[Company]],1)</f>
        <v/>
      </c>
      <c r="AK96" s="1"/>
      <c r="AL96" s="1"/>
      <c r="AM96" s="1"/>
    </row>
    <row r="97" spans="4:39" ht="20.100000000000001" customHeight="1" x14ac:dyDescent="0.25">
      <c r="D97" s="200" t="str" cm="1">
        <f t="array" ref="D97">Common_InputFunctions.Utility_DisplayArrayInTable(Fertiliser_SourceData.Fertiliser_Products_Data1(), FertiliserProducts[[#Headers],[Company]],1)</f>
        <v>Campbells fertilisers Australia</v>
      </c>
      <c r="E97" s="200" t="str" cm="1">
        <f t="array" ref="E97">Common_InputFunctions.Utility_DisplayArrayInTable(Fertiliser_SourceData.Fertiliser_Products_Data1(), FertiliserProducts[[#Headers],[Company]],1)</f>
        <v>Aqua Thio-Complete</v>
      </c>
      <c r="F97" s="200" t="str" cm="1">
        <f t="array" ref="F97">Common_InputFunctions.Utility_DisplayArrayInTable(Fertiliser_SourceData.Fertiliser_Products_Data1(), FertiliserProducts[[#Headers],[Company]],1)</f>
        <v>L</v>
      </c>
      <c r="G97" s="200" cm="1">
        <f t="array" ref="G97">Common_InputFunctions.Utility_DisplayArrayInTable(Fertiliser_SourceData.Fertiliser_Products_Data1(), FertiliserProducts[[#Headers],[Company]],1)</f>
        <v>1.43</v>
      </c>
      <c r="H97" s="200" t="str" cm="1">
        <f t="array" ref="H97">Common_InputFunctions.Utility_DisplayArrayInTable(Fertiliser_SourceData.Fertiliser_Products_Data1(), FertiliserProducts[[#Headers],[Company]],1)</f>
        <v/>
      </c>
      <c r="I97" s="200" t="str" cm="1">
        <f t="array" ref="I97">Common_InputFunctions.Utility_DisplayArrayInTable(Fertiliser_SourceData.Fertiliser_Products_Data1(), FertiliserProducts[[#Headers],[Company]],1)</f>
        <v/>
      </c>
      <c r="J97" s="200" t="str" cm="1">
        <f t="array" ref="J97">Common_InputFunctions.Utility_DisplayArrayInTable(Fertiliser_SourceData.Fertiliser_Products_Data1(), FertiliserProducts[[#Headers],[Company]],1)</f>
        <v/>
      </c>
      <c r="K97" s="200" cm="1">
        <f t="array" ref="K97">Common_InputFunctions.Utility_DisplayArrayInTable(Fertiliser_SourceData.Fertiliser_Products_Data1(), FertiliserProducts[[#Headers],[Company]],1)</f>
        <v>2.5</v>
      </c>
      <c r="L97" s="200" cm="1">
        <f t="array" ref="L97">Common_InputFunctions.Utility_DisplayArrayInTable(Fertiliser_SourceData.Fertiliser_Products_Data1(), FertiliserProducts[[#Headers],[Company]],1)</f>
        <v>3.8</v>
      </c>
      <c r="M97" s="200" cm="1">
        <f t="array" ref="M97">Common_InputFunctions.Utility_DisplayArrayInTable(Fertiliser_SourceData.Fertiliser_Products_Data1(), FertiliserProducts[[#Headers],[Company]],1)</f>
        <v>22.5</v>
      </c>
      <c r="N97" s="200" t="str" cm="1">
        <f t="array" ref="N97">Common_InputFunctions.Utility_DisplayArrayInTable(Fertiliser_SourceData.Fertiliser_Products_Data1(), FertiliserProducts[[#Headers],[Company]],1)</f>
        <v/>
      </c>
      <c r="O97" s="200" t="str" cm="1">
        <f t="array" ref="O97">Common_InputFunctions.Utility_DisplayArrayInTable(Fertiliser_SourceData.Fertiliser_Products_Data1(), FertiliserProducts[[#Headers],[Company]],1)</f>
        <v>Potassium - Generic</v>
      </c>
      <c r="P97" s="200" cm="1">
        <f t="array" ref="P97">Common_InputFunctions.Utility_DisplayArrayInTable(Fertiliser_SourceData.Fertiliser_Products_Data1(), FertiliserProducts[[#Headers],[Company]],1)</f>
        <v>0.22500000000000001</v>
      </c>
      <c r="Q97" s="200" t="str" cm="1">
        <f t="array" ref="Q97">Common_InputFunctions.Utility_DisplayArrayInTable(Fertiliser_SourceData.Fertiliser_Products_Data1(), FertiliserProducts[[#Headers],[Company]],1)</f>
        <v>Phosphorus - Generic</v>
      </c>
      <c r="R97" s="200" cm="1">
        <f t="array" ref="R97">Common_InputFunctions.Utility_DisplayArrayInTable(Fertiliser_SourceData.Fertiliser_Products_Data1(), FertiliserProducts[[#Headers],[Company]],1)</f>
        <v>3.7999999999999999E-2</v>
      </c>
      <c r="S97" s="200" t="str" cm="1">
        <f t="array" ref="S97">Common_InputFunctions.Utility_DisplayArrayInTable(Fertiliser_SourceData.Fertiliser_Products_Data1(), FertiliserProducts[[#Headers],[Company]],1)</f>
        <v>Nitrogen - Generic</v>
      </c>
      <c r="T97" s="200" cm="1">
        <f t="array" ref="T97">Common_InputFunctions.Utility_DisplayArrayInTable(Fertiliser_SourceData.Fertiliser_Products_Data1(), FertiliserProducts[[#Headers],[Company]],1)</f>
        <v>2.5000000000000001E-2</v>
      </c>
      <c r="U97" s="200" t="str" cm="1">
        <f t="array" ref="U97">Common_InputFunctions.Utility_DisplayArrayInTable(Fertiliser_SourceData.Fertiliser_Products_Data1(), FertiliserProducts[[#Headers],[Company]],1)</f>
        <v/>
      </c>
      <c r="V97" s="200" t="str" cm="1">
        <f t="array" ref="V97">Common_InputFunctions.Utility_DisplayArrayInTable(Fertiliser_SourceData.Fertiliser_Products_Data1(), FertiliserProducts[[#Headers],[Company]],1)</f>
        <v/>
      </c>
      <c r="W97" s="200" t="str" cm="1">
        <f t="array" ref="W97">Common_InputFunctions.Utility_DisplayArrayInTable(Fertiliser_SourceData.Fertiliser_Products_Data1(), FertiliserProducts[[#Headers],[Company]],1)</f>
        <v/>
      </c>
      <c r="X97" s="200" t="str" cm="1">
        <f t="array" ref="X97">Common_InputFunctions.Utility_DisplayArrayInTable(Fertiliser_SourceData.Fertiliser_Products_Data1(), FertiliserProducts[[#Headers],[Company]],1)</f>
        <v/>
      </c>
      <c r="Y97" s="200" t="str" cm="1">
        <f t="array" ref="Y97">Common_InputFunctions.Utility_DisplayArrayInTable(Fertiliser_SourceData.Fertiliser_Products_Data1(), FertiliserProducts[[#Headers],[Company]],1)</f>
        <v/>
      </c>
      <c r="Z97" s="200" t="str" cm="1">
        <f t="array" ref="Z97">Common_InputFunctions.Utility_DisplayArrayInTable(Fertiliser_SourceData.Fertiliser_Products_Data1(), FertiliserProducts[[#Headers],[Company]],1)</f>
        <v/>
      </c>
      <c r="AA97" s="200" t="str" cm="1">
        <f t="array" ref="AA97">Common_InputFunctions.Utility_DisplayArrayInTable(Fertiliser_SourceData.Fertiliser_Products_Data1(), FertiliserProducts[[#Headers],[Company]],1)</f>
        <v/>
      </c>
      <c r="AB97" s="200" t="str" cm="1">
        <f t="array" ref="AB97">Common_InputFunctions.Utility_DisplayArrayInTable(Fertiliser_SourceData.Fertiliser_Products_Data1(), FertiliserProducts[[#Headers],[Company]],1)</f>
        <v/>
      </c>
      <c r="AC97" s="200" t="str" cm="1">
        <f t="array" ref="AC97">Common_InputFunctions.Utility_DisplayArrayInTable(Fertiliser_SourceData.Fertiliser_Products_Data1(), FertiliserProducts[[#Headers],[Company]],1)</f>
        <v/>
      </c>
      <c r="AD97" s="200" t="str" cm="1">
        <f t="array" ref="AD97">Common_InputFunctions.Utility_DisplayArrayInTable(Fertiliser_SourceData.Fertiliser_Products_Data1(), FertiliserProducts[[#Headers],[Company]],1)</f>
        <v/>
      </c>
      <c r="AE97" s="200" t="str" cm="1">
        <f t="array" ref="AE97">Common_InputFunctions.Utility_DisplayArrayInTable(Fertiliser_SourceData.Fertiliser_Products_Data1(), FertiliserProducts[[#Headers],[Company]],1)</f>
        <v/>
      </c>
      <c r="AF97" s="200" t="str" cm="1">
        <f t="array" ref="AF97">Common_InputFunctions.Utility_DisplayArrayInTable(Fertiliser_SourceData.Fertiliser_Products_Data1(), FertiliserProducts[[#Headers],[Company]],1)</f>
        <v/>
      </c>
      <c r="AG97" s="200" t="str" cm="1">
        <f t="array" ref="AG97">Common_InputFunctions.Utility_DisplayArrayInTable(Fertiliser_SourceData.Fertiliser_Products_Data1(), FertiliserProducts[[#Headers],[Company]],1)</f>
        <v/>
      </c>
      <c r="AH97" s="200" t="str" cm="1">
        <f t="array" ref="AH97">Common_InputFunctions.Utility_DisplayArrayInTable(Fertiliser_SourceData.Fertiliser_Products_Data1(), FertiliserProducts[[#Headers],[Company]],1)</f>
        <v/>
      </c>
      <c r="AK97" s="1"/>
      <c r="AL97" s="1"/>
      <c r="AM97" s="1"/>
    </row>
    <row r="98" spans="4:39" ht="20.100000000000001" customHeight="1" x14ac:dyDescent="0.25">
      <c r="D98" s="200" t="str" cm="1">
        <f t="array" ref="D98">Common_InputFunctions.Utility_DisplayArrayInTable(Fertiliser_SourceData.Fertiliser_Products_Data1(), FertiliserProducts[[#Headers],[Company]],1)</f>
        <v>Campbells fertilisers Australia</v>
      </c>
      <c r="E98" s="200" t="str" cm="1">
        <f t="array" ref="E98">Common_InputFunctions.Utility_DisplayArrayInTable(Fertiliser_SourceData.Fertiliser_Products_Data1(), FertiliserProducts[[#Headers],[Company]],1)</f>
        <v>Aqua Thio-Emerge</v>
      </c>
      <c r="F98" s="200" t="str" cm="1">
        <f t="array" ref="F98">Common_InputFunctions.Utility_DisplayArrayInTable(Fertiliser_SourceData.Fertiliser_Products_Data1(), FertiliserProducts[[#Headers],[Company]],1)</f>
        <v>L</v>
      </c>
      <c r="G98" s="200" cm="1">
        <f t="array" ref="G98">Common_InputFunctions.Utility_DisplayArrayInTable(Fertiliser_SourceData.Fertiliser_Products_Data1(), FertiliserProducts[[#Headers],[Company]],1)</f>
        <v>1.29</v>
      </c>
      <c r="H98" s="200" t="str" cm="1">
        <f t="array" ref="H98">Common_InputFunctions.Utility_DisplayArrayInTable(Fertiliser_SourceData.Fertiliser_Products_Data1(), FertiliserProducts[[#Headers],[Company]],1)</f>
        <v/>
      </c>
      <c r="I98" s="200" t="str" cm="1">
        <f t="array" ref="I98">Common_InputFunctions.Utility_DisplayArrayInTable(Fertiliser_SourceData.Fertiliser_Products_Data1(), FertiliserProducts[[#Headers],[Company]],1)</f>
        <v/>
      </c>
      <c r="J98" s="200" t="str" cm="1">
        <f t="array" ref="J98">Common_InputFunctions.Utility_DisplayArrayInTable(Fertiliser_SourceData.Fertiliser_Products_Data1(), FertiliserProducts[[#Headers],[Company]],1)</f>
        <v/>
      </c>
      <c r="K98" s="200" cm="1">
        <f t="array" ref="K98">Common_InputFunctions.Utility_DisplayArrayInTable(Fertiliser_SourceData.Fertiliser_Products_Data1(), FertiliserProducts[[#Headers],[Company]],1)</f>
        <v>10.5</v>
      </c>
      <c r="L98" s="200" cm="1">
        <f t="array" ref="L98">Common_InputFunctions.Utility_DisplayArrayInTable(Fertiliser_SourceData.Fertiliser_Products_Data1(), FertiliserProducts[[#Headers],[Company]],1)</f>
        <v>9.4</v>
      </c>
      <c r="M98" s="200" cm="1">
        <f t="array" ref="M98">Common_InputFunctions.Utility_DisplayArrayInTable(Fertiliser_SourceData.Fertiliser_Products_Data1(), FertiliserProducts[[#Headers],[Company]],1)</f>
        <v>4</v>
      </c>
      <c r="N98" s="200" cm="1">
        <f t="array" ref="N98">Common_InputFunctions.Utility_DisplayArrayInTable(Fertiliser_SourceData.Fertiliser_Products_Data1(), FertiliserProducts[[#Headers],[Company]],1)</f>
        <v>3</v>
      </c>
      <c r="O98" s="200" t="str" cm="1">
        <f t="array" ref="O98">Common_InputFunctions.Utility_DisplayArrayInTable(Fertiliser_SourceData.Fertiliser_Products_Data1(), FertiliserProducts[[#Headers],[Company]],1)</f>
        <v>Nitrogen - Generic</v>
      </c>
      <c r="P98" s="200" cm="1">
        <f t="array" ref="P98">Common_InputFunctions.Utility_DisplayArrayInTable(Fertiliser_SourceData.Fertiliser_Products_Data1(), FertiliserProducts[[#Headers],[Company]],1)</f>
        <v>0.105</v>
      </c>
      <c r="Q98" s="200" t="str" cm="1">
        <f t="array" ref="Q98">Common_InputFunctions.Utility_DisplayArrayInTable(Fertiliser_SourceData.Fertiliser_Products_Data1(), FertiliserProducts[[#Headers],[Company]],1)</f>
        <v>Phosphorus - Generic</v>
      </c>
      <c r="R98" s="200" cm="1">
        <f t="array" ref="R98">Common_InputFunctions.Utility_DisplayArrayInTable(Fertiliser_SourceData.Fertiliser_Products_Data1(), FertiliserProducts[[#Headers],[Company]],1)</f>
        <v>9.4E-2</v>
      </c>
      <c r="S98" s="200" t="str" cm="1">
        <f t="array" ref="S98">Common_InputFunctions.Utility_DisplayArrayInTable(Fertiliser_SourceData.Fertiliser_Products_Data1(), FertiliserProducts[[#Headers],[Company]],1)</f>
        <v>Potassium - Generic</v>
      </c>
      <c r="T98" s="200" cm="1">
        <f t="array" ref="T98">Common_InputFunctions.Utility_DisplayArrayInTable(Fertiliser_SourceData.Fertiliser_Products_Data1(), FertiliserProducts[[#Headers],[Company]],1)</f>
        <v>0.04</v>
      </c>
      <c r="U98" s="200" t="str" cm="1">
        <f t="array" ref="U98">Common_InputFunctions.Utility_DisplayArrayInTable(Fertiliser_SourceData.Fertiliser_Products_Data1(), FertiliserProducts[[#Headers],[Company]],1)</f>
        <v>Sulfur - Generic</v>
      </c>
      <c r="V98" s="200" cm="1">
        <f t="array" ref="V98">Common_InputFunctions.Utility_DisplayArrayInTable(Fertiliser_SourceData.Fertiliser_Products_Data1(), FertiliserProducts[[#Headers],[Company]],1)</f>
        <v>0.03</v>
      </c>
      <c r="W98" s="200" t="str" cm="1">
        <f t="array" ref="W98">Common_InputFunctions.Utility_DisplayArrayInTable(Fertiliser_SourceData.Fertiliser_Products_Data1(), FertiliserProducts[[#Headers],[Company]],1)</f>
        <v/>
      </c>
      <c r="X98" s="200" t="str" cm="1">
        <f t="array" ref="X98">Common_InputFunctions.Utility_DisplayArrayInTable(Fertiliser_SourceData.Fertiliser_Products_Data1(), FertiliserProducts[[#Headers],[Company]],1)</f>
        <v/>
      </c>
      <c r="Y98" s="200" t="str" cm="1">
        <f t="array" ref="Y98">Common_InputFunctions.Utility_DisplayArrayInTable(Fertiliser_SourceData.Fertiliser_Products_Data1(), FertiliserProducts[[#Headers],[Company]],1)</f>
        <v/>
      </c>
      <c r="Z98" s="200" t="str" cm="1">
        <f t="array" ref="Z98">Common_InputFunctions.Utility_DisplayArrayInTable(Fertiliser_SourceData.Fertiliser_Products_Data1(), FertiliserProducts[[#Headers],[Company]],1)</f>
        <v/>
      </c>
      <c r="AA98" s="200" t="str" cm="1">
        <f t="array" ref="AA98">Common_InputFunctions.Utility_DisplayArrayInTable(Fertiliser_SourceData.Fertiliser_Products_Data1(), FertiliserProducts[[#Headers],[Company]],1)</f>
        <v/>
      </c>
      <c r="AB98" s="200" t="str" cm="1">
        <f t="array" ref="AB98">Common_InputFunctions.Utility_DisplayArrayInTable(Fertiliser_SourceData.Fertiliser_Products_Data1(), FertiliserProducts[[#Headers],[Company]],1)</f>
        <v/>
      </c>
      <c r="AC98" s="200" t="str" cm="1">
        <f t="array" ref="AC98">Common_InputFunctions.Utility_DisplayArrayInTable(Fertiliser_SourceData.Fertiliser_Products_Data1(), FertiliserProducts[[#Headers],[Company]],1)</f>
        <v/>
      </c>
      <c r="AD98" s="200" t="str" cm="1">
        <f t="array" ref="AD98">Common_InputFunctions.Utility_DisplayArrayInTable(Fertiliser_SourceData.Fertiliser_Products_Data1(), FertiliserProducts[[#Headers],[Company]],1)</f>
        <v/>
      </c>
      <c r="AE98" s="200" t="str" cm="1">
        <f t="array" ref="AE98">Common_InputFunctions.Utility_DisplayArrayInTable(Fertiliser_SourceData.Fertiliser_Products_Data1(), FertiliserProducts[[#Headers],[Company]],1)</f>
        <v/>
      </c>
      <c r="AF98" s="200" t="str" cm="1">
        <f t="array" ref="AF98">Common_InputFunctions.Utility_DisplayArrayInTable(Fertiliser_SourceData.Fertiliser_Products_Data1(), FertiliserProducts[[#Headers],[Company]],1)</f>
        <v/>
      </c>
      <c r="AG98" s="200" t="str" cm="1">
        <f t="array" ref="AG98">Common_InputFunctions.Utility_DisplayArrayInTable(Fertiliser_SourceData.Fertiliser_Products_Data1(), FertiliserProducts[[#Headers],[Company]],1)</f>
        <v/>
      </c>
      <c r="AH98" s="200" t="str" cm="1">
        <f t="array" ref="AH98">Common_InputFunctions.Utility_DisplayArrayInTable(Fertiliser_SourceData.Fertiliser_Products_Data1(), FertiliserProducts[[#Headers],[Company]],1)</f>
        <v/>
      </c>
      <c r="AK98" s="1"/>
      <c r="AL98" s="1"/>
      <c r="AM98" s="1"/>
    </row>
    <row r="99" spans="4:39" ht="20.100000000000001" customHeight="1" x14ac:dyDescent="0.25">
      <c r="D99" s="200" t="str" cm="1">
        <f t="array" ref="D99">Common_InputFunctions.Utility_DisplayArrayInTable(Fertiliser_SourceData.Fertiliser_Products_Data1(), FertiliserProducts[[#Headers],[Company]],1)</f>
        <v>Campbells fertilisers Australia</v>
      </c>
      <c r="E99" s="200" t="str" cm="1">
        <f t="array" ref="E99">Common_InputFunctions.Utility_DisplayArrayInTable(Fertiliser_SourceData.Fertiliser_Products_Data1(), FertiliserProducts[[#Headers],[Company]],1)</f>
        <v>Aqua Thio-Flourish</v>
      </c>
      <c r="F99" s="200" t="str" cm="1">
        <f t="array" ref="F99">Common_InputFunctions.Utility_DisplayArrayInTable(Fertiliser_SourceData.Fertiliser_Products_Data1(), FertiliserProducts[[#Headers],[Company]],1)</f>
        <v>L</v>
      </c>
      <c r="G99" s="200" cm="1">
        <f t="array" ref="G99">Common_InputFunctions.Utility_DisplayArrayInTable(Fertiliser_SourceData.Fertiliser_Products_Data1(), FertiliserProducts[[#Headers],[Company]],1)</f>
        <v>1.32</v>
      </c>
      <c r="H99" s="200" t="str" cm="1">
        <f t="array" ref="H99">Common_InputFunctions.Utility_DisplayArrayInTable(Fertiliser_SourceData.Fertiliser_Products_Data1(), FertiliserProducts[[#Headers],[Company]],1)</f>
        <v/>
      </c>
      <c r="I99" s="200" t="str" cm="1">
        <f t="array" ref="I99">Common_InputFunctions.Utility_DisplayArrayInTable(Fertiliser_SourceData.Fertiliser_Products_Data1(), FertiliserProducts[[#Headers],[Company]],1)</f>
        <v/>
      </c>
      <c r="J99" s="200" t="str" cm="1">
        <f t="array" ref="J99">Common_InputFunctions.Utility_DisplayArrayInTable(Fertiliser_SourceData.Fertiliser_Products_Data1(), FertiliserProducts[[#Headers],[Company]],1)</f>
        <v/>
      </c>
      <c r="K99" s="200" cm="1">
        <f t="array" ref="K99">Common_InputFunctions.Utility_DisplayArrayInTable(Fertiliser_SourceData.Fertiliser_Products_Data1(), FertiliserProducts[[#Headers],[Company]],1)</f>
        <v>9.5</v>
      </c>
      <c r="L99" s="200" cm="1">
        <f t="array" ref="L99">Common_InputFunctions.Utility_DisplayArrayInTable(Fertiliser_SourceData.Fertiliser_Products_Data1(), FertiliserProducts[[#Headers],[Company]],1)</f>
        <v>4.7</v>
      </c>
      <c r="M99" s="200" cm="1">
        <f t="array" ref="M99">Common_InputFunctions.Utility_DisplayArrayInTable(Fertiliser_SourceData.Fertiliser_Products_Data1(), FertiliserProducts[[#Headers],[Company]],1)</f>
        <v>10.8</v>
      </c>
      <c r="N99" s="200" cm="1">
        <f t="array" ref="N99">Common_InputFunctions.Utility_DisplayArrayInTable(Fertiliser_SourceData.Fertiliser_Products_Data1(), FertiliserProducts[[#Headers],[Company]],1)</f>
        <v>8.1</v>
      </c>
      <c r="O99" s="200" t="str" cm="1">
        <f t="array" ref="O99">Common_InputFunctions.Utility_DisplayArrayInTable(Fertiliser_SourceData.Fertiliser_Products_Data1(), FertiliserProducts[[#Headers],[Company]],1)</f>
        <v>Potassium - Generic</v>
      </c>
      <c r="P99" s="200" cm="1">
        <f t="array" ref="P99">Common_InputFunctions.Utility_DisplayArrayInTable(Fertiliser_SourceData.Fertiliser_Products_Data1(), FertiliserProducts[[#Headers],[Company]],1)</f>
        <v>0.108</v>
      </c>
      <c r="Q99" s="200" t="str" cm="1">
        <f t="array" ref="Q99">Common_InputFunctions.Utility_DisplayArrayInTable(Fertiliser_SourceData.Fertiliser_Products_Data1(), FertiliserProducts[[#Headers],[Company]],1)</f>
        <v>Nitrogen - Generic</v>
      </c>
      <c r="R99" s="200" cm="1">
        <f t="array" ref="R99">Common_InputFunctions.Utility_DisplayArrayInTable(Fertiliser_SourceData.Fertiliser_Products_Data1(), FertiliserProducts[[#Headers],[Company]],1)</f>
        <v>9.5000000000000001E-2</v>
      </c>
      <c r="S99" s="200" t="str" cm="1">
        <f t="array" ref="S99">Common_InputFunctions.Utility_DisplayArrayInTable(Fertiliser_SourceData.Fertiliser_Products_Data1(), FertiliserProducts[[#Headers],[Company]],1)</f>
        <v>Sulfur - Generic</v>
      </c>
      <c r="T99" s="200" cm="1">
        <f t="array" ref="T99">Common_InputFunctions.Utility_DisplayArrayInTable(Fertiliser_SourceData.Fertiliser_Products_Data1(), FertiliserProducts[[#Headers],[Company]],1)</f>
        <v>8.1000000000000003E-2</v>
      </c>
      <c r="U99" s="200" t="str" cm="1">
        <f t="array" ref="U99">Common_InputFunctions.Utility_DisplayArrayInTable(Fertiliser_SourceData.Fertiliser_Products_Data1(), FertiliserProducts[[#Headers],[Company]],1)</f>
        <v>Phosphorus - Generic</v>
      </c>
      <c r="V99" s="200" cm="1">
        <f t="array" ref="V99">Common_InputFunctions.Utility_DisplayArrayInTable(Fertiliser_SourceData.Fertiliser_Products_Data1(), FertiliserProducts[[#Headers],[Company]],1)</f>
        <v>4.7E-2</v>
      </c>
      <c r="W99" s="200" t="str" cm="1">
        <f t="array" ref="W99">Common_InputFunctions.Utility_DisplayArrayInTable(Fertiliser_SourceData.Fertiliser_Products_Data1(), FertiliserProducts[[#Headers],[Company]],1)</f>
        <v/>
      </c>
      <c r="X99" s="200" t="str" cm="1">
        <f t="array" ref="X99">Common_InputFunctions.Utility_DisplayArrayInTable(Fertiliser_SourceData.Fertiliser_Products_Data1(), FertiliserProducts[[#Headers],[Company]],1)</f>
        <v/>
      </c>
      <c r="Y99" s="200" t="str" cm="1">
        <f t="array" ref="Y99">Common_InputFunctions.Utility_DisplayArrayInTable(Fertiliser_SourceData.Fertiliser_Products_Data1(), FertiliserProducts[[#Headers],[Company]],1)</f>
        <v/>
      </c>
      <c r="Z99" s="200" t="str" cm="1">
        <f t="array" ref="Z99">Common_InputFunctions.Utility_DisplayArrayInTable(Fertiliser_SourceData.Fertiliser_Products_Data1(), FertiliserProducts[[#Headers],[Company]],1)</f>
        <v/>
      </c>
      <c r="AA99" s="200" t="str" cm="1">
        <f t="array" ref="AA99">Common_InputFunctions.Utility_DisplayArrayInTable(Fertiliser_SourceData.Fertiliser_Products_Data1(), FertiliserProducts[[#Headers],[Company]],1)</f>
        <v/>
      </c>
      <c r="AB99" s="200" t="str" cm="1">
        <f t="array" ref="AB99">Common_InputFunctions.Utility_DisplayArrayInTable(Fertiliser_SourceData.Fertiliser_Products_Data1(), FertiliserProducts[[#Headers],[Company]],1)</f>
        <v/>
      </c>
      <c r="AC99" s="200" t="str" cm="1">
        <f t="array" ref="AC99">Common_InputFunctions.Utility_DisplayArrayInTable(Fertiliser_SourceData.Fertiliser_Products_Data1(), FertiliserProducts[[#Headers],[Company]],1)</f>
        <v/>
      </c>
      <c r="AD99" s="200" t="str" cm="1">
        <f t="array" ref="AD99">Common_InputFunctions.Utility_DisplayArrayInTable(Fertiliser_SourceData.Fertiliser_Products_Data1(), FertiliserProducts[[#Headers],[Company]],1)</f>
        <v/>
      </c>
      <c r="AE99" s="200" t="str" cm="1">
        <f t="array" ref="AE99">Common_InputFunctions.Utility_DisplayArrayInTable(Fertiliser_SourceData.Fertiliser_Products_Data1(), FertiliserProducts[[#Headers],[Company]],1)</f>
        <v/>
      </c>
      <c r="AF99" s="200" t="str" cm="1">
        <f t="array" ref="AF99">Common_InputFunctions.Utility_DisplayArrayInTable(Fertiliser_SourceData.Fertiliser_Products_Data1(), FertiliserProducts[[#Headers],[Company]],1)</f>
        <v/>
      </c>
      <c r="AG99" s="200" t="str" cm="1">
        <f t="array" ref="AG99">Common_InputFunctions.Utility_DisplayArrayInTable(Fertiliser_SourceData.Fertiliser_Products_Data1(), FertiliserProducts[[#Headers],[Company]],1)</f>
        <v/>
      </c>
      <c r="AH99" s="200" t="str" cm="1">
        <f t="array" ref="AH99">Common_InputFunctions.Utility_DisplayArrayInTable(Fertiliser_SourceData.Fertiliser_Products_Data1(), FertiliserProducts[[#Headers],[Company]],1)</f>
        <v/>
      </c>
      <c r="AK99" s="1"/>
      <c r="AL99" s="1"/>
      <c r="AM99" s="1"/>
    </row>
    <row r="100" spans="4:39" ht="20.100000000000001" customHeight="1" x14ac:dyDescent="0.25">
      <c r="D100" s="200" t="str" cm="1">
        <f t="array" ref="D100">Common_InputFunctions.Utility_DisplayArrayInTable(Fertiliser_SourceData.Fertiliser_Products_Data1(), FertiliserProducts[[#Headers],[Company]],1)</f>
        <v>Campbells fertilisers Australia</v>
      </c>
      <c r="E100" s="200" t="str" cm="1">
        <f t="array" ref="E100">Common_InputFunctions.Utility_DisplayArrayInTable(Fertiliser_SourceData.Fertiliser_Products_Data1(), FertiliserProducts[[#Headers],[Company]],1)</f>
        <v>Boost-It</v>
      </c>
      <c r="F100" s="200" t="str" cm="1">
        <f t="array" ref="F100">Common_InputFunctions.Utility_DisplayArrayInTable(Fertiliser_SourceData.Fertiliser_Products_Data1(), FertiliserProducts[[#Headers],[Company]],1)</f>
        <v>kg</v>
      </c>
      <c r="G100" s="200" cm="1">
        <f t="array" ref="G100">Common_InputFunctions.Utility_DisplayArrayInTable(Fertiliser_SourceData.Fertiliser_Products_Data1(), FertiliserProducts[[#Headers],[Company]],1)</f>
        <v>1</v>
      </c>
      <c r="H100" s="200" t="str" cm="1">
        <f t="array" ref="H100">Common_InputFunctions.Utility_DisplayArrayInTable(Fertiliser_SourceData.Fertiliser_Products_Data1(), FertiliserProducts[[#Headers],[Company]],1)</f>
        <v/>
      </c>
      <c r="I100" s="200" t="str" cm="1">
        <f t="array" ref="I100">Common_InputFunctions.Utility_DisplayArrayInTable(Fertiliser_SourceData.Fertiliser_Products_Data1(), FertiliserProducts[[#Headers],[Company]],1)</f>
        <v/>
      </c>
      <c r="J100" s="200" t="str" cm="1">
        <f t="array" ref="J100">Common_InputFunctions.Utility_DisplayArrayInTable(Fertiliser_SourceData.Fertiliser_Products_Data1(), FertiliserProducts[[#Headers],[Company]],1)</f>
        <v/>
      </c>
      <c r="K100" s="200" cm="1">
        <f t="array" ref="K100">Common_InputFunctions.Utility_DisplayArrayInTable(Fertiliser_SourceData.Fertiliser_Products_Data1(), FertiliserProducts[[#Headers],[Company]],1)</f>
        <v>24</v>
      </c>
      <c r="L100" s="200" cm="1">
        <f t="array" ref="L100">Common_InputFunctions.Utility_DisplayArrayInTable(Fertiliser_SourceData.Fertiliser_Products_Data1(), FertiliserProducts[[#Headers],[Company]],1)</f>
        <v>5.2</v>
      </c>
      <c r="M100" s="200" cm="1">
        <f t="array" ref="M100">Common_InputFunctions.Utility_DisplayArrayInTable(Fertiliser_SourceData.Fertiliser_Products_Data1(), FertiliserProducts[[#Headers],[Company]],1)</f>
        <v>8</v>
      </c>
      <c r="N100" s="200" cm="1">
        <f t="array" ref="N100">Common_InputFunctions.Utility_DisplayArrayInTable(Fertiliser_SourceData.Fertiliser_Products_Data1(), FertiliserProducts[[#Headers],[Company]],1)</f>
        <v>5.3</v>
      </c>
      <c r="O100" s="200" t="str" cm="1">
        <f t="array" ref="O100">Common_InputFunctions.Utility_DisplayArrayInTable(Fertiliser_SourceData.Fertiliser_Products_Data1(), FertiliserProducts[[#Headers],[Company]],1)</f>
        <v>Urea</v>
      </c>
      <c r="P100" s="200" cm="1">
        <f t="array" ref="P100">Common_InputFunctions.Utility_DisplayArrayInTable(Fertiliser_SourceData.Fertiliser_Products_Data1(), FertiliserProducts[[#Headers],[Company]],1)</f>
        <v>0.52173899999999995</v>
      </c>
      <c r="Q100" s="200" t="str" cm="1">
        <f t="array" ref="Q100">Common_InputFunctions.Utility_DisplayArrayInTable(Fertiliser_SourceData.Fertiliser_Products_Data1(), FertiliserProducts[[#Headers],[Company]],1)</f>
        <v>Potassium - Generic</v>
      </c>
      <c r="R100" s="200" cm="1">
        <f t="array" ref="R100">Common_InputFunctions.Utility_DisplayArrayInTable(Fertiliser_SourceData.Fertiliser_Products_Data1(), FertiliserProducts[[#Headers],[Company]],1)</f>
        <v>0.08</v>
      </c>
      <c r="S100" s="200" t="str" cm="1">
        <f t="array" ref="S100">Common_InputFunctions.Utility_DisplayArrayInTable(Fertiliser_SourceData.Fertiliser_Products_Data1(), FertiliserProducts[[#Headers],[Company]],1)</f>
        <v>Sulfur - Generic</v>
      </c>
      <c r="T100" s="200" cm="1">
        <f t="array" ref="T100">Common_InputFunctions.Utility_DisplayArrayInTable(Fertiliser_SourceData.Fertiliser_Products_Data1(), FertiliserProducts[[#Headers],[Company]],1)</f>
        <v>5.2999999999999999E-2</v>
      </c>
      <c r="U100" s="200" t="str" cm="1">
        <f t="array" ref="U100">Common_InputFunctions.Utility_DisplayArrayInTable(Fertiliser_SourceData.Fertiliser_Products_Data1(), FertiliserProducts[[#Headers],[Company]],1)</f>
        <v>Phosphorus - Generic</v>
      </c>
      <c r="V100" s="200" cm="1">
        <f t="array" ref="V100">Common_InputFunctions.Utility_DisplayArrayInTable(Fertiliser_SourceData.Fertiliser_Products_Data1(), FertiliserProducts[[#Headers],[Company]],1)</f>
        <v>5.1999999999999998E-2</v>
      </c>
      <c r="W100" s="200" t="str" cm="1">
        <f t="array" ref="W100">Common_InputFunctions.Utility_DisplayArrayInTable(Fertiliser_SourceData.Fertiliser_Products_Data1(), FertiliserProducts[[#Headers],[Company]],1)</f>
        <v>Magnesium</v>
      </c>
      <c r="X100" s="200" cm="1">
        <f t="array" ref="X100">Common_InputFunctions.Utility_DisplayArrayInTable(Fertiliser_SourceData.Fertiliser_Products_Data1(), FertiliserProducts[[#Headers],[Company]],1)</f>
        <v>1.2999999999999999E-2</v>
      </c>
      <c r="Y100" s="200" t="str" cm="1">
        <f t="array" ref="Y100">Common_InputFunctions.Utility_DisplayArrayInTable(Fertiliser_SourceData.Fertiliser_Products_Data1(), FertiliserProducts[[#Headers],[Company]],1)</f>
        <v>Zinc</v>
      </c>
      <c r="Z100" s="200" cm="1">
        <f t="array" ref="Z100">Common_InputFunctions.Utility_DisplayArrayInTable(Fertiliser_SourceData.Fertiliser_Products_Data1(), FertiliserProducts[[#Headers],[Company]],1)</f>
        <v>2E-3</v>
      </c>
      <c r="AA100" s="200" t="str" cm="1">
        <f t="array" ref="AA100">Common_InputFunctions.Utility_DisplayArrayInTable(Fertiliser_SourceData.Fertiliser_Products_Data1(), FertiliserProducts[[#Headers],[Company]],1)</f>
        <v>Manganese</v>
      </c>
      <c r="AB100" s="200" cm="1">
        <f t="array" ref="AB100">Common_InputFunctions.Utility_DisplayArrayInTable(Fertiliser_SourceData.Fertiliser_Products_Data1(), FertiliserProducts[[#Headers],[Company]],1)</f>
        <v>3.5000000000000001E-3</v>
      </c>
      <c r="AC100" s="200" t="str" cm="1">
        <f t="array" ref="AC100">Common_InputFunctions.Utility_DisplayArrayInTable(Fertiliser_SourceData.Fertiliser_Products_Data1(), FertiliserProducts[[#Headers],[Company]],1)</f>
        <v>Iron</v>
      </c>
      <c r="AD100" s="200" cm="1">
        <f t="array" ref="AD100">Common_InputFunctions.Utility_DisplayArrayInTable(Fertiliser_SourceData.Fertiliser_Products_Data1(), FertiliserProducts[[#Headers],[Company]],1)</f>
        <v>1.2999999999999999E-3</v>
      </c>
      <c r="AE100" s="200" t="str" cm="1">
        <f t="array" ref="AE100">Common_InputFunctions.Utility_DisplayArrayInTable(Fertiliser_SourceData.Fertiliser_Products_Data1(), FertiliserProducts[[#Headers],[Company]],1)</f>
        <v>Copper</v>
      </c>
      <c r="AF100" s="200" cm="1">
        <f t="array" ref="AF100">Common_InputFunctions.Utility_DisplayArrayInTable(Fertiliser_SourceData.Fertiliser_Products_Data1(), FertiliserProducts[[#Headers],[Company]],1)</f>
        <v>6.9999999999999999E-4</v>
      </c>
      <c r="AG100" s="200" t="str" cm="1">
        <f t="array" ref="AG100">Common_InputFunctions.Utility_DisplayArrayInTable(Fertiliser_SourceData.Fertiliser_Products_Data1(), FertiliserProducts[[#Headers],[Company]],1)</f>
        <v>Boron</v>
      </c>
      <c r="AH100" s="200"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200" t="str" cm="1">
        <f t="array" ref="D101">Common_InputFunctions.Utility_DisplayArrayInTable(Fertiliser_SourceData.Fertiliser_Products_Data1(), FertiliserProducts[[#Headers],[Company]],1)</f>
        <v>Campbells fertilisers Australia</v>
      </c>
      <c r="E101" s="200" t="str" cm="1">
        <f t="array" ref="E101">Common_InputFunctions.Utility_DisplayArrayInTable(Fertiliser_SourceData.Fertiliser_Products_Data1(), FertiliserProducts[[#Headers],[Company]],1)</f>
        <v>Bronze</v>
      </c>
      <c r="F101" s="200" t="str" cm="1">
        <f t="array" ref="F101">Common_InputFunctions.Utility_DisplayArrayInTable(Fertiliser_SourceData.Fertiliser_Products_Data1(), FertiliserProducts[[#Headers],[Company]],1)</f>
        <v>kg</v>
      </c>
      <c r="G101" s="200" cm="1">
        <f t="array" ref="G101">Common_InputFunctions.Utility_DisplayArrayInTable(Fertiliser_SourceData.Fertiliser_Products_Data1(), FertiliserProducts[[#Headers],[Company]],1)</f>
        <v>1</v>
      </c>
      <c r="H101" s="200" t="str" cm="1">
        <f t="array" ref="H101">Common_InputFunctions.Utility_DisplayArrayInTable(Fertiliser_SourceData.Fertiliser_Products_Data1(), FertiliserProducts[[#Headers],[Company]],1)</f>
        <v/>
      </c>
      <c r="I101" s="200" t="str" cm="1">
        <f t="array" ref="I101">Common_InputFunctions.Utility_DisplayArrayInTable(Fertiliser_SourceData.Fertiliser_Products_Data1(), FertiliserProducts[[#Headers],[Company]],1)</f>
        <v/>
      </c>
      <c r="J101" s="200" t="str" cm="1">
        <f t="array" ref="J101">Common_InputFunctions.Utility_DisplayArrayInTable(Fertiliser_SourceData.Fertiliser_Products_Data1(), FertiliserProducts[[#Headers],[Company]],1)</f>
        <v/>
      </c>
      <c r="K101" s="200" cm="1">
        <f t="array" ref="K101">Common_InputFunctions.Utility_DisplayArrayInTable(Fertiliser_SourceData.Fertiliser_Products_Data1(), FertiliserProducts[[#Headers],[Company]],1)</f>
        <v>17</v>
      </c>
      <c r="L101" s="200" cm="1">
        <f t="array" ref="L101">Common_InputFunctions.Utility_DisplayArrayInTable(Fertiliser_SourceData.Fertiliser_Products_Data1(), FertiliserProducts[[#Headers],[Company]],1)</f>
        <v>0.04</v>
      </c>
      <c r="M101" s="200" cm="1">
        <f t="array" ref="M101">Common_InputFunctions.Utility_DisplayArrayInTable(Fertiliser_SourceData.Fertiliser_Products_Data1(), FertiliserProducts[[#Headers],[Company]],1)</f>
        <v>11.6</v>
      </c>
      <c r="N101" s="200" cm="1">
        <f t="array" ref="N101">Common_InputFunctions.Utility_DisplayArrayInTable(Fertiliser_SourceData.Fertiliser_Products_Data1(), FertiliserProducts[[#Headers],[Company]],1)</f>
        <v>0.5</v>
      </c>
      <c r="O101" s="200" t="str" cm="1">
        <f t="array" ref="O101">Common_InputFunctions.Utility_DisplayArrayInTable(Fertiliser_SourceData.Fertiliser_Products_Data1(), FertiliserProducts[[#Headers],[Company]],1)</f>
        <v>Muriate of potash (MOP)</v>
      </c>
      <c r="P101" s="200" cm="1">
        <f t="array" ref="P101">Common_InputFunctions.Utility_DisplayArrayInTable(Fertiliser_SourceData.Fertiliser_Products_Data1(), FertiliserProducts[[#Headers],[Company]],1)</f>
        <v>0.23200000000000001</v>
      </c>
      <c r="Q101" s="200" t="str" cm="1">
        <f t="array" ref="Q101">Common_InputFunctions.Utility_DisplayArrayInTable(Fertiliser_SourceData.Fertiliser_Products_Data1(), FertiliserProducts[[#Headers],[Company]],1)</f>
        <v>Nitrogen - Generic</v>
      </c>
      <c r="R101" s="200" cm="1">
        <f t="array" ref="R101">Common_InputFunctions.Utility_DisplayArrayInTable(Fertiliser_SourceData.Fertiliser_Products_Data1(), FertiliserProducts[[#Headers],[Company]],1)</f>
        <v>0.17</v>
      </c>
      <c r="S101" s="200" t="str" cm="1">
        <f t="array" ref="S101">Common_InputFunctions.Utility_DisplayArrayInTable(Fertiliser_SourceData.Fertiliser_Products_Data1(), FertiliserProducts[[#Headers],[Company]],1)</f>
        <v>Sulfur - Generic</v>
      </c>
      <c r="T101" s="200" cm="1">
        <f t="array" ref="T101">Common_InputFunctions.Utility_DisplayArrayInTable(Fertiliser_SourceData.Fertiliser_Products_Data1(), FertiliserProducts[[#Headers],[Company]],1)</f>
        <v>5.0000000000000001E-3</v>
      </c>
      <c r="U101" s="200" t="str" cm="1">
        <f t="array" ref="U101">Common_InputFunctions.Utility_DisplayArrayInTable(Fertiliser_SourceData.Fertiliser_Products_Data1(), FertiliserProducts[[#Headers],[Company]],1)</f>
        <v>Magnesium</v>
      </c>
      <c r="V101" s="200" cm="1">
        <f t="array" ref="V101">Common_InputFunctions.Utility_DisplayArrayInTable(Fertiliser_SourceData.Fertiliser_Products_Data1(), FertiliserProducts[[#Headers],[Company]],1)</f>
        <v>2.3999999999999998E-3</v>
      </c>
      <c r="W101" s="200" t="str" cm="1">
        <f t="array" ref="W101">Common_InputFunctions.Utility_DisplayArrayInTable(Fertiliser_SourceData.Fertiliser_Products_Data1(), FertiliserProducts[[#Headers],[Company]],1)</f>
        <v>Phosphorus - Generic</v>
      </c>
      <c r="X101" s="200" cm="1">
        <f t="array" ref="X101">Common_InputFunctions.Utility_DisplayArrayInTable(Fertiliser_SourceData.Fertiliser_Products_Data1(), FertiliserProducts[[#Headers],[Company]],1)</f>
        <v>4.0000000000000002E-4</v>
      </c>
      <c r="Y101" s="200" t="str" cm="1">
        <f t="array" ref="Y101">Common_InputFunctions.Utility_DisplayArrayInTable(Fertiliser_SourceData.Fertiliser_Products_Data1(), FertiliserProducts[[#Headers],[Company]],1)</f>
        <v/>
      </c>
      <c r="Z101" s="200" t="str" cm="1">
        <f t="array" ref="Z101">Common_InputFunctions.Utility_DisplayArrayInTable(Fertiliser_SourceData.Fertiliser_Products_Data1(), FertiliserProducts[[#Headers],[Company]],1)</f>
        <v/>
      </c>
      <c r="AA101" s="200" t="str" cm="1">
        <f t="array" ref="AA101">Common_InputFunctions.Utility_DisplayArrayInTable(Fertiliser_SourceData.Fertiliser_Products_Data1(), FertiliserProducts[[#Headers],[Company]],1)</f>
        <v/>
      </c>
      <c r="AB101" s="200" t="str" cm="1">
        <f t="array" ref="AB101">Common_InputFunctions.Utility_DisplayArrayInTable(Fertiliser_SourceData.Fertiliser_Products_Data1(), FertiliserProducts[[#Headers],[Company]],1)</f>
        <v/>
      </c>
      <c r="AC101" s="200" t="str" cm="1">
        <f t="array" ref="AC101">Common_InputFunctions.Utility_DisplayArrayInTable(Fertiliser_SourceData.Fertiliser_Products_Data1(), FertiliserProducts[[#Headers],[Company]],1)</f>
        <v/>
      </c>
      <c r="AD101" s="200" t="str" cm="1">
        <f t="array" ref="AD101">Common_InputFunctions.Utility_DisplayArrayInTable(Fertiliser_SourceData.Fertiliser_Products_Data1(), FertiliserProducts[[#Headers],[Company]],1)</f>
        <v/>
      </c>
      <c r="AE101" s="200" t="str" cm="1">
        <f t="array" ref="AE101">Common_InputFunctions.Utility_DisplayArrayInTable(Fertiliser_SourceData.Fertiliser_Products_Data1(), FertiliserProducts[[#Headers],[Company]],1)</f>
        <v/>
      </c>
      <c r="AF101" s="200" t="str" cm="1">
        <f t="array" ref="AF101">Common_InputFunctions.Utility_DisplayArrayInTable(Fertiliser_SourceData.Fertiliser_Products_Data1(), FertiliserProducts[[#Headers],[Company]],1)</f>
        <v/>
      </c>
      <c r="AG101" s="200" t="str" cm="1">
        <f t="array" ref="AG101">Common_InputFunctions.Utility_DisplayArrayInTable(Fertiliser_SourceData.Fertiliser_Products_Data1(), FertiliserProducts[[#Headers],[Company]],1)</f>
        <v/>
      </c>
      <c r="AH101" s="200"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200" t="str" cm="1">
        <f t="array" ref="D102">Common_InputFunctions.Utility_DisplayArrayInTable(Fertiliser_SourceData.Fertiliser_Products_Data1(), FertiliserProducts[[#Headers],[Company]],1)</f>
        <v>Campbells fertilisers Australia</v>
      </c>
      <c r="E102" s="200" t="str" cm="1">
        <f t="array" ref="E102">Common_InputFunctions.Utility_DisplayArrayInTable(Fertiliser_SourceData.Fertiliser_Products_Data1(), FertiliserProducts[[#Headers],[Company]],1)</f>
        <v>Calbit C</v>
      </c>
      <c r="F102" s="200" t="str" cm="1">
        <f t="array" ref="F102">Common_InputFunctions.Utility_DisplayArrayInTable(Fertiliser_SourceData.Fertiliser_Products_Data1(), FertiliserProducts[[#Headers],[Company]],1)</f>
        <v>L</v>
      </c>
      <c r="G102" s="200" cm="1">
        <f t="array" ref="G102">Common_InputFunctions.Utility_DisplayArrayInTable(Fertiliser_SourceData.Fertiliser_Products_Data1(), FertiliserProducts[[#Headers],[Company]],1)</f>
        <v>1.45</v>
      </c>
      <c r="H102" s="200" t="str" cm="1">
        <f t="array" ref="H102">Common_InputFunctions.Utility_DisplayArrayInTable(Fertiliser_SourceData.Fertiliser_Products_Data1(), FertiliserProducts[[#Headers],[Company]],1)</f>
        <v/>
      </c>
      <c r="I102" s="200" t="str" cm="1">
        <f t="array" ref="I102">Common_InputFunctions.Utility_DisplayArrayInTable(Fertiliser_SourceData.Fertiliser_Products_Data1(), FertiliserProducts[[#Headers],[Company]],1)</f>
        <v/>
      </c>
      <c r="J102" s="200" t="str" cm="1">
        <f t="array" ref="J102">Common_InputFunctions.Utility_DisplayArrayInTable(Fertiliser_SourceData.Fertiliser_Products_Data1(), FertiliserProducts[[#Headers],[Company]],1)</f>
        <v/>
      </c>
      <c r="K102" s="200" t="str" cm="1">
        <f t="array" ref="K102">Common_InputFunctions.Utility_DisplayArrayInTable(Fertiliser_SourceData.Fertiliser_Products_Data1(), FertiliserProducts[[#Headers],[Company]],1)</f>
        <v/>
      </c>
      <c r="L102" s="200" t="str" cm="1">
        <f t="array" ref="L102">Common_InputFunctions.Utility_DisplayArrayInTable(Fertiliser_SourceData.Fertiliser_Products_Data1(), FertiliserProducts[[#Headers],[Company]],1)</f>
        <v/>
      </c>
      <c r="M102" s="200" t="str" cm="1">
        <f t="array" ref="M102">Common_InputFunctions.Utility_DisplayArrayInTable(Fertiliser_SourceData.Fertiliser_Products_Data1(), FertiliserProducts[[#Headers],[Company]],1)</f>
        <v/>
      </c>
      <c r="N102" s="200" t="str" cm="1">
        <f t="array" ref="N102">Common_InputFunctions.Utility_DisplayArrayInTable(Fertiliser_SourceData.Fertiliser_Products_Data1(), FertiliserProducts[[#Headers],[Company]],1)</f>
        <v/>
      </c>
      <c r="O102" s="200" t="str" cm="1">
        <f t="array" ref="O102">Common_InputFunctions.Utility_DisplayArrayInTable(Fertiliser_SourceData.Fertiliser_Products_Data1(), FertiliserProducts[[#Headers],[Company]],1)</f>
        <v>Calcium</v>
      </c>
      <c r="P102" s="200" cm="1">
        <f t="array" ref="P102">Common_InputFunctions.Utility_DisplayArrayInTable(Fertiliser_SourceData.Fertiliser_Products_Data1(), FertiliserProducts[[#Headers],[Company]],1)</f>
        <v>0.107</v>
      </c>
      <c r="Q102" s="200" t="str" cm="1">
        <f t="array" ref="Q102">Common_InputFunctions.Utility_DisplayArrayInTable(Fertiliser_SourceData.Fertiliser_Products_Data1(), FertiliserProducts[[#Headers],[Company]],1)</f>
        <v/>
      </c>
      <c r="R102" s="200" t="str" cm="1">
        <f t="array" ref="R102">Common_InputFunctions.Utility_DisplayArrayInTable(Fertiliser_SourceData.Fertiliser_Products_Data1(), FertiliserProducts[[#Headers],[Company]],1)</f>
        <v/>
      </c>
      <c r="S102" s="200" t="str" cm="1">
        <f t="array" ref="S102">Common_InputFunctions.Utility_DisplayArrayInTable(Fertiliser_SourceData.Fertiliser_Products_Data1(), FertiliserProducts[[#Headers],[Company]],1)</f>
        <v/>
      </c>
      <c r="T102" s="200" t="str" cm="1">
        <f t="array" ref="T102">Common_InputFunctions.Utility_DisplayArrayInTable(Fertiliser_SourceData.Fertiliser_Products_Data1(), FertiliserProducts[[#Headers],[Company]],1)</f>
        <v/>
      </c>
      <c r="U102" s="200" t="str" cm="1">
        <f t="array" ref="U102">Common_InputFunctions.Utility_DisplayArrayInTable(Fertiliser_SourceData.Fertiliser_Products_Data1(), FertiliserProducts[[#Headers],[Company]],1)</f>
        <v/>
      </c>
      <c r="V102" s="200" t="str" cm="1">
        <f t="array" ref="V102">Common_InputFunctions.Utility_DisplayArrayInTable(Fertiliser_SourceData.Fertiliser_Products_Data1(), FertiliserProducts[[#Headers],[Company]],1)</f>
        <v/>
      </c>
      <c r="W102" s="200" t="str" cm="1">
        <f t="array" ref="W102">Common_InputFunctions.Utility_DisplayArrayInTable(Fertiliser_SourceData.Fertiliser_Products_Data1(), FertiliserProducts[[#Headers],[Company]],1)</f>
        <v/>
      </c>
      <c r="X102" s="200" t="str" cm="1">
        <f t="array" ref="X102">Common_InputFunctions.Utility_DisplayArrayInTable(Fertiliser_SourceData.Fertiliser_Products_Data1(), FertiliserProducts[[#Headers],[Company]],1)</f>
        <v/>
      </c>
      <c r="Y102" s="200" t="str" cm="1">
        <f t="array" ref="Y102">Common_InputFunctions.Utility_DisplayArrayInTable(Fertiliser_SourceData.Fertiliser_Products_Data1(), FertiliserProducts[[#Headers],[Company]],1)</f>
        <v/>
      </c>
      <c r="Z102" s="200" t="str" cm="1">
        <f t="array" ref="Z102">Common_InputFunctions.Utility_DisplayArrayInTable(Fertiliser_SourceData.Fertiliser_Products_Data1(), FertiliserProducts[[#Headers],[Company]],1)</f>
        <v/>
      </c>
      <c r="AA102" s="200" t="str" cm="1">
        <f t="array" ref="AA102">Common_InputFunctions.Utility_DisplayArrayInTable(Fertiliser_SourceData.Fertiliser_Products_Data1(), FertiliserProducts[[#Headers],[Company]],1)</f>
        <v/>
      </c>
      <c r="AB102" s="200" t="str" cm="1">
        <f t="array" ref="AB102">Common_InputFunctions.Utility_DisplayArrayInTable(Fertiliser_SourceData.Fertiliser_Products_Data1(), FertiliserProducts[[#Headers],[Company]],1)</f>
        <v/>
      </c>
      <c r="AC102" s="200" t="str" cm="1">
        <f t="array" ref="AC102">Common_InputFunctions.Utility_DisplayArrayInTable(Fertiliser_SourceData.Fertiliser_Products_Data1(), FertiliserProducts[[#Headers],[Company]],1)</f>
        <v/>
      </c>
      <c r="AD102" s="200" t="str" cm="1">
        <f t="array" ref="AD102">Common_InputFunctions.Utility_DisplayArrayInTable(Fertiliser_SourceData.Fertiliser_Products_Data1(), FertiliserProducts[[#Headers],[Company]],1)</f>
        <v/>
      </c>
      <c r="AE102" s="200" t="str" cm="1">
        <f t="array" ref="AE102">Common_InputFunctions.Utility_DisplayArrayInTable(Fertiliser_SourceData.Fertiliser_Products_Data1(), FertiliserProducts[[#Headers],[Company]],1)</f>
        <v/>
      </c>
      <c r="AF102" s="200" t="str" cm="1">
        <f t="array" ref="AF102">Common_InputFunctions.Utility_DisplayArrayInTable(Fertiliser_SourceData.Fertiliser_Products_Data1(), FertiliserProducts[[#Headers],[Company]],1)</f>
        <v/>
      </c>
      <c r="AG102" s="200" t="str" cm="1">
        <f t="array" ref="AG102">Common_InputFunctions.Utility_DisplayArrayInTable(Fertiliser_SourceData.Fertiliser_Products_Data1(), FertiliserProducts[[#Headers],[Company]],1)</f>
        <v/>
      </c>
      <c r="AH102" s="200"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200" t="str" cm="1">
        <f t="array" ref="D103">Common_InputFunctions.Utility_DisplayArrayInTable(Fertiliser_SourceData.Fertiliser_Products_Data1(), FertiliserProducts[[#Headers],[Company]],1)</f>
        <v>Campbells fertilisers Australia</v>
      </c>
      <c r="E103" s="200" t="str" cm="1">
        <f t="array" ref="E103">Common_InputFunctions.Utility_DisplayArrayInTable(Fertiliser_SourceData.Fertiliser_Products_Data1(), FertiliserProducts[[#Headers],[Company]],1)</f>
        <v>Compass</v>
      </c>
      <c r="F103" s="200" t="str" cm="1">
        <f t="array" ref="F103">Common_InputFunctions.Utility_DisplayArrayInTable(Fertiliser_SourceData.Fertiliser_Products_Data1(), FertiliserProducts[[#Headers],[Company]],1)</f>
        <v>kg</v>
      </c>
      <c r="G103" s="200" cm="1">
        <f t="array" ref="G103">Common_InputFunctions.Utility_DisplayArrayInTable(Fertiliser_SourceData.Fertiliser_Products_Data1(), FertiliserProducts[[#Headers],[Company]],1)</f>
        <v>1</v>
      </c>
      <c r="H103" s="200" t="str" cm="1">
        <f t="array" ref="H103">Common_InputFunctions.Utility_DisplayArrayInTable(Fertiliser_SourceData.Fertiliser_Products_Data1(), FertiliserProducts[[#Headers],[Company]],1)</f>
        <v/>
      </c>
      <c r="I103" s="200" t="str" cm="1">
        <f t="array" ref="I103">Common_InputFunctions.Utility_DisplayArrayInTable(Fertiliser_SourceData.Fertiliser_Products_Data1(), FertiliserProducts[[#Headers],[Company]],1)</f>
        <v/>
      </c>
      <c r="J103" s="200" t="str" cm="1">
        <f t="array" ref="J103">Common_InputFunctions.Utility_DisplayArrayInTable(Fertiliser_SourceData.Fertiliser_Products_Data1(), FertiliserProducts[[#Headers],[Company]],1)</f>
        <v/>
      </c>
      <c r="K103" s="200" cm="1">
        <f t="array" ref="K103">Common_InputFunctions.Utility_DisplayArrayInTable(Fertiliser_SourceData.Fertiliser_Products_Data1(), FertiliserProducts[[#Headers],[Company]],1)</f>
        <v>15</v>
      </c>
      <c r="L103" s="200" cm="1">
        <f t="array" ref="L103">Common_InputFunctions.Utility_DisplayArrayInTable(Fertiliser_SourceData.Fertiliser_Products_Data1(), FertiliserProducts[[#Headers],[Company]],1)</f>
        <v>6.5</v>
      </c>
      <c r="M103" s="200" cm="1">
        <f t="array" ref="M103">Common_InputFunctions.Utility_DisplayArrayInTable(Fertiliser_SourceData.Fertiliser_Products_Data1(), FertiliserProducts[[#Headers],[Company]],1)</f>
        <v>12.5</v>
      </c>
      <c r="N103" s="200" cm="1">
        <f t="array" ref="N103">Common_InputFunctions.Utility_DisplayArrayInTable(Fertiliser_SourceData.Fertiliser_Products_Data1(), FertiliserProducts[[#Headers],[Company]],1)</f>
        <v>6</v>
      </c>
      <c r="O103" s="200" t="str" cm="1">
        <f t="array" ref="O103">Common_InputFunctions.Utility_DisplayArrayInTable(Fertiliser_SourceData.Fertiliser_Products_Data1(), FertiliserProducts[[#Headers],[Company]],1)</f>
        <v>Nitrogen - Ammoniacal</v>
      </c>
      <c r="P103" s="200" cm="1">
        <f t="array" ref="P103">Common_InputFunctions.Utility_DisplayArrayInTable(Fertiliser_SourceData.Fertiliser_Products_Data1(), FertiliserProducts[[#Headers],[Company]],1)</f>
        <v>7.4999999999999997E-2</v>
      </c>
      <c r="Q103" s="200" t="str" cm="1">
        <f t="array" ref="Q103">Common_InputFunctions.Utility_DisplayArrayInTable(Fertiliser_SourceData.Fertiliser_Products_Data1(), FertiliserProducts[[#Headers],[Company]],1)</f>
        <v>Nitrogen - Nitrate</v>
      </c>
      <c r="R103" s="200" cm="1">
        <f t="array" ref="R103">Common_InputFunctions.Utility_DisplayArrayInTable(Fertiliser_SourceData.Fertiliser_Products_Data1(), FertiliserProducts[[#Headers],[Company]],1)</f>
        <v>7.4999999999999997E-2</v>
      </c>
      <c r="S103" s="200" t="str" cm="1">
        <f t="array" ref="S103">Common_InputFunctions.Utility_DisplayArrayInTable(Fertiliser_SourceData.Fertiliser_Products_Data1(), FertiliserProducts[[#Headers],[Company]],1)</f>
        <v>Potassium - Generic</v>
      </c>
      <c r="T103" s="200" cm="1">
        <f t="array" ref="T103">Common_InputFunctions.Utility_DisplayArrayInTable(Fertiliser_SourceData.Fertiliser_Products_Data1(), FertiliserProducts[[#Headers],[Company]],1)</f>
        <v>0.125</v>
      </c>
      <c r="U103" s="200" t="str" cm="1">
        <f t="array" ref="U103">Common_InputFunctions.Utility_DisplayArrayInTable(Fertiliser_SourceData.Fertiliser_Products_Data1(), FertiliserProducts[[#Headers],[Company]],1)</f>
        <v>Phosphorus - Generic</v>
      </c>
      <c r="V103" s="200" cm="1">
        <f t="array" ref="V103">Common_InputFunctions.Utility_DisplayArrayInTable(Fertiliser_SourceData.Fertiliser_Products_Data1(), FertiliserProducts[[#Headers],[Company]],1)</f>
        <v>6.5000000000000002E-2</v>
      </c>
      <c r="W103" s="200" t="str" cm="1">
        <f t="array" ref="W103">Common_InputFunctions.Utility_DisplayArrayInTable(Fertiliser_SourceData.Fertiliser_Products_Data1(), FertiliserProducts[[#Headers],[Company]],1)</f>
        <v>Sulfur - Generic</v>
      </c>
      <c r="X103" s="200" cm="1">
        <f t="array" ref="X103">Common_InputFunctions.Utility_DisplayArrayInTable(Fertiliser_SourceData.Fertiliser_Products_Data1(), FertiliserProducts[[#Headers],[Company]],1)</f>
        <v>0.06</v>
      </c>
      <c r="Y103" s="200" t="str" cm="1">
        <f t="array" ref="Y103">Common_InputFunctions.Utility_DisplayArrayInTable(Fertiliser_SourceData.Fertiliser_Products_Data1(), FertiliserProducts[[#Headers],[Company]],1)</f>
        <v/>
      </c>
      <c r="Z103" s="200" t="str" cm="1">
        <f t="array" ref="Z103">Common_InputFunctions.Utility_DisplayArrayInTable(Fertiliser_SourceData.Fertiliser_Products_Data1(), FertiliserProducts[[#Headers],[Company]],1)</f>
        <v/>
      </c>
      <c r="AA103" s="200" t="str" cm="1">
        <f t="array" ref="AA103">Common_InputFunctions.Utility_DisplayArrayInTable(Fertiliser_SourceData.Fertiliser_Products_Data1(), FertiliserProducts[[#Headers],[Company]],1)</f>
        <v/>
      </c>
      <c r="AB103" s="200" t="str" cm="1">
        <f t="array" ref="AB103">Common_InputFunctions.Utility_DisplayArrayInTable(Fertiliser_SourceData.Fertiliser_Products_Data1(), FertiliserProducts[[#Headers],[Company]],1)</f>
        <v/>
      </c>
      <c r="AC103" s="200" t="str" cm="1">
        <f t="array" ref="AC103">Common_InputFunctions.Utility_DisplayArrayInTable(Fertiliser_SourceData.Fertiliser_Products_Data1(), FertiliserProducts[[#Headers],[Company]],1)</f>
        <v/>
      </c>
      <c r="AD103" s="200" t="str" cm="1">
        <f t="array" ref="AD103">Common_InputFunctions.Utility_DisplayArrayInTable(Fertiliser_SourceData.Fertiliser_Products_Data1(), FertiliserProducts[[#Headers],[Company]],1)</f>
        <v/>
      </c>
      <c r="AE103" s="200" t="str" cm="1">
        <f t="array" ref="AE103">Common_InputFunctions.Utility_DisplayArrayInTable(Fertiliser_SourceData.Fertiliser_Products_Data1(), FertiliserProducts[[#Headers],[Company]],1)</f>
        <v/>
      </c>
      <c r="AF103" s="200" t="str" cm="1">
        <f t="array" ref="AF103">Common_InputFunctions.Utility_DisplayArrayInTable(Fertiliser_SourceData.Fertiliser_Products_Data1(), FertiliserProducts[[#Headers],[Company]],1)</f>
        <v/>
      </c>
      <c r="AG103" s="200" t="str" cm="1">
        <f t="array" ref="AG103">Common_InputFunctions.Utility_DisplayArrayInTable(Fertiliser_SourceData.Fertiliser_Products_Data1(), FertiliserProducts[[#Headers],[Company]],1)</f>
        <v/>
      </c>
      <c r="AH103" s="200"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200" t="str" cm="1">
        <f t="array" ref="D104">Common_InputFunctions.Utility_DisplayArrayInTable(Fertiliser_SourceData.Fertiliser_Products_Data1(), FertiliserProducts[[#Headers],[Company]],1)</f>
        <v>Campbells fertilisers Australia</v>
      </c>
      <c r="E104" s="200" t="str" cm="1">
        <f t="array" ref="E104">Common_InputFunctions.Utility_DisplayArrayInTable(Fertiliser_SourceData.Fertiliser_Products_Data1(), FertiliserProducts[[#Headers],[Company]],1)</f>
        <v>CoRoN 12-0-10</v>
      </c>
      <c r="F104" s="200" t="str" cm="1">
        <f t="array" ref="F104">Common_InputFunctions.Utility_DisplayArrayInTable(Fertiliser_SourceData.Fertiliser_Products_Data1(), FertiliserProducts[[#Headers],[Company]],1)</f>
        <v>L</v>
      </c>
      <c r="G104" s="200" cm="1">
        <f t="array" ref="G104">Common_InputFunctions.Utility_DisplayArrayInTable(Fertiliser_SourceData.Fertiliser_Products_Data1(), FertiliserProducts[[#Headers],[Company]],1)</f>
        <v>1.2150000000000001</v>
      </c>
      <c r="H104" s="200" t="str" cm="1">
        <f t="array" ref="H104">Common_InputFunctions.Utility_DisplayArrayInTable(Fertiliser_SourceData.Fertiliser_Products_Data1(), FertiliserProducts[[#Headers],[Company]],1)</f>
        <v/>
      </c>
      <c r="I104" s="200" t="str" cm="1">
        <f t="array" ref="I104">Common_InputFunctions.Utility_DisplayArrayInTable(Fertiliser_SourceData.Fertiliser_Products_Data1(), FertiliserProducts[[#Headers],[Company]],1)</f>
        <v/>
      </c>
      <c r="J104" s="200" t="str" cm="1">
        <f t="array" ref="J104">Common_InputFunctions.Utility_DisplayArrayInTable(Fertiliser_SourceData.Fertiliser_Products_Data1(), FertiliserProducts[[#Headers],[Company]],1)</f>
        <v/>
      </c>
      <c r="K104" s="200" cm="1">
        <f t="array" ref="K104">Common_InputFunctions.Utility_DisplayArrayInTable(Fertiliser_SourceData.Fertiliser_Products_Data1(), FertiliserProducts[[#Headers],[Company]],1)</f>
        <v>12</v>
      </c>
      <c r="L104" s="200" t="str" cm="1">
        <f t="array" ref="L104">Common_InputFunctions.Utility_DisplayArrayInTable(Fertiliser_SourceData.Fertiliser_Products_Data1(), FertiliserProducts[[#Headers],[Company]],1)</f>
        <v/>
      </c>
      <c r="M104" s="200" cm="1">
        <f t="array" ref="M104">Common_InputFunctions.Utility_DisplayArrayInTable(Fertiliser_SourceData.Fertiliser_Products_Data1(), FertiliserProducts[[#Headers],[Company]],1)</f>
        <v>10</v>
      </c>
      <c r="N104" s="200" t="str" cm="1">
        <f t="array" ref="N104">Common_InputFunctions.Utility_DisplayArrayInTable(Fertiliser_SourceData.Fertiliser_Products_Data1(), FertiliserProducts[[#Headers],[Company]],1)</f>
        <v/>
      </c>
      <c r="O104" s="200" t="str" cm="1">
        <f t="array" ref="O104">Common_InputFunctions.Utility_DisplayArrayInTable(Fertiliser_SourceData.Fertiliser_Products_Data1(), FertiliserProducts[[#Headers],[Company]],1)</f>
        <v>Urea</v>
      </c>
      <c r="P104" s="200" cm="1">
        <f t="array" ref="P104">Common_InputFunctions.Utility_DisplayArrayInTable(Fertiliser_SourceData.Fertiliser_Products_Data1(), FertiliserProducts[[#Headers],[Company]],1)</f>
        <v>0.19565199999999999</v>
      </c>
      <c r="Q104" s="200" t="str" cm="1">
        <f t="array" ref="Q104">Common_InputFunctions.Utility_DisplayArrayInTable(Fertiliser_SourceData.Fertiliser_Products_Data1(), FertiliserProducts[[#Headers],[Company]],1)</f>
        <v>Potassium - Generic</v>
      </c>
      <c r="R104" s="200" cm="1">
        <f t="array" ref="R104">Common_InputFunctions.Utility_DisplayArrayInTable(Fertiliser_SourceData.Fertiliser_Products_Data1(), FertiliserProducts[[#Headers],[Company]],1)</f>
        <v>0.1</v>
      </c>
      <c r="S104" s="200" t="str" cm="1">
        <f t="array" ref="S104">Common_InputFunctions.Utility_DisplayArrayInTable(Fertiliser_SourceData.Fertiliser_Products_Data1(), FertiliserProducts[[#Headers],[Company]],1)</f>
        <v>Nitrogen - Generic</v>
      </c>
      <c r="T104" s="200" cm="1">
        <f t="array" ref="T104">Common_InputFunctions.Utility_DisplayArrayInTable(Fertiliser_SourceData.Fertiliser_Products_Data1(), FertiliserProducts[[#Headers],[Company]],1)</f>
        <v>0.03</v>
      </c>
      <c r="U104" s="200" t="str" cm="1">
        <f t="array" ref="U104">Common_InputFunctions.Utility_DisplayArrayInTable(Fertiliser_SourceData.Fertiliser_Products_Data1(), FertiliserProducts[[#Headers],[Company]],1)</f>
        <v>Boron</v>
      </c>
      <c r="V104" s="200" cm="1">
        <f t="array" ref="V104">Common_InputFunctions.Utility_DisplayArrayInTable(Fertiliser_SourceData.Fertiliser_Products_Data1(), FertiliserProducts[[#Headers],[Company]],1)</f>
        <v>5.0000000000000001E-3</v>
      </c>
      <c r="W104" s="200" t="str" cm="1">
        <f t="array" ref="W104">Common_InputFunctions.Utility_DisplayArrayInTable(Fertiliser_SourceData.Fertiliser_Products_Data1(), FertiliserProducts[[#Headers],[Company]],1)</f>
        <v/>
      </c>
      <c r="X104" s="200" t="str" cm="1">
        <f t="array" ref="X104">Common_InputFunctions.Utility_DisplayArrayInTable(Fertiliser_SourceData.Fertiliser_Products_Data1(), FertiliserProducts[[#Headers],[Company]],1)</f>
        <v/>
      </c>
      <c r="Y104" s="200" t="str" cm="1">
        <f t="array" ref="Y104">Common_InputFunctions.Utility_DisplayArrayInTable(Fertiliser_SourceData.Fertiliser_Products_Data1(), FertiliserProducts[[#Headers],[Company]],1)</f>
        <v/>
      </c>
      <c r="Z104" s="200" t="str" cm="1">
        <f t="array" ref="Z104">Common_InputFunctions.Utility_DisplayArrayInTable(Fertiliser_SourceData.Fertiliser_Products_Data1(), FertiliserProducts[[#Headers],[Company]],1)</f>
        <v/>
      </c>
      <c r="AA104" s="200" t="str" cm="1">
        <f t="array" ref="AA104">Common_InputFunctions.Utility_DisplayArrayInTable(Fertiliser_SourceData.Fertiliser_Products_Data1(), FertiliserProducts[[#Headers],[Company]],1)</f>
        <v/>
      </c>
      <c r="AB104" s="200" t="str" cm="1">
        <f t="array" ref="AB104">Common_InputFunctions.Utility_DisplayArrayInTable(Fertiliser_SourceData.Fertiliser_Products_Data1(), FertiliserProducts[[#Headers],[Company]],1)</f>
        <v/>
      </c>
      <c r="AC104" s="200" t="str" cm="1">
        <f t="array" ref="AC104">Common_InputFunctions.Utility_DisplayArrayInTable(Fertiliser_SourceData.Fertiliser_Products_Data1(), FertiliserProducts[[#Headers],[Company]],1)</f>
        <v/>
      </c>
      <c r="AD104" s="200" t="str" cm="1">
        <f t="array" ref="AD104">Common_InputFunctions.Utility_DisplayArrayInTable(Fertiliser_SourceData.Fertiliser_Products_Data1(), FertiliserProducts[[#Headers],[Company]],1)</f>
        <v/>
      </c>
      <c r="AE104" s="200" t="str" cm="1">
        <f t="array" ref="AE104">Common_InputFunctions.Utility_DisplayArrayInTable(Fertiliser_SourceData.Fertiliser_Products_Data1(), FertiliserProducts[[#Headers],[Company]],1)</f>
        <v/>
      </c>
      <c r="AF104" s="200" t="str" cm="1">
        <f t="array" ref="AF104">Common_InputFunctions.Utility_DisplayArrayInTable(Fertiliser_SourceData.Fertiliser_Products_Data1(), FertiliserProducts[[#Headers],[Company]],1)</f>
        <v/>
      </c>
      <c r="AG104" s="200" t="str" cm="1">
        <f t="array" ref="AG104">Common_InputFunctions.Utility_DisplayArrayInTable(Fertiliser_SourceData.Fertiliser_Products_Data1(), FertiliserProducts[[#Headers],[Company]],1)</f>
        <v/>
      </c>
      <c r="AH104" s="200"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200" t="str" cm="1">
        <f t="array" ref="D105">Common_InputFunctions.Utility_DisplayArrayInTable(Fertiliser_SourceData.Fertiliser_Products_Data1(), FertiliserProducts[[#Headers],[Company]],1)</f>
        <v>Campbells fertilisers Australia</v>
      </c>
      <c r="E105" s="200" t="str" cm="1">
        <f t="array" ref="E105">Common_InputFunctions.Utility_DisplayArrayInTable(Fertiliser_SourceData.Fertiliser_Products_Data1(), FertiliserProducts[[#Headers],[Company]],1)</f>
        <v>Maximum Quick-N</v>
      </c>
      <c r="F105" s="200" t="str" cm="1">
        <f t="array" ref="F105">Common_InputFunctions.Utility_DisplayArrayInTable(Fertiliser_SourceData.Fertiliser_Products_Data1(), FertiliserProducts[[#Headers],[Company]],1)</f>
        <v>kg</v>
      </c>
      <c r="G105" s="200" cm="1">
        <f t="array" ref="G105">Common_InputFunctions.Utility_DisplayArrayInTable(Fertiliser_SourceData.Fertiliser_Products_Data1(), FertiliserProducts[[#Headers],[Company]],1)</f>
        <v>1</v>
      </c>
      <c r="H105" s="200" t="str" cm="1">
        <f t="array" ref="H105">Common_InputFunctions.Utility_DisplayArrayInTable(Fertiliser_SourceData.Fertiliser_Products_Data1(), FertiliserProducts[[#Headers],[Company]],1)</f>
        <v/>
      </c>
      <c r="I105" s="200" t="str" cm="1">
        <f t="array" ref="I105">Common_InputFunctions.Utility_DisplayArrayInTable(Fertiliser_SourceData.Fertiliser_Products_Data1(), FertiliserProducts[[#Headers],[Company]],1)</f>
        <v/>
      </c>
      <c r="J105" s="200" t="str" cm="1">
        <f t="array" ref="J105">Common_InputFunctions.Utility_DisplayArrayInTable(Fertiliser_SourceData.Fertiliser_Products_Data1(), FertiliserProducts[[#Headers],[Company]],1)</f>
        <v/>
      </c>
      <c r="K105" s="200" cm="1">
        <f t="array" ref="K105">Common_InputFunctions.Utility_DisplayArrayInTable(Fertiliser_SourceData.Fertiliser_Products_Data1(), FertiliserProducts[[#Headers],[Company]],1)</f>
        <v>21.66</v>
      </c>
      <c r="L105" s="200" t="str" cm="1">
        <f t="array" ref="L105">Common_InputFunctions.Utility_DisplayArrayInTable(Fertiliser_SourceData.Fertiliser_Products_Data1(), FertiliserProducts[[#Headers],[Company]],1)</f>
        <v/>
      </c>
      <c r="M105" s="200" t="str" cm="1">
        <f t="array" ref="M105">Common_InputFunctions.Utility_DisplayArrayInTable(Fertiliser_SourceData.Fertiliser_Products_Data1(), FertiliserProducts[[#Headers],[Company]],1)</f>
        <v/>
      </c>
      <c r="N105" s="200" cm="1">
        <f t="array" ref="N105">Common_InputFunctions.Utility_DisplayArrayInTable(Fertiliser_SourceData.Fertiliser_Products_Data1(), FertiliserProducts[[#Headers],[Company]],1)</f>
        <v>13.2</v>
      </c>
      <c r="O105" s="200" t="str" cm="1">
        <f t="array" ref="O105">Common_InputFunctions.Utility_DisplayArrayInTable(Fertiliser_SourceData.Fertiliser_Products_Data1(), FertiliserProducts[[#Headers],[Company]],1)</f>
        <v>Sulphate of ammonia (SOA)</v>
      </c>
      <c r="P105" s="200" cm="1">
        <f t="array" ref="P105">Common_InputFunctions.Utility_DisplayArrayInTable(Fertiliser_SourceData.Fertiliser_Products_Data1(), FertiliserProducts[[#Headers],[Company]],1)</f>
        <v>0.55000000000000004</v>
      </c>
      <c r="Q105" s="200" t="str" cm="1">
        <f t="array" ref="Q105">Common_InputFunctions.Utility_DisplayArrayInTable(Fertiliser_SourceData.Fertiliser_Products_Data1(), FertiliserProducts[[#Headers],[Company]],1)</f>
        <v>Ammonium nitrate (AN)</v>
      </c>
      <c r="R105" s="200" cm="1">
        <f t="array" ref="R105">Common_InputFunctions.Utility_DisplayArrayInTable(Fertiliser_SourceData.Fertiliser_Products_Data1(), FertiliserProducts[[#Headers],[Company]],1)</f>
        <v>0.3</v>
      </c>
      <c r="S105" s="200" t="str" cm="1">
        <f t="array" ref="S105">Common_InputFunctions.Utility_DisplayArrayInTable(Fertiliser_SourceData.Fertiliser_Products_Data1(), FertiliserProducts[[#Headers],[Company]],1)</f>
        <v/>
      </c>
      <c r="T105" s="200" t="str" cm="1">
        <f t="array" ref="T105">Common_InputFunctions.Utility_DisplayArrayInTable(Fertiliser_SourceData.Fertiliser_Products_Data1(), FertiliserProducts[[#Headers],[Company]],1)</f>
        <v/>
      </c>
      <c r="U105" s="200" t="str" cm="1">
        <f t="array" ref="U105">Common_InputFunctions.Utility_DisplayArrayInTable(Fertiliser_SourceData.Fertiliser_Products_Data1(), FertiliserProducts[[#Headers],[Company]],1)</f>
        <v/>
      </c>
      <c r="V105" s="200" t="str" cm="1">
        <f t="array" ref="V105">Common_InputFunctions.Utility_DisplayArrayInTable(Fertiliser_SourceData.Fertiliser_Products_Data1(), FertiliserProducts[[#Headers],[Company]],1)</f>
        <v/>
      </c>
      <c r="W105" s="200" t="str" cm="1">
        <f t="array" ref="W105">Common_InputFunctions.Utility_DisplayArrayInTable(Fertiliser_SourceData.Fertiliser_Products_Data1(), FertiliserProducts[[#Headers],[Company]],1)</f>
        <v/>
      </c>
      <c r="X105" s="200" t="str" cm="1">
        <f t="array" ref="X105">Common_InputFunctions.Utility_DisplayArrayInTable(Fertiliser_SourceData.Fertiliser_Products_Data1(), FertiliserProducts[[#Headers],[Company]],1)</f>
        <v/>
      </c>
      <c r="Y105" s="200" t="str" cm="1">
        <f t="array" ref="Y105">Common_InputFunctions.Utility_DisplayArrayInTable(Fertiliser_SourceData.Fertiliser_Products_Data1(), FertiliserProducts[[#Headers],[Company]],1)</f>
        <v/>
      </c>
      <c r="Z105" s="200" t="str" cm="1">
        <f t="array" ref="Z105">Common_InputFunctions.Utility_DisplayArrayInTable(Fertiliser_SourceData.Fertiliser_Products_Data1(), FertiliserProducts[[#Headers],[Company]],1)</f>
        <v/>
      </c>
      <c r="AA105" s="200" t="str" cm="1">
        <f t="array" ref="AA105">Common_InputFunctions.Utility_DisplayArrayInTable(Fertiliser_SourceData.Fertiliser_Products_Data1(), FertiliserProducts[[#Headers],[Company]],1)</f>
        <v/>
      </c>
      <c r="AB105" s="200" t="str" cm="1">
        <f t="array" ref="AB105">Common_InputFunctions.Utility_DisplayArrayInTable(Fertiliser_SourceData.Fertiliser_Products_Data1(), FertiliserProducts[[#Headers],[Company]],1)</f>
        <v/>
      </c>
      <c r="AC105" s="200" t="str" cm="1">
        <f t="array" ref="AC105">Common_InputFunctions.Utility_DisplayArrayInTable(Fertiliser_SourceData.Fertiliser_Products_Data1(), FertiliserProducts[[#Headers],[Company]],1)</f>
        <v/>
      </c>
      <c r="AD105" s="200" t="str" cm="1">
        <f t="array" ref="AD105">Common_InputFunctions.Utility_DisplayArrayInTable(Fertiliser_SourceData.Fertiliser_Products_Data1(), FertiliserProducts[[#Headers],[Company]],1)</f>
        <v/>
      </c>
      <c r="AE105" s="200" t="str" cm="1">
        <f t="array" ref="AE105">Common_InputFunctions.Utility_DisplayArrayInTable(Fertiliser_SourceData.Fertiliser_Products_Data1(), FertiliserProducts[[#Headers],[Company]],1)</f>
        <v/>
      </c>
      <c r="AF105" s="200" t="str" cm="1">
        <f t="array" ref="AF105">Common_InputFunctions.Utility_DisplayArrayInTable(Fertiliser_SourceData.Fertiliser_Products_Data1(), FertiliserProducts[[#Headers],[Company]],1)</f>
        <v/>
      </c>
      <c r="AG105" s="200" t="str" cm="1">
        <f t="array" ref="AG105">Common_InputFunctions.Utility_DisplayArrayInTable(Fertiliser_SourceData.Fertiliser_Products_Data1(), FertiliserProducts[[#Headers],[Company]],1)</f>
        <v/>
      </c>
      <c r="AH105" s="200"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200" t="str" cm="1">
        <f t="array" ref="D106">Common_InputFunctions.Utility_DisplayArrayInTable(Fertiliser_SourceData.Fertiliser_Products_Data1(), FertiliserProducts[[#Headers],[Company]],1)</f>
        <v>SL Tec</v>
      </c>
      <c r="E106" s="200" t="str" cm="1">
        <f t="array" ref="E106">Common_InputFunctions.Utility_DisplayArrayInTable(Fertiliser_SourceData.Fertiliser_Products_Data1(), FertiliserProducts[[#Headers],[Company]],1)</f>
        <v>Crop Booster PLUS</v>
      </c>
      <c r="F106" s="200" t="str" cm="1">
        <f t="array" ref="F106">Common_InputFunctions.Utility_DisplayArrayInTable(Fertiliser_SourceData.Fertiliser_Products_Data1(), FertiliserProducts[[#Headers],[Company]],1)</f>
        <v>L</v>
      </c>
      <c r="G106" s="200" cm="1">
        <f t="array" ref="G106">Common_InputFunctions.Utility_DisplayArrayInTable(Fertiliser_SourceData.Fertiliser_Products_Data1(), FertiliserProducts[[#Headers],[Company]],1)</f>
        <v>1.319</v>
      </c>
      <c r="H106" s="200" t="str" cm="1">
        <f t="array" ref="H106">Common_InputFunctions.Utility_DisplayArrayInTable(Fertiliser_SourceData.Fertiliser_Products_Data1(), FertiliserProducts[[#Headers],[Company]],1)</f>
        <v/>
      </c>
      <c r="I106" s="200" t="str" cm="1">
        <f t="array" ref="I106">Common_InputFunctions.Utility_DisplayArrayInTable(Fertiliser_SourceData.Fertiliser_Products_Data1(), FertiliserProducts[[#Headers],[Company]],1)</f>
        <v/>
      </c>
      <c r="J106" s="200" t="str" cm="1">
        <f t="array" ref="J106">Common_InputFunctions.Utility_DisplayArrayInTable(Fertiliser_SourceData.Fertiliser_Products_Data1(), FertiliserProducts[[#Headers],[Company]],1)</f>
        <v/>
      </c>
      <c r="K106" s="200" cm="1">
        <f t="array" ref="K106">Common_InputFunctions.Utility_DisplayArrayInTable(Fertiliser_SourceData.Fertiliser_Products_Data1(), FertiliserProducts[[#Headers],[Company]],1)</f>
        <v>5</v>
      </c>
      <c r="L106" s="200" cm="1">
        <f t="array" ref="L106">Common_InputFunctions.Utility_DisplayArrayInTable(Fertiliser_SourceData.Fertiliser_Products_Data1(), FertiliserProducts[[#Headers],[Company]],1)</f>
        <v>15</v>
      </c>
      <c r="M106" s="200" cm="1">
        <f t="array" ref="M106">Common_InputFunctions.Utility_DisplayArrayInTable(Fertiliser_SourceData.Fertiliser_Products_Data1(), FertiliserProducts[[#Headers],[Company]],1)</f>
        <v>2.1</v>
      </c>
      <c r="N106" s="200" t="str" cm="1">
        <f t="array" ref="N106">Common_InputFunctions.Utility_DisplayArrayInTable(Fertiliser_SourceData.Fertiliser_Products_Data1(), FertiliserProducts[[#Headers],[Company]],1)</f>
        <v/>
      </c>
      <c r="O106" s="200" t="str" cm="1">
        <f t="array" ref="O106">Common_InputFunctions.Utility_DisplayArrayInTable(Fertiliser_SourceData.Fertiliser_Products_Data1(), FertiliserProducts[[#Headers],[Company]],1)</f>
        <v>Phosphorus - Generic</v>
      </c>
      <c r="P106" s="200" cm="1">
        <f t="array" ref="P106">Common_InputFunctions.Utility_DisplayArrayInTable(Fertiliser_SourceData.Fertiliser_Products_Data1(), FertiliserProducts[[#Headers],[Company]],1)</f>
        <v>0.15</v>
      </c>
      <c r="Q106" s="200" t="str" cm="1">
        <f t="array" ref="Q106">Common_InputFunctions.Utility_DisplayArrayInTable(Fertiliser_SourceData.Fertiliser_Products_Data1(), FertiliserProducts[[#Headers],[Company]],1)</f>
        <v>Calcium</v>
      </c>
      <c r="R106" s="200" cm="1">
        <f t="array" ref="R106">Common_InputFunctions.Utility_DisplayArrayInTable(Fertiliser_SourceData.Fertiliser_Products_Data1(), FertiliserProducts[[#Headers],[Company]],1)</f>
        <v>0.04</v>
      </c>
      <c r="S106" s="200" t="str" cm="1">
        <f t="array" ref="S106">Common_InputFunctions.Utility_DisplayArrayInTable(Fertiliser_SourceData.Fertiliser_Products_Data1(), FertiliserProducts[[#Headers],[Company]],1)</f>
        <v>Nitrogen - Ammoniacal</v>
      </c>
      <c r="T106" s="200" cm="1">
        <f t="array" ref="T106">Common_InputFunctions.Utility_DisplayArrayInTable(Fertiliser_SourceData.Fertiliser_Products_Data1(), FertiliserProducts[[#Headers],[Company]],1)</f>
        <v>2.9000000000000001E-2</v>
      </c>
      <c r="U106" s="200" t="str" cm="1">
        <f t="array" ref="U106">Common_InputFunctions.Utility_DisplayArrayInTable(Fertiliser_SourceData.Fertiliser_Products_Data1(), FertiliserProducts[[#Headers],[Company]],1)</f>
        <v>Nitrogen - Nitrate</v>
      </c>
      <c r="V106" s="200" cm="1">
        <f t="array" ref="V106">Common_InputFunctions.Utility_DisplayArrayInTable(Fertiliser_SourceData.Fertiliser_Products_Data1(), FertiliserProducts[[#Headers],[Company]],1)</f>
        <v>2.1000000000000001E-2</v>
      </c>
      <c r="W106" s="200" t="str" cm="1">
        <f t="array" ref="W106">Common_InputFunctions.Utility_DisplayArrayInTable(Fertiliser_SourceData.Fertiliser_Products_Data1(), FertiliserProducts[[#Headers],[Company]],1)</f>
        <v>Potassium - Generic</v>
      </c>
      <c r="X106" s="200" cm="1">
        <f t="array" ref="X106">Common_InputFunctions.Utility_DisplayArrayInTable(Fertiliser_SourceData.Fertiliser_Products_Data1(), FertiliserProducts[[#Headers],[Company]],1)</f>
        <v>2.1000000000000001E-2</v>
      </c>
      <c r="Y106" s="200" t="str" cm="1">
        <f t="array" ref="Y106">Common_InputFunctions.Utility_DisplayArrayInTable(Fertiliser_SourceData.Fertiliser_Products_Data1(), FertiliserProducts[[#Headers],[Company]],1)</f>
        <v>Copper</v>
      </c>
      <c r="Z106" s="200" cm="1">
        <f t="array" ref="Z106">Common_InputFunctions.Utility_DisplayArrayInTable(Fertiliser_SourceData.Fertiliser_Products_Data1(), FertiliserProducts[[#Headers],[Company]],1)</f>
        <v>5.0000000000000001E-3</v>
      </c>
      <c r="AA106" s="200" t="str" cm="1">
        <f t="array" ref="AA106">Common_InputFunctions.Utility_DisplayArrayInTable(Fertiliser_SourceData.Fertiliser_Products_Data1(), FertiliserProducts[[#Headers],[Company]],1)</f>
        <v>Zinc</v>
      </c>
      <c r="AB106" s="200" cm="1">
        <f t="array" ref="AB106">Common_InputFunctions.Utility_DisplayArrayInTable(Fertiliser_SourceData.Fertiliser_Products_Data1(), FertiliserProducts[[#Headers],[Company]],1)</f>
        <v>4.0000000000000001E-3</v>
      </c>
      <c r="AC106" s="200" t="str" cm="1">
        <f t="array" ref="AC106">Common_InputFunctions.Utility_DisplayArrayInTable(Fertiliser_SourceData.Fertiliser_Products_Data1(), FertiliserProducts[[#Headers],[Company]],1)</f>
        <v>Manganese</v>
      </c>
      <c r="AD106" s="200" cm="1">
        <f t="array" ref="AD106">Common_InputFunctions.Utility_DisplayArrayInTable(Fertiliser_SourceData.Fertiliser_Products_Data1(), FertiliserProducts[[#Headers],[Company]],1)</f>
        <v>4.0000000000000001E-3</v>
      </c>
      <c r="AE106" s="200" t="str" cm="1">
        <f t="array" ref="AE106">Common_InputFunctions.Utility_DisplayArrayInTable(Fertiliser_SourceData.Fertiliser_Products_Data1(), FertiliserProducts[[#Headers],[Company]],1)</f>
        <v>Magnesium</v>
      </c>
      <c r="AF106" s="200" cm="1">
        <f t="array" ref="AF106">Common_InputFunctions.Utility_DisplayArrayInTable(Fertiliser_SourceData.Fertiliser_Products_Data1(), FertiliserProducts[[#Headers],[Company]],1)</f>
        <v>2E-3</v>
      </c>
      <c r="AG106" s="200" t="str" cm="1">
        <f t="array" ref="AG106">Common_InputFunctions.Utility_DisplayArrayInTable(Fertiliser_SourceData.Fertiliser_Products_Data1(), FertiliserProducts[[#Headers],[Company]],1)</f>
        <v/>
      </c>
      <c r="AH106" s="200"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200" t="str" cm="1">
        <f t="array" ref="D107">Common_InputFunctions.Utility_DisplayArrayInTable(Fertiliser_SourceData.Fertiliser_Products_Data1(), FertiliserProducts[[#Headers],[Company]],1)</f>
        <v>Risso-Chemical</v>
      </c>
      <c r="E107" s="200" t="str" cm="1">
        <f t="array" ref="E107">Common_InputFunctions.Utility_DisplayArrayInTable(Fertiliser_SourceData.Fertiliser_Products_Data1(), FertiliserProducts[[#Headers],[Company]],1)</f>
        <v>Ammonium Bicarbonate</v>
      </c>
      <c r="F107" s="200" t="str" cm="1">
        <f t="array" ref="F107">Common_InputFunctions.Utility_DisplayArrayInTable(Fertiliser_SourceData.Fertiliser_Products_Data1(), FertiliserProducts[[#Headers],[Company]],1)</f>
        <v>kg</v>
      </c>
      <c r="G107" s="200" cm="1">
        <f t="array" ref="G107">Common_InputFunctions.Utility_DisplayArrayInTable(Fertiliser_SourceData.Fertiliser_Products_Data1(), FertiliserProducts[[#Headers],[Company]],1)</f>
        <v>1</v>
      </c>
      <c r="H107" s="200" t="str" cm="1">
        <f t="array" ref="H107">Common_InputFunctions.Utility_DisplayArrayInTable(Fertiliser_SourceData.Fertiliser_Products_Data1(), FertiliserProducts[[#Headers],[Company]],1)</f>
        <v/>
      </c>
      <c r="I107" s="200" t="str" cm="1">
        <f t="array" ref="I107">Common_InputFunctions.Utility_DisplayArrayInTable(Fertiliser_SourceData.Fertiliser_Products_Data1(), FertiliserProducts[[#Headers],[Company]],1)</f>
        <v/>
      </c>
      <c r="J107" s="200" t="str" cm="1">
        <f t="array" ref="J107">Common_InputFunctions.Utility_DisplayArrayInTable(Fertiliser_SourceData.Fertiliser_Products_Data1(), FertiliserProducts[[#Headers],[Company]],1)</f>
        <v>China</v>
      </c>
      <c r="K107" s="200" cm="1">
        <f t="array" ref="K107">Common_InputFunctions.Utility_DisplayArrayInTable(Fertiliser_SourceData.Fertiliser_Products_Data1(), FertiliserProducts[[#Headers],[Company]],1)</f>
        <v>17.7</v>
      </c>
      <c r="L107" s="200" t="str" cm="1">
        <f t="array" ref="L107">Common_InputFunctions.Utility_DisplayArrayInTable(Fertiliser_SourceData.Fertiliser_Products_Data1(), FertiliserProducts[[#Headers],[Company]],1)</f>
        <v/>
      </c>
      <c r="M107" s="200" t="str" cm="1">
        <f t="array" ref="M107">Common_InputFunctions.Utility_DisplayArrayInTable(Fertiliser_SourceData.Fertiliser_Products_Data1(), FertiliserProducts[[#Headers],[Company]],1)</f>
        <v/>
      </c>
      <c r="N107" s="200" t="str" cm="1">
        <f t="array" ref="N107">Common_InputFunctions.Utility_DisplayArrayInTable(Fertiliser_SourceData.Fertiliser_Products_Data1(), FertiliserProducts[[#Headers],[Company]],1)</f>
        <v/>
      </c>
      <c r="O107" s="200" t="str" cm="1">
        <f t="array" ref="O107">Common_InputFunctions.Utility_DisplayArrayInTable(Fertiliser_SourceData.Fertiliser_Products_Data1(), FertiliserProducts[[#Headers],[Company]],1)</f>
        <v>Nitrogen - Ammoniacal</v>
      </c>
      <c r="P107" s="200" cm="1">
        <f t="array" ref="P107">Common_InputFunctions.Utility_DisplayArrayInTable(Fertiliser_SourceData.Fertiliser_Products_Data1(), FertiliserProducts[[#Headers],[Company]],1)</f>
        <v>0.17699999999999999</v>
      </c>
      <c r="Q107" s="200" t="str" cm="1">
        <f t="array" ref="Q107">Common_InputFunctions.Utility_DisplayArrayInTable(Fertiliser_SourceData.Fertiliser_Products_Data1(), FertiliserProducts[[#Headers],[Company]],1)</f>
        <v/>
      </c>
      <c r="R107" s="200" t="str" cm="1">
        <f t="array" ref="R107">Common_InputFunctions.Utility_DisplayArrayInTable(Fertiliser_SourceData.Fertiliser_Products_Data1(), FertiliserProducts[[#Headers],[Company]],1)</f>
        <v/>
      </c>
      <c r="S107" s="200" t="str" cm="1">
        <f t="array" ref="S107">Common_InputFunctions.Utility_DisplayArrayInTable(Fertiliser_SourceData.Fertiliser_Products_Data1(), FertiliserProducts[[#Headers],[Company]],1)</f>
        <v/>
      </c>
      <c r="T107" s="200" t="str" cm="1">
        <f t="array" ref="T107">Common_InputFunctions.Utility_DisplayArrayInTable(Fertiliser_SourceData.Fertiliser_Products_Data1(), FertiliserProducts[[#Headers],[Company]],1)</f>
        <v/>
      </c>
      <c r="U107" s="200" t="str" cm="1">
        <f t="array" ref="U107">Common_InputFunctions.Utility_DisplayArrayInTable(Fertiliser_SourceData.Fertiliser_Products_Data1(), FertiliserProducts[[#Headers],[Company]],1)</f>
        <v/>
      </c>
      <c r="V107" s="200" t="str" cm="1">
        <f t="array" ref="V107">Common_InputFunctions.Utility_DisplayArrayInTable(Fertiliser_SourceData.Fertiliser_Products_Data1(), FertiliserProducts[[#Headers],[Company]],1)</f>
        <v/>
      </c>
      <c r="W107" s="200" t="str" cm="1">
        <f t="array" ref="W107">Common_InputFunctions.Utility_DisplayArrayInTable(Fertiliser_SourceData.Fertiliser_Products_Data1(), FertiliserProducts[[#Headers],[Company]],1)</f>
        <v/>
      </c>
      <c r="X107" s="200" t="str" cm="1">
        <f t="array" ref="X107">Common_InputFunctions.Utility_DisplayArrayInTable(Fertiliser_SourceData.Fertiliser_Products_Data1(), FertiliserProducts[[#Headers],[Company]],1)</f>
        <v/>
      </c>
      <c r="Y107" s="200" t="str" cm="1">
        <f t="array" ref="Y107">Common_InputFunctions.Utility_DisplayArrayInTable(Fertiliser_SourceData.Fertiliser_Products_Data1(), FertiliserProducts[[#Headers],[Company]],1)</f>
        <v/>
      </c>
      <c r="Z107" s="200" t="str" cm="1">
        <f t="array" ref="Z107">Common_InputFunctions.Utility_DisplayArrayInTable(Fertiliser_SourceData.Fertiliser_Products_Data1(), FertiliserProducts[[#Headers],[Company]],1)</f>
        <v/>
      </c>
      <c r="AA107" s="200" t="str" cm="1">
        <f t="array" ref="AA107">Common_InputFunctions.Utility_DisplayArrayInTable(Fertiliser_SourceData.Fertiliser_Products_Data1(), FertiliserProducts[[#Headers],[Company]],1)</f>
        <v/>
      </c>
      <c r="AB107" s="200" t="str" cm="1">
        <f t="array" ref="AB107">Common_InputFunctions.Utility_DisplayArrayInTable(Fertiliser_SourceData.Fertiliser_Products_Data1(), FertiliserProducts[[#Headers],[Company]],1)</f>
        <v/>
      </c>
      <c r="AC107" s="200" t="str" cm="1">
        <f t="array" ref="AC107">Common_InputFunctions.Utility_DisplayArrayInTable(Fertiliser_SourceData.Fertiliser_Products_Data1(), FertiliserProducts[[#Headers],[Company]],1)</f>
        <v/>
      </c>
      <c r="AD107" s="200" t="str" cm="1">
        <f t="array" ref="AD107">Common_InputFunctions.Utility_DisplayArrayInTable(Fertiliser_SourceData.Fertiliser_Products_Data1(), FertiliserProducts[[#Headers],[Company]],1)</f>
        <v/>
      </c>
      <c r="AE107" s="200" t="str" cm="1">
        <f t="array" ref="AE107">Common_InputFunctions.Utility_DisplayArrayInTable(Fertiliser_SourceData.Fertiliser_Products_Data1(), FertiliserProducts[[#Headers],[Company]],1)</f>
        <v/>
      </c>
      <c r="AF107" s="200" t="str" cm="1">
        <f t="array" ref="AF107">Common_InputFunctions.Utility_DisplayArrayInTable(Fertiliser_SourceData.Fertiliser_Products_Data1(), FertiliserProducts[[#Headers],[Company]],1)</f>
        <v/>
      </c>
      <c r="AG107" s="200" t="str" cm="1">
        <f t="array" ref="AG107">Common_InputFunctions.Utility_DisplayArrayInTable(Fertiliser_SourceData.Fertiliser_Products_Data1(), FertiliserProducts[[#Headers],[Company]],1)</f>
        <v/>
      </c>
      <c r="AH107" s="200"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200" t="str" cm="1">
        <f t="array" ref="D108">Common_InputFunctions.Utility_DisplayArrayInTable(Fertiliser_SourceData.Fertiliser_Products_Data1(), FertiliserProducts[[#Headers],[Company]],1)</f>
        <v>Risso-Chemical</v>
      </c>
      <c r="E108" s="200" t="str" cm="1">
        <f t="array" ref="E108">Common_InputFunctions.Utility_DisplayArrayInTable(Fertiliser_SourceData.Fertiliser_Products_Data1(), FertiliserProducts[[#Headers],[Company]],1)</f>
        <v>Ammonium Sulfate</v>
      </c>
      <c r="F108" s="200" t="str" cm="1">
        <f t="array" ref="F108">Common_InputFunctions.Utility_DisplayArrayInTable(Fertiliser_SourceData.Fertiliser_Products_Data1(), FertiliserProducts[[#Headers],[Company]],1)</f>
        <v>kg</v>
      </c>
      <c r="G108" s="200" cm="1">
        <f t="array" ref="G108">Common_InputFunctions.Utility_DisplayArrayInTable(Fertiliser_SourceData.Fertiliser_Products_Data1(), FertiliserProducts[[#Headers],[Company]],1)</f>
        <v>1</v>
      </c>
      <c r="H108" s="200" t="str" cm="1">
        <f t="array" ref="H108">Common_InputFunctions.Utility_DisplayArrayInTable(Fertiliser_SourceData.Fertiliser_Products_Data1(), FertiliserProducts[[#Headers],[Company]],1)</f>
        <v/>
      </c>
      <c r="I108" s="200" t="str" cm="1">
        <f t="array" ref="I108">Common_InputFunctions.Utility_DisplayArrayInTable(Fertiliser_SourceData.Fertiliser_Products_Data1(), FertiliserProducts[[#Headers],[Company]],1)</f>
        <v/>
      </c>
      <c r="J108" s="200" t="str" cm="1">
        <f t="array" ref="J108">Common_InputFunctions.Utility_DisplayArrayInTable(Fertiliser_SourceData.Fertiliser_Products_Data1(), FertiliserProducts[[#Headers],[Company]],1)</f>
        <v>China</v>
      </c>
      <c r="K108" s="200" cm="1">
        <f t="array" ref="K108">Common_InputFunctions.Utility_DisplayArrayInTable(Fertiliser_SourceData.Fertiliser_Products_Data1(), FertiliserProducts[[#Headers],[Company]],1)</f>
        <v>21</v>
      </c>
      <c r="L108" s="200" t="str" cm="1">
        <f t="array" ref="L108">Common_InputFunctions.Utility_DisplayArrayInTable(Fertiliser_SourceData.Fertiliser_Products_Data1(), FertiliserProducts[[#Headers],[Company]],1)</f>
        <v/>
      </c>
      <c r="M108" s="200" t="str" cm="1">
        <f t="array" ref="M108">Common_InputFunctions.Utility_DisplayArrayInTable(Fertiliser_SourceData.Fertiliser_Products_Data1(), FertiliserProducts[[#Headers],[Company]],1)</f>
        <v/>
      </c>
      <c r="N108" s="200" cm="1">
        <f t="array" ref="N108">Common_InputFunctions.Utility_DisplayArrayInTable(Fertiliser_SourceData.Fertiliser_Products_Data1(), FertiliserProducts[[#Headers],[Company]],1)</f>
        <v>24</v>
      </c>
      <c r="O108" s="200" t="str" cm="1">
        <f t="array" ref="O108">Common_InputFunctions.Utility_DisplayArrayInTable(Fertiliser_SourceData.Fertiliser_Products_Data1(), FertiliserProducts[[#Headers],[Company]],1)</f>
        <v>Sulfur - Generic</v>
      </c>
      <c r="P108" s="200" cm="1">
        <f t="array" ref="P108">Common_InputFunctions.Utility_DisplayArrayInTable(Fertiliser_SourceData.Fertiliser_Products_Data1(), FertiliserProducts[[#Headers],[Company]],1)</f>
        <v>0.24</v>
      </c>
      <c r="Q108" s="200" t="str" cm="1">
        <f t="array" ref="Q108">Common_InputFunctions.Utility_DisplayArrayInTable(Fertiliser_SourceData.Fertiliser_Products_Data1(), FertiliserProducts[[#Headers],[Company]],1)</f>
        <v>Nitrogen - Ammoniacal</v>
      </c>
      <c r="R108" s="200" cm="1">
        <f t="array" ref="R108">Common_InputFunctions.Utility_DisplayArrayInTable(Fertiliser_SourceData.Fertiliser_Products_Data1(), FertiliserProducts[[#Headers],[Company]],1)</f>
        <v>0.21</v>
      </c>
      <c r="S108" s="200" t="str" cm="1">
        <f t="array" ref="S108">Common_InputFunctions.Utility_DisplayArrayInTable(Fertiliser_SourceData.Fertiliser_Products_Data1(), FertiliserProducts[[#Headers],[Company]],1)</f>
        <v/>
      </c>
      <c r="T108" s="200" t="str" cm="1">
        <f t="array" ref="T108">Common_InputFunctions.Utility_DisplayArrayInTable(Fertiliser_SourceData.Fertiliser_Products_Data1(), FertiliserProducts[[#Headers],[Company]],1)</f>
        <v/>
      </c>
      <c r="U108" s="200" t="str" cm="1">
        <f t="array" ref="U108">Common_InputFunctions.Utility_DisplayArrayInTable(Fertiliser_SourceData.Fertiliser_Products_Data1(), FertiliserProducts[[#Headers],[Company]],1)</f>
        <v/>
      </c>
      <c r="V108" s="200" t="str" cm="1">
        <f t="array" ref="V108">Common_InputFunctions.Utility_DisplayArrayInTable(Fertiliser_SourceData.Fertiliser_Products_Data1(), FertiliserProducts[[#Headers],[Company]],1)</f>
        <v/>
      </c>
      <c r="W108" s="200" t="str" cm="1">
        <f t="array" ref="W108">Common_InputFunctions.Utility_DisplayArrayInTable(Fertiliser_SourceData.Fertiliser_Products_Data1(), FertiliserProducts[[#Headers],[Company]],1)</f>
        <v/>
      </c>
      <c r="X108" s="200" t="str" cm="1">
        <f t="array" ref="X108">Common_InputFunctions.Utility_DisplayArrayInTable(Fertiliser_SourceData.Fertiliser_Products_Data1(), FertiliserProducts[[#Headers],[Company]],1)</f>
        <v/>
      </c>
      <c r="Y108" s="200" t="str" cm="1">
        <f t="array" ref="Y108">Common_InputFunctions.Utility_DisplayArrayInTable(Fertiliser_SourceData.Fertiliser_Products_Data1(), FertiliserProducts[[#Headers],[Company]],1)</f>
        <v/>
      </c>
      <c r="Z108" s="200" t="str" cm="1">
        <f t="array" ref="Z108">Common_InputFunctions.Utility_DisplayArrayInTable(Fertiliser_SourceData.Fertiliser_Products_Data1(), FertiliserProducts[[#Headers],[Company]],1)</f>
        <v/>
      </c>
      <c r="AA108" s="200" t="str" cm="1">
        <f t="array" ref="AA108">Common_InputFunctions.Utility_DisplayArrayInTable(Fertiliser_SourceData.Fertiliser_Products_Data1(), FertiliserProducts[[#Headers],[Company]],1)</f>
        <v/>
      </c>
      <c r="AB108" s="200" t="str" cm="1">
        <f t="array" ref="AB108">Common_InputFunctions.Utility_DisplayArrayInTable(Fertiliser_SourceData.Fertiliser_Products_Data1(), FertiliserProducts[[#Headers],[Company]],1)</f>
        <v/>
      </c>
      <c r="AC108" s="200" t="str" cm="1">
        <f t="array" ref="AC108">Common_InputFunctions.Utility_DisplayArrayInTable(Fertiliser_SourceData.Fertiliser_Products_Data1(), FertiliserProducts[[#Headers],[Company]],1)</f>
        <v/>
      </c>
      <c r="AD108" s="200" t="str" cm="1">
        <f t="array" ref="AD108">Common_InputFunctions.Utility_DisplayArrayInTable(Fertiliser_SourceData.Fertiliser_Products_Data1(), FertiliserProducts[[#Headers],[Company]],1)</f>
        <v/>
      </c>
      <c r="AE108" s="200" t="str" cm="1">
        <f t="array" ref="AE108">Common_InputFunctions.Utility_DisplayArrayInTable(Fertiliser_SourceData.Fertiliser_Products_Data1(), FertiliserProducts[[#Headers],[Company]],1)</f>
        <v/>
      </c>
      <c r="AF108" s="200" t="str" cm="1">
        <f t="array" ref="AF108">Common_InputFunctions.Utility_DisplayArrayInTable(Fertiliser_SourceData.Fertiliser_Products_Data1(), FertiliserProducts[[#Headers],[Company]],1)</f>
        <v/>
      </c>
      <c r="AG108" s="200" t="str" cm="1">
        <f t="array" ref="AG108">Common_InputFunctions.Utility_DisplayArrayInTable(Fertiliser_SourceData.Fertiliser_Products_Data1(), FertiliserProducts[[#Headers],[Company]],1)</f>
        <v/>
      </c>
      <c r="AH108" s="200"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200" t="str" cm="1">
        <f t="array" ref="D109">Common_InputFunctions.Utility_DisplayArrayInTable(Fertiliser_SourceData.Fertiliser_Products_Data1(), FertiliserProducts[[#Headers],[Company]],1)</f>
        <v>Ravensdown</v>
      </c>
      <c r="E109" s="200" t="str" cm="1">
        <f t="array" ref="E109">Common_InputFunctions.Utility_DisplayArrayInTable(Fertiliser_SourceData.Fertiliser_Products_Data1(), FertiliserProducts[[#Headers],[Company]],1)</f>
        <v>Ammonium Sulphate - Granular</v>
      </c>
      <c r="F109" s="200" t="str" cm="1">
        <f t="array" ref="F109">Common_InputFunctions.Utility_DisplayArrayInTable(Fertiliser_SourceData.Fertiliser_Products_Data1(), FertiliserProducts[[#Headers],[Company]],1)</f>
        <v>kg</v>
      </c>
      <c r="G109" s="200" cm="1">
        <f t="array" ref="G109">Common_InputFunctions.Utility_DisplayArrayInTable(Fertiliser_SourceData.Fertiliser_Products_Data1(), FertiliserProducts[[#Headers],[Company]],1)</f>
        <v>1</v>
      </c>
      <c r="H109" s="200" t="str" cm="1">
        <f t="array" ref="H109">Common_InputFunctions.Utility_DisplayArrayInTable(Fertiliser_SourceData.Fertiliser_Products_Data1(), FertiliserProducts[[#Headers],[Company]],1)</f>
        <v/>
      </c>
      <c r="I109" s="200" t="str" cm="1">
        <f t="array" ref="I109">Common_InputFunctions.Utility_DisplayArrayInTable(Fertiliser_SourceData.Fertiliser_Products_Data1(), FertiliserProducts[[#Headers],[Company]],1)</f>
        <v/>
      </c>
      <c r="J109" s="200" t="str" cm="1">
        <f t="array" ref="J109">Common_InputFunctions.Utility_DisplayArrayInTable(Fertiliser_SourceData.Fertiliser_Products_Data1(), FertiliserProducts[[#Headers],[Company]],1)</f>
        <v/>
      </c>
      <c r="K109" s="200" cm="1">
        <f t="array" ref="K109">Common_InputFunctions.Utility_DisplayArrayInTable(Fertiliser_SourceData.Fertiliser_Products_Data1(), FertiliserProducts[[#Headers],[Company]],1)</f>
        <v>21</v>
      </c>
      <c r="L109" s="200" t="str" cm="1">
        <f t="array" ref="L109">Common_InputFunctions.Utility_DisplayArrayInTable(Fertiliser_SourceData.Fertiliser_Products_Data1(), FertiliserProducts[[#Headers],[Company]],1)</f>
        <v/>
      </c>
      <c r="M109" s="200" t="str" cm="1">
        <f t="array" ref="M109">Common_InputFunctions.Utility_DisplayArrayInTable(Fertiliser_SourceData.Fertiliser_Products_Data1(), FertiliserProducts[[#Headers],[Company]],1)</f>
        <v/>
      </c>
      <c r="N109" s="200" cm="1">
        <f t="array" ref="N109">Common_InputFunctions.Utility_DisplayArrayInTable(Fertiliser_SourceData.Fertiliser_Products_Data1(), FertiliserProducts[[#Headers],[Company]],1)</f>
        <v>24</v>
      </c>
      <c r="O109" s="200" t="str" cm="1">
        <f t="array" ref="O109">Common_InputFunctions.Utility_DisplayArrayInTable(Fertiliser_SourceData.Fertiliser_Products_Data1(), FertiliserProducts[[#Headers],[Company]],1)</f>
        <v>Sulphate of ammonia (SOA)</v>
      </c>
      <c r="P109" s="200" cm="1">
        <f t="array" ref="P109">Common_InputFunctions.Utility_DisplayArrayInTable(Fertiliser_SourceData.Fertiliser_Products_Data1(), FertiliserProducts[[#Headers],[Company]],1)</f>
        <v>1</v>
      </c>
      <c r="Q109" s="200" t="str" cm="1">
        <f t="array" ref="Q109">Common_InputFunctions.Utility_DisplayArrayInTable(Fertiliser_SourceData.Fertiliser_Products_Data1(), FertiliserProducts[[#Headers],[Company]],1)</f>
        <v/>
      </c>
      <c r="R109" s="200" t="str" cm="1">
        <f t="array" ref="R109">Common_InputFunctions.Utility_DisplayArrayInTable(Fertiliser_SourceData.Fertiliser_Products_Data1(), FertiliserProducts[[#Headers],[Company]],1)</f>
        <v/>
      </c>
      <c r="S109" s="200" t="str" cm="1">
        <f t="array" ref="S109">Common_InputFunctions.Utility_DisplayArrayInTable(Fertiliser_SourceData.Fertiliser_Products_Data1(), FertiliserProducts[[#Headers],[Company]],1)</f>
        <v/>
      </c>
      <c r="T109" s="200" t="str" cm="1">
        <f t="array" ref="T109">Common_InputFunctions.Utility_DisplayArrayInTable(Fertiliser_SourceData.Fertiliser_Products_Data1(), FertiliserProducts[[#Headers],[Company]],1)</f>
        <v/>
      </c>
      <c r="U109" s="200" t="str" cm="1">
        <f t="array" ref="U109">Common_InputFunctions.Utility_DisplayArrayInTable(Fertiliser_SourceData.Fertiliser_Products_Data1(), FertiliserProducts[[#Headers],[Company]],1)</f>
        <v/>
      </c>
      <c r="V109" s="200" t="str" cm="1">
        <f t="array" ref="V109">Common_InputFunctions.Utility_DisplayArrayInTable(Fertiliser_SourceData.Fertiliser_Products_Data1(), FertiliserProducts[[#Headers],[Company]],1)</f>
        <v/>
      </c>
      <c r="W109" s="200" t="str" cm="1">
        <f t="array" ref="W109">Common_InputFunctions.Utility_DisplayArrayInTable(Fertiliser_SourceData.Fertiliser_Products_Data1(), FertiliserProducts[[#Headers],[Company]],1)</f>
        <v/>
      </c>
      <c r="X109" s="200" t="str" cm="1">
        <f t="array" ref="X109">Common_InputFunctions.Utility_DisplayArrayInTable(Fertiliser_SourceData.Fertiliser_Products_Data1(), FertiliserProducts[[#Headers],[Company]],1)</f>
        <v/>
      </c>
      <c r="Y109" s="200" t="str" cm="1">
        <f t="array" ref="Y109">Common_InputFunctions.Utility_DisplayArrayInTable(Fertiliser_SourceData.Fertiliser_Products_Data1(), FertiliserProducts[[#Headers],[Company]],1)</f>
        <v/>
      </c>
      <c r="Z109" s="200" t="str" cm="1">
        <f t="array" ref="Z109">Common_InputFunctions.Utility_DisplayArrayInTable(Fertiliser_SourceData.Fertiliser_Products_Data1(), FertiliserProducts[[#Headers],[Company]],1)</f>
        <v/>
      </c>
      <c r="AA109" s="200" t="str" cm="1">
        <f t="array" ref="AA109">Common_InputFunctions.Utility_DisplayArrayInTable(Fertiliser_SourceData.Fertiliser_Products_Data1(), FertiliserProducts[[#Headers],[Company]],1)</f>
        <v/>
      </c>
      <c r="AB109" s="200" t="str" cm="1">
        <f t="array" ref="AB109">Common_InputFunctions.Utility_DisplayArrayInTable(Fertiliser_SourceData.Fertiliser_Products_Data1(), FertiliserProducts[[#Headers],[Company]],1)</f>
        <v/>
      </c>
      <c r="AC109" s="200" t="str" cm="1">
        <f t="array" ref="AC109">Common_InputFunctions.Utility_DisplayArrayInTable(Fertiliser_SourceData.Fertiliser_Products_Data1(), FertiliserProducts[[#Headers],[Company]],1)</f>
        <v/>
      </c>
      <c r="AD109" s="200" t="str" cm="1">
        <f t="array" ref="AD109">Common_InputFunctions.Utility_DisplayArrayInTable(Fertiliser_SourceData.Fertiliser_Products_Data1(), FertiliserProducts[[#Headers],[Company]],1)</f>
        <v/>
      </c>
      <c r="AE109" s="200" t="str" cm="1">
        <f t="array" ref="AE109">Common_InputFunctions.Utility_DisplayArrayInTable(Fertiliser_SourceData.Fertiliser_Products_Data1(), FertiliserProducts[[#Headers],[Company]],1)</f>
        <v/>
      </c>
      <c r="AF109" s="200" t="str" cm="1">
        <f t="array" ref="AF109">Common_InputFunctions.Utility_DisplayArrayInTable(Fertiliser_SourceData.Fertiliser_Products_Data1(), FertiliserProducts[[#Headers],[Company]],1)</f>
        <v/>
      </c>
      <c r="AG109" s="200" t="str" cm="1">
        <f t="array" ref="AG109">Common_InputFunctions.Utility_DisplayArrayInTable(Fertiliser_SourceData.Fertiliser_Products_Data1(), FertiliserProducts[[#Headers],[Company]],1)</f>
        <v/>
      </c>
      <c r="AH109" s="200"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200" t="str" cm="1">
        <f t="array" ref="D110">Common_InputFunctions.Utility_DisplayArrayInTable(Fertiliser_SourceData.Fertiliser_Products_Data1(), FertiliserProducts[[#Headers],[Company]],1)</f>
        <v>Impact Fertilisers</v>
      </c>
      <c r="E110" s="200" t="str" cm="1">
        <f t="array" ref="E110">Common_InputFunctions.Utility_DisplayArrayInTable(Fertiliser_SourceData.Fertiliser_Products_Data1(), FertiliserProducts[[#Headers],[Company]],1)</f>
        <v>Di-Ammonium Phosphate (DAP)</v>
      </c>
      <c r="F110" s="200" t="str" cm="1">
        <f t="array" ref="F110">Common_InputFunctions.Utility_DisplayArrayInTable(Fertiliser_SourceData.Fertiliser_Products_Data1(), FertiliserProducts[[#Headers],[Company]],1)</f>
        <v>kg</v>
      </c>
      <c r="G110" s="200" cm="1">
        <f t="array" ref="G110">Common_InputFunctions.Utility_DisplayArrayInTable(Fertiliser_SourceData.Fertiliser_Products_Data1(), FertiliserProducts[[#Headers],[Company]],1)</f>
        <v>1</v>
      </c>
      <c r="H110" s="200" t="str" cm="1">
        <f t="array" ref="H110">Common_InputFunctions.Utility_DisplayArrayInTable(Fertiliser_SourceData.Fertiliser_Products_Data1(), FertiliserProducts[[#Headers],[Company]],1)</f>
        <v/>
      </c>
      <c r="I110" s="200" t="str" cm="1">
        <f t="array" ref="I110">Common_InputFunctions.Utility_DisplayArrayInTable(Fertiliser_SourceData.Fertiliser_Products_Data1(), FertiliserProducts[[#Headers],[Company]],1)</f>
        <v/>
      </c>
      <c r="J110" s="200" t="str" cm="1">
        <f t="array" ref="J110">Common_InputFunctions.Utility_DisplayArrayInTable(Fertiliser_SourceData.Fertiliser_Products_Data1(), FertiliserProducts[[#Headers],[Company]],1)</f>
        <v/>
      </c>
      <c r="K110" s="200" cm="1">
        <f t="array" ref="K110">Common_InputFunctions.Utility_DisplayArrayInTable(Fertiliser_SourceData.Fertiliser_Products_Data1(), FertiliserProducts[[#Headers],[Company]],1)</f>
        <v>18</v>
      </c>
      <c r="L110" s="200" cm="1">
        <f t="array" ref="L110">Common_InputFunctions.Utility_DisplayArrayInTable(Fertiliser_SourceData.Fertiliser_Products_Data1(), FertiliserProducts[[#Headers],[Company]],1)</f>
        <v>20</v>
      </c>
      <c r="M110" s="200" t="str" cm="1">
        <f t="array" ref="M110">Common_InputFunctions.Utility_DisplayArrayInTable(Fertiliser_SourceData.Fertiliser_Products_Data1(), FertiliserProducts[[#Headers],[Company]],1)</f>
        <v/>
      </c>
      <c r="N110" s="200" t="str" cm="1">
        <f t="array" ref="N110">Common_InputFunctions.Utility_DisplayArrayInTable(Fertiliser_SourceData.Fertiliser_Products_Data1(), FertiliserProducts[[#Headers],[Company]],1)</f>
        <v/>
      </c>
      <c r="O110" s="200" t="str" cm="1">
        <f t="array" ref="O110">Common_InputFunctions.Utility_DisplayArrayInTable(Fertiliser_SourceData.Fertiliser_Products_Data1(), FertiliserProducts[[#Headers],[Company]],1)</f>
        <v>Diammonium phosphate (DAP)</v>
      </c>
      <c r="P110" s="200" cm="1">
        <f t="array" ref="P110">Common_InputFunctions.Utility_DisplayArrayInTable(Fertiliser_SourceData.Fertiliser_Products_Data1(), FertiliserProducts[[#Headers],[Company]],1)</f>
        <v>1</v>
      </c>
      <c r="Q110" s="200" t="str" cm="1">
        <f t="array" ref="Q110">Common_InputFunctions.Utility_DisplayArrayInTable(Fertiliser_SourceData.Fertiliser_Products_Data1(), FertiliserProducts[[#Headers],[Company]],1)</f>
        <v/>
      </c>
      <c r="R110" s="200" t="str" cm="1">
        <f t="array" ref="R110">Common_InputFunctions.Utility_DisplayArrayInTable(Fertiliser_SourceData.Fertiliser_Products_Data1(), FertiliserProducts[[#Headers],[Company]],1)</f>
        <v/>
      </c>
      <c r="S110" s="200" t="str" cm="1">
        <f t="array" ref="S110">Common_InputFunctions.Utility_DisplayArrayInTable(Fertiliser_SourceData.Fertiliser_Products_Data1(), FertiliserProducts[[#Headers],[Company]],1)</f>
        <v/>
      </c>
      <c r="T110" s="200" t="str" cm="1">
        <f t="array" ref="T110">Common_InputFunctions.Utility_DisplayArrayInTable(Fertiliser_SourceData.Fertiliser_Products_Data1(), FertiliserProducts[[#Headers],[Company]],1)</f>
        <v/>
      </c>
      <c r="U110" s="200" t="str" cm="1">
        <f t="array" ref="U110">Common_InputFunctions.Utility_DisplayArrayInTable(Fertiliser_SourceData.Fertiliser_Products_Data1(), FertiliserProducts[[#Headers],[Company]],1)</f>
        <v/>
      </c>
      <c r="V110" s="200" t="str" cm="1">
        <f t="array" ref="V110">Common_InputFunctions.Utility_DisplayArrayInTable(Fertiliser_SourceData.Fertiliser_Products_Data1(), FertiliserProducts[[#Headers],[Company]],1)</f>
        <v/>
      </c>
      <c r="W110" s="200" t="str" cm="1">
        <f t="array" ref="W110">Common_InputFunctions.Utility_DisplayArrayInTable(Fertiliser_SourceData.Fertiliser_Products_Data1(), FertiliserProducts[[#Headers],[Company]],1)</f>
        <v/>
      </c>
      <c r="X110" s="200" t="str" cm="1">
        <f t="array" ref="X110">Common_InputFunctions.Utility_DisplayArrayInTable(Fertiliser_SourceData.Fertiliser_Products_Data1(), FertiliserProducts[[#Headers],[Company]],1)</f>
        <v/>
      </c>
      <c r="Y110" s="200" t="str" cm="1">
        <f t="array" ref="Y110">Common_InputFunctions.Utility_DisplayArrayInTable(Fertiliser_SourceData.Fertiliser_Products_Data1(), FertiliserProducts[[#Headers],[Company]],1)</f>
        <v/>
      </c>
      <c r="Z110" s="200" t="str" cm="1">
        <f t="array" ref="Z110">Common_InputFunctions.Utility_DisplayArrayInTable(Fertiliser_SourceData.Fertiliser_Products_Data1(), FertiliserProducts[[#Headers],[Company]],1)</f>
        <v/>
      </c>
      <c r="AA110" s="200" t="str" cm="1">
        <f t="array" ref="AA110">Common_InputFunctions.Utility_DisplayArrayInTable(Fertiliser_SourceData.Fertiliser_Products_Data1(), FertiliserProducts[[#Headers],[Company]],1)</f>
        <v/>
      </c>
      <c r="AB110" s="200" t="str" cm="1">
        <f t="array" ref="AB110">Common_InputFunctions.Utility_DisplayArrayInTable(Fertiliser_SourceData.Fertiliser_Products_Data1(), FertiliserProducts[[#Headers],[Company]],1)</f>
        <v/>
      </c>
      <c r="AC110" s="200" t="str" cm="1">
        <f t="array" ref="AC110">Common_InputFunctions.Utility_DisplayArrayInTable(Fertiliser_SourceData.Fertiliser_Products_Data1(), FertiliserProducts[[#Headers],[Company]],1)</f>
        <v/>
      </c>
      <c r="AD110" s="200" t="str" cm="1">
        <f t="array" ref="AD110">Common_InputFunctions.Utility_DisplayArrayInTable(Fertiliser_SourceData.Fertiliser_Products_Data1(), FertiliserProducts[[#Headers],[Company]],1)</f>
        <v/>
      </c>
      <c r="AE110" s="200" t="str" cm="1">
        <f t="array" ref="AE110">Common_InputFunctions.Utility_DisplayArrayInTable(Fertiliser_SourceData.Fertiliser_Products_Data1(), FertiliserProducts[[#Headers],[Company]],1)</f>
        <v/>
      </c>
      <c r="AF110" s="200" t="str" cm="1">
        <f t="array" ref="AF110">Common_InputFunctions.Utility_DisplayArrayInTable(Fertiliser_SourceData.Fertiliser_Products_Data1(), FertiliserProducts[[#Headers],[Company]],1)</f>
        <v/>
      </c>
      <c r="AG110" s="200" t="str" cm="1">
        <f t="array" ref="AG110">Common_InputFunctions.Utility_DisplayArrayInTable(Fertiliser_SourceData.Fertiliser_Products_Data1(), FertiliserProducts[[#Headers],[Company]],1)</f>
        <v/>
      </c>
      <c r="AH110" s="200"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200" t="str" cm="1">
        <f t="array" ref="D111">Common_InputFunctions.Utility_DisplayArrayInTable(Fertiliser_SourceData.Fertiliser_Products_Data1(), FertiliserProducts[[#Headers],[Company]],1)</f>
        <v>Incitec Pivot Fertilisers</v>
      </c>
      <c r="E111" s="200" t="str" cm="1">
        <f t="array" ref="E111">Common_InputFunctions.Utility_DisplayArrayInTable(Fertiliser_SourceData.Fertiliser_Products_Data1(), FertiliserProducts[[#Headers],[Company]],1)</f>
        <v>Basalt BooSSta</v>
      </c>
      <c r="F111" s="200" t="str" cm="1">
        <f t="array" ref="F111">Common_InputFunctions.Utility_DisplayArrayInTable(Fertiliser_SourceData.Fertiliser_Products_Data1(), FertiliserProducts[[#Headers],[Company]],1)</f>
        <v>kg</v>
      </c>
      <c r="G111" s="200" cm="1">
        <f t="array" ref="G111">Common_InputFunctions.Utility_DisplayArrayInTable(Fertiliser_SourceData.Fertiliser_Products_Data1(), FertiliserProducts[[#Headers],[Company]],1)</f>
        <v>1</v>
      </c>
      <c r="H111" s="200" t="str" cm="1">
        <f t="array" ref="H111">Common_InputFunctions.Utility_DisplayArrayInTable(Fertiliser_SourceData.Fertiliser_Products_Data1(), FertiliserProducts[[#Headers],[Company]],1)</f>
        <v/>
      </c>
      <c r="I111" s="200" t="str" cm="1">
        <f t="array" ref="I111">Common_InputFunctions.Utility_DisplayArrayInTable(Fertiliser_SourceData.Fertiliser_Products_Data1(), FertiliserProducts[[#Headers],[Company]],1)</f>
        <v/>
      </c>
      <c r="J111" s="200" t="str" cm="1">
        <f t="array" ref="J111">Common_InputFunctions.Utility_DisplayArrayInTable(Fertiliser_SourceData.Fertiliser_Products_Data1(), FertiliserProducts[[#Headers],[Company]],1)</f>
        <v/>
      </c>
      <c r="K111" s="200" cm="1">
        <f t="array" ref="K111">Common_InputFunctions.Utility_DisplayArrayInTable(Fertiliser_SourceData.Fertiliser_Products_Data1(), FertiliserProducts[[#Headers],[Company]],1)</f>
        <v>8</v>
      </c>
      <c r="L111" s="200" cm="1">
        <f t="array" ref="L111">Common_InputFunctions.Utility_DisplayArrayInTable(Fertiliser_SourceData.Fertiliser_Products_Data1(), FertiliserProducts[[#Headers],[Company]],1)</f>
        <v>14</v>
      </c>
      <c r="M111" s="200" t="str" cm="1">
        <f t="array" ref="M111">Common_InputFunctions.Utility_DisplayArrayInTable(Fertiliser_SourceData.Fertiliser_Products_Data1(), FertiliserProducts[[#Headers],[Company]],1)</f>
        <v/>
      </c>
      <c r="N111" s="200" cm="1">
        <f t="array" ref="N111">Common_InputFunctions.Utility_DisplayArrayInTable(Fertiliser_SourceData.Fertiliser_Products_Data1(), FertiliserProducts[[#Headers],[Company]],1)</f>
        <v>27.6</v>
      </c>
      <c r="O111" s="200" t="str" cm="1">
        <f t="array" ref="O111">Common_InputFunctions.Utility_DisplayArrayInTable(Fertiliser_SourceData.Fertiliser_Products_Data1(), FertiliserProducts[[#Headers],[Company]],1)</f>
        <v>Sulfur - Generic</v>
      </c>
      <c r="P111" s="200" cm="1">
        <f t="array" ref="P111">Common_InputFunctions.Utility_DisplayArrayInTable(Fertiliser_SourceData.Fertiliser_Products_Data1(), FertiliserProducts[[#Headers],[Company]],1)</f>
        <v>0.27600000000000002</v>
      </c>
      <c r="Q111" s="200" t="str" cm="1">
        <f t="array" ref="Q111">Common_InputFunctions.Utility_DisplayArrayInTable(Fertiliser_SourceData.Fertiliser_Products_Data1(), FertiliserProducts[[#Headers],[Company]],1)</f>
        <v>Phosphorus - Generic</v>
      </c>
      <c r="R111" s="200" cm="1">
        <f t="array" ref="R111">Common_InputFunctions.Utility_DisplayArrayInTable(Fertiliser_SourceData.Fertiliser_Products_Data1(), FertiliserProducts[[#Headers],[Company]],1)</f>
        <v>0.14000000000000001</v>
      </c>
      <c r="S111" s="200" t="str" cm="1">
        <f t="array" ref="S111">Common_InputFunctions.Utility_DisplayArrayInTable(Fertiliser_SourceData.Fertiliser_Products_Data1(), FertiliserProducts[[#Headers],[Company]],1)</f>
        <v>Nitrogen - Generic</v>
      </c>
      <c r="T111" s="200" cm="1">
        <f t="array" ref="T111">Common_InputFunctions.Utility_DisplayArrayInTable(Fertiliser_SourceData.Fertiliser_Products_Data1(), FertiliserProducts[[#Headers],[Company]],1)</f>
        <v>0.08</v>
      </c>
      <c r="U111" s="200" t="str" cm="1">
        <f t="array" ref="U111">Common_InputFunctions.Utility_DisplayArrayInTable(Fertiliser_SourceData.Fertiliser_Products_Data1(), FertiliserProducts[[#Headers],[Company]],1)</f>
        <v>Fluoride</v>
      </c>
      <c r="V111" s="200" cm="1">
        <f t="array" ref="V111">Common_InputFunctions.Utility_DisplayArrayInTable(Fertiliser_SourceData.Fertiliser_Products_Data1(), FertiliserProducts[[#Headers],[Company]],1)</f>
        <v>2.4E-2</v>
      </c>
      <c r="W111" s="200" t="str" cm="1">
        <f t="array" ref="W111">Common_InputFunctions.Utility_DisplayArrayInTable(Fertiliser_SourceData.Fertiliser_Products_Data1(), FertiliserProducts[[#Headers],[Company]],1)</f>
        <v/>
      </c>
      <c r="X111" s="200" t="str" cm="1">
        <f t="array" ref="X111">Common_InputFunctions.Utility_DisplayArrayInTable(Fertiliser_SourceData.Fertiliser_Products_Data1(), FertiliserProducts[[#Headers],[Company]],1)</f>
        <v/>
      </c>
      <c r="Y111" s="200" t="str" cm="1">
        <f t="array" ref="Y111">Common_InputFunctions.Utility_DisplayArrayInTable(Fertiliser_SourceData.Fertiliser_Products_Data1(), FertiliserProducts[[#Headers],[Company]],1)</f>
        <v/>
      </c>
      <c r="Z111" s="200" t="str" cm="1">
        <f t="array" ref="Z111">Common_InputFunctions.Utility_DisplayArrayInTable(Fertiliser_SourceData.Fertiliser_Products_Data1(), FertiliserProducts[[#Headers],[Company]],1)</f>
        <v/>
      </c>
      <c r="AA111" s="200" t="str" cm="1">
        <f t="array" ref="AA111">Common_InputFunctions.Utility_DisplayArrayInTable(Fertiliser_SourceData.Fertiliser_Products_Data1(), FertiliserProducts[[#Headers],[Company]],1)</f>
        <v/>
      </c>
      <c r="AB111" s="200" t="str" cm="1">
        <f t="array" ref="AB111">Common_InputFunctions.Utility_DisplayArrayInTable(Fertiliser_SourceData.Fertiliser_Products_Data1(), FertiliserProducts[[#Headers],[Company]],1)</f>
        <v/>
      </c>
      <c r="AC111" s="200" t="str" cm="1">
        <f t="array" ref="AC111">Common_InputFunctions.Utility_DisplayArrayInTable(Fertiliser_SourceData.Fertiliser_Products_Data1(), FertiliserProducts[[#Headers],[Company]],1)</f>
        <v/>
      </c>
      <c r="AD111" s="200" t="str" cm="1">
        <f t="array" ref="AD111">Common_InputFunctions.Utility_DisplayArrayInTable(Fertiliser_SourceData.Fertiliser_Products_Data1(), FertiliserProducts[[#Headers],[Company]],1)</f>
        <v/>
      </c>
      <c r="AE111" s="200" t="str" cm="1">
        <f t="array" ref="AE111">Common_InputFunctions.Utility_DisplayArrayInTable(Fertiliser_SourceData.Fertiliser_Products_Data1(), FertiliserProducts[[#Headers],[Company]],1)</f>
        <v/>
      </c>
      <c r="AF111" s="200" t="str" cm="1">
        <f t="array" ref="AF111">Common_InputFunctions.Utility_DisplayArrayInTable(Fertiliser_SourceData.Fertiliser_Products_Data1(), FertiliserProducts[[#Headers],[Company]],1)</f>
        <v/>
      </c>
      <c r="AG111" s="200" t="str" cm="1">
        <f t="array" ref="AG111">Common_InputFunctions.Utility_DisplayArrayInTable(Fertiliser_SourceData.Fertiliser_Products_Data1(), FertiliserProducts[[#Headers],[Company]],1)</f>
        <v/>
      </c>
      <c r="AH111" s="200"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200" t="str" cm="1">
        <f t="array" ref="D112">Common_InputFunctions.Utility_DisplayArrayInTable(Fertiliser_SourceData.Fertiliser_Products_Data1(), FertiliserProducts[[#Headers],[Company]],1)</f>
        <v>Summit Fertilizers</v>
      </c>
      <c r="E112" s="200" t="str" cm="1">
        <f t="array" ref="E112">Common_InputFunctions.Utility_DisplayArrayInTable(Fertiliser_SourceData.Fertiliser_Products_Data1(), FertiliserProducts[[#Headers],[Company]],1)</f>
        <v>DAPSZC</v>
      </c>
      <c r="F112" s="200" t="str" cm="1">
        <f t="array" ref="F112">Common_InputFunctions.Utility_DisplayArrayInTable(Fertiliser_SourceData.Fertiliser_Products_Data1(), FertiliserProducts[[#Headers],[Company]],1)</f>
        <v>kg</v>
      </c>
      <c r="G112" s="200" cm="1">
        <f t="array" ref="G112">Common_InputFunctions.Utility_DisplayArrayInTable(Fertiliser_SourceData.Fertiliser_Products_Data1(), FertiliserProducts[[#Headers],[Company]],1)</f>
        <v>1</v>
      </c>
      <c r="H112" s="200" t="str" cm="1">
        <f t="array" ref="H112">Common_InputFunctions.Utility_DisplayArrayInTable(Fertiliser_SourceData.Fertiliser_Products_Data1(), FertiliserProducts[[#Headers],[Company]],1)</f>
        <v/>
      </c>
      <c r="I112" s="200" t="str" cm="1">
        <f t="array" ref="I112">Common_InputFunctions.Utility_DisplayArrayInTable(Fertiliser_SourceData.Fertiliser_Products_Data1(), FertiliserProducts[[#Headers],[Company]],1)</f>
        <v/>
      </c>
      <c r="J112" s="200" t="str" cm="1">
        <f t="array" ref="J112">Common_InputFunctions.Utility_DisplayArrayInTable(Fertiliser_SourceData.Fertiliser_Products_Data1(), FertiliserProducts[[#Headers],[Company]],1)</f>
        <v/>
      </c>
      <c r="K112" s="200" cm="1">
        <f t="array" ref="K112">Common_InputFunctions.Utility_DisplayArrayInTable(Fertiliser_SourceData.Fertiliser_Products_Data1(), FertiliserProducts[[#Headers],[Company]],1)</f>
        <v>16.899999999999999</v>
      </c>
      <c r="L112" s="200" cm="1">
        <f t="array" ref="L112">Common_InputFunctions.Utility_DisplayArrayInTable(Fertiliser_SourceData.Fertiliser_Products_Data1(), FertiliserProducts[[#Headers],[Company]],1)</f>
        <v>18.2</v>
      </c>
      <c r="M112" s="200" t="str" cm="1">
        <f t="array" ref="M112">Common_InputFunctions.Utility_DisplayArrayInTable(Fertiliser_SourceData.Fertiliser_Products_Data1(), FertiliserProducts[[#Headers],[Company]],1)</f>
        <v/>
      </c>
      <c r="N112" s="200" cm="1">
        <f t="array" ref="N112">Common_InputFunctions.Utility_DisplayArrayInTable(Fertiliser_SourceData.Fertiliser_Products_Data1(), FertiliserProducts[[#Headers],[Company]],1)</f>
        <v>8</v>
      </c>
      <c r="O112" s="200" t="str" cm="1">
        <f t="array" ref="O112">Common_InputFunctions.Utility_DisplayArrayInTable(Fertiliser_SourceData.Fertiliser_Products_Data1(), FertiliserProducts[[#Headers],[Company]],1)</f>
        <v>Phosphorus - Generic</v>
      </c>
      <c r="P112" s="200" cm="1">
        <f t="array" ref="P112">Common_InputFunctions.Utility_DisplayArrayInTable(Fertiliser_SourceData.Fertiliser_Products_Data1(), FertiliserProducts[[#Headers],[Company]],1)</f>
        <v>0.182</v>
      </c>
      <c r="Q112" s="200" t="str" cm="1">
        <f t="array" ref="Q112">Common_InputFunctions.Utility_DisplayArrayInTable(Fertiliser_SourceData.Fertiliser_Products_Data1(), FertiliserProducts[[#Headers],[Company]],1)</f>
        <v>Nitrogen - Generic</v>
      </c>
      <c r="R112" s="200" cm="1">
        <f t="array" ref="R112">Common_InputFunctions.Utility_DisplayArrayInTable(Fertiliser_SourceData.Fertiliser_Products_Data1(), FertiliserProducts[[#Headers],[Company]],1)</f>
        <v>0.16900000000000001</v>
      </c>
      <c r="S112" s="200" t="str" cm="1">
        <f t="array" ref="S112">Common_InputFunctions.Utility_DisplayArrayInTable(Fertiliser_SourceData.Fertiliser_Products_Data1(), FertiliserProducts[[#Headers],[Company]],1)</f>
        <v>Sulfur - Generic</v>
      </c>
      <c r="T112" s="200" cm="1">
        <f t="array" ref="T112">Common_InputFunctions.Utility_DisplayArrayInTable(Fertiliser_SourceData.Fertiliser_Products_Data1(), FertiliserProducts[[#Headers],[Company]],1)</f>
        <v>0.08</v>
      </c>
      <c r="U112" s="200" t="str" cm="1">
        <f t="array" ref="U112">Common_InputFunctions.Utility_DisplayArrayInTable(Fertiliser_SourceData.Fertiliser_Products_Data1(), FertiliserProducts[[#Headers],[Company]],1)</f>
        <v>Zinc</v>
      </c>
      <c r="V112" s="200" cm="1">
        <f t="array" ref="V112">Common_InputFunctions.Utility_DisplayArrayInTable(Fertiliser_SourceData.Fertiliser_Products_Data1(), FertiliserProducts[[#Headers],[Company]],1)</f>
        <v>2E-3</v>
      </c>
      <c r="W112" s="200" t="str" cm="1">
        <f t="array" ref="W112">Common_InputFunctions.Utility_DisplayArrayInTable(Fertiliser_SourceData.Fertiliser_Products_Data1(), FertiliserProducts[[#Headers],[Company]],1)</f>
        <v>Copper</v>
      </c>
      <c r="X112" s="200" cm="1">
        <f t="array" ref="X112">Common_InputFunctions.Utility_DisplayArrayInTable(Fertiliser_SourceData.Fertiliser_Products_Data1(), FertiliserProducts[[#Headers],[Company]],1)</f>
        <v>1E-3</v>
      </c>
      <c r="Y112" s="200" t="str" cm="1">
        <f t="array" ref="Y112">Common_InputFunctions.Utility_DisplayArrayInTable(Fertiliser_SourceData.Fertiliser_Products_Data1(), FertiliserProducts[[#Headers],[Company]],1)</f>
        <v/>
      </c>
      <c r="Z112" s="200" t="str" cm="1">
        <f t="array" ref="Z112">Common_InputFunctions.Utility_DisplayArrayInTable(Fertiliser_SourceData.Fertiliser_Products_Data1(), FertiliserProducts[[#Headers],[Company]],1)</f>
        <v/>
      </c>
      <c r="AA112" s="200" t="str" cm="1">
        <f t="array" ref="AA112">Common_InputFunctions.Utility_DisplayArrayInTable(Fertiliser_SourceData.Fertiliser_Products_Data1(), FertiliserProducts[[#Headers],[Company]],1)</f>
        <v/>
      </c>
      <c r="AB112" s="200" t="str" cm="1">
        <f t="array" ref="AB112">Common_InputFunctions.Utility_DisplayArrayInTable(Fertiliser_SourceData.Fertiliser_Products_Data1(), FertiliserProducts[[#Headers],[Company]],1)</f>
        <v/>
      </c>
      <c r="AC112" s="200" t="str" cm="1">
        <f t="array" ref="AC112">Common_InputFunctions.Utility_DisplayArrayInTable(Fertiliser_SourceData.Fertiliser_Products_Data1(), FertiliserProducts[[#Headers],[Company]],1)</f>
        <v/>
      </c>
      <c r="AD112" s="200" t="str" cm="1">
        <f t="array" ref="AD112">Common_InputFunctions.Utility_DisplayArrayInTable(Fertiliser_SourceData.Fertiliser_Products_Data1(), FertiliserProducts[[#Headers],[Company]],1)</f>
        <v/>
      </c>
      <c r="AE112" s="200" t="str" cm="1">
        <f t="array" ref="AE112">Common_InputFunctions.Utility_DisplayArrayInTable(Fertiliser_SourceData.Fertiliser_Products_Data1(), FertiliserProducts[[#Headers],[Company]],1)</f>
        <v/>
      </c>
      <c r="AF112" s="200" t="str" cm="1">
        <f t="array" ref="AF112">Common_InputFunctions.Utility_DisplayArrayInTable(Fertiliser_SourceData.Fertiliser_Products_Data1(), FertiliserProducts[[#Headers],[Company]],1)</f>
        <v/>
      </c>
      <c r="AG112" s="200" t="str" cm="1">
        <f t="array" ref="AG112">Common_InputFunctions.Utility_DisplayArrayInTable(Fertiliser_SourceData.Fertiliser_Products_Data1(), FertiliserProducts[[#Headers],[Company]],1)</f>
        <v/>
      </c>
      <c r="AH112" s="200"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200" t="str" cm="1">
        <f t="array" ref="D113">Common_InputFunctions.Utility_DisplayArrayInTable(Fertiliser_SourceData.Fertiliser_Products_Data1(), FertiliserProducts[[#Headers],[Company]],1)</f>
        <v>Incitec Pivot Fertilisers</v>
      </c>
      <c r="E113" s="200" t="str" cm="1">
        <f t="array" ref="E113">Common_InputFunctions.Utility_DisplayArrayInTable(Fertiliser_SourceData.Fertiliser_Products_Data1(), FertiliserProducts[[#Headers],[Company]],1)</f>
        <v>Easy N</v>
      </c>
      <c r="F113" s="200" t="str" cm="1">
        <f t="array" ref="F113">Common_InputFunctions.Utility_DisplayArrayInTable(Fertiliser_SourceData.Fertiliser_Products_Data1(), FertiliserProducts[[#Headers],[Company]],1)</f>
        <v>L</v>
      </c>
      <c r="G113" s="200" cm="1">
        <f t="array" ref="G113">Common_InputFunctions.Utility_DisplayArrayInTable(Fertiliser_SourceData.Fertiliser_Products_Data1(), FertiliserProducts[[#Headers],[Company]],1)</f>
        <v>1.32</v>
      </c>
      <c r="H113" s="200" t="str" cm="1">
        <f t="array" ref="H113">Common_InputFunctions.Utility_DisplayArrayInTable(Fertiliser_SourceData.Fertiliser_Products_Data1(), FertiliserProducts[[#Headers],[Company]],1)</f>
        <v/>
      </c>
      <c r="I113" s="200" t="str" cm="1">
        <f t="array" ref="I113">Common_InputFunctions.Utility_DisplayArrayInTable(Fertiliser_SourceData.Fertiliser_Products_Data1(), FertiliserProducts[[#Headers],[Company]],1)</f>
        <v/>
      </c>
      <c r="J113" s="200" t="str" cm="1">
        <f t="array" ref="J113">Common_InputFunctions.Utility_DisplayArrayInTable(Fertiliser_SourceData.Fertiliser_Products_Data1(), FertiliserProducts[[#Headers],[Company]],1)</f>
        <v/>
      </c>
      <c r="K113" s="200" cm="1">
        <f t="array" ref="K113">Common_InputFunctions.Utility_DisplayArrayInTable(Fertiliser_SourceData.Fertiliser_Products_Data1(), FertiliserProducts[[#Headers],[Company]],1)</f>
        <v>42.5</v>
      </c>
      <c r="L113" s="200" t="str" cm="1">
        <f t="array" ref="L113">Common_InputFunctions.Utility_DisplayArrayInTable(Fertiliser_SourceData.Fertiliser_Products_Data1(), FertiliserProducts[[#Headers],[Company]],1)</f>
        <v/>
      </c>
      <c r="M113" s="200" t="str" cm="1">
        <f t="array" ref="M113">Common_InputFunctions.Utility_DisplayArrayInTable(Fertiliser_SourceData.Fertiliser_Products_Data1(), FertiliserProducts[[#Headers],[Company]],1)</f>
        <v/>
      </c>
      <c r="N113" s="200" t="str" cm="1">
        <f t="array" ref="N113">Common_InputFunctions.Utility_DisplayArrayInTable(Fertiliser_SourceData.Fertiliser_Products_Data1(), FertiliserProducts[[#Headers],[Company]],1)</f>
        <v/>
      </c>
      <c r="O113" s="200" t="str" cm="1">
        <f t="array" ref="O113">Common_InputFunctions.Utility_DisplayArrayInTable(Fertiliser_SourceData.Fertiliser_Products_Data1(), FertiliserProducts[[#Headers],[Company]],1)</f>
        <v>Urea</v>
      </c>
      <c r="P113" s="200" cm="1">
        <f t="array" ref="P113">Common_InputFunctions.Utility_DisplayArrayInTable(Fertiliser_SourceData.Fertiliser_Products_Data1(), FertiliserProducts[[#Headers],[Company]],1)</f>
        <v>0.467391</v>
      </c>
      <c r="Q113" s="200" t="str" cm="1">
        <f t="array" ref="Q113">Common_InputFunctions.Utility_DisplayArrayInTable(Fertiliser_SourceData.Fertiliser_Products_Data1(), FertiliserProducts[[#Headers],[Company]],1)</f>
        <v>Nitrogen - Nitrate</v>
      </c>
      <c r="R113" s="200" cm="1">
        <f t="array" ref="R113">Common_InputFunctions.Utility_DisplayArrayInTable(Fertiliser_SourceData.Fertiliser_Products_Data1(), FertiliserProducts[[#Headers],[Company]],1)</f>
        <v>0.105</v>
      </c>
      <c r="S113" s="200" t="str" cm="1">
        <f t="array" ref="S113">Common_InputFunctions.Utility_DisplayArrayInTable(Fertiliser_SourceData.Fertiliser_Products_Data1(), FertiliserProducts[[#Headers],[Company]],1)</f>
        <v>Nitrogen - Ammoniacal</v>
      </c>
      <c r="T113" s="200" cm="1">
        <f t="array" ref="T113">Common_InputFunctions.Utility_DisplayArrayInTable(Fertiliser_SourceData.Fertiliser_Products_Data1(), FertiliserProducts[[#Headers],[Company]],1)</f>
        <v>0.105</v>
      </c>
      <c r="U113" s="200" t="str" cm="1">
        <f t="array" ref="U113">Common_InputFunctions.Utility_DisplayArrayInTable(Fertiliser_SourceData.Fertiliser_Products_Data1(), FertiliserProducts[[#Headers],[Company]],1)</f>
        <v>Biuret</v>
      </c>
      <c r="V113" s="200" cm="1">
        <f t="array" ref="V113">Common_InputFunctions.Utility_DisplayArrayInTable(Fertiliser_SourceData.Fertiliser_Products_Data1(), FertiliserProducts[[#Headers],[Company]],1)</f>
        <v>6.0000000000000001E-3</v>
      </c>
      <c r="W113" s="200" t="str" cm="1">
        <f t="array" ref="W113">Common_InputFunctions.Utility_DisplayArrayInTable(Fertiliser_SourceData.Fertiliser_Products_Data1(), FertiliserProducts[[#Headers],[Company]],1)</f>
        <v/>
      </c>
      <c r="X113" s="200" t="str" cm="1">
        <f t="array" ref="X113">Common_InputFunctions.Utility_DisplayArrayInTable(Fertiliser_SourceData.Fertiliser_Products_Data1(), FertiliserProducts[[#Headers],[Company]],1)</f>
        <v/>
      </c>
      <c r="Y113" s="200" t="str" cm="1">
        <f t="array" ref="Y113">Common_InputFunctions.Utility_DisplayArrayInTable(Fertiliser_SourceData.Fertiliser_Products_Data1(), FertiliserProducts[[#Headers],[Company]],1)</f>
        <v/>
      </c>
      <c r="Z113" s="200" t="str" cm="1">
        <f t="array" ref="Z113">Common_InputFunctions.Utility_DisplayArrayInTable(Fertiliser_SourceData.Fertiliser_Products_Data1(), FertiliserProducts[[#Headers],[Company]],1)</f>
        <v/>
      </c>
      <c r="AA113" s="200" t="str" cm="1">
        <f t="array" ref="AA113">Common_InputFunctions.Utility_DisplayArrayInTable(Fertiliser_SourceData.Fertiliser_Products_Data1(), FertiliserProducts[[#Headers],[Company]],1)</f>
        <v/>
      </c>
      <c r="AB113" s="200" t="str" cm="1">
        <f t="array" ref="AB113">Common_InputFunctions.Utility_DisplayArrayInTable(Fertiliser_SourceData.Fertiliser_Products_Data1(), FertiliserProducts[[#Headers],[Company]],1)</f>
        <v/>
      </c>
      <c r="AC113" s="200" t="str" cm="1">
        <f t="array" ref="AC113">Common_InputFunctions.Utility_DisplayArrayInTable(Fertiliser_SourceData.Fertiliser_Products_Data1(), FertiliserProducts[[#Headers],[Company]],1)</f>
        <v/>
      </c>
      <c r="AD113" s="200" t="str" cm="1">
        <f t="array" ref="AD113">Common_InputFunctions.Utility_DisplayArrayInTable(Fertiliser_SourceData.Fertiliser_Products_Data1(), FertiliserProducts[[#Headers],[Company]],1)</f>
        <v/>
      </c>
      <c r="AE113" s="200" t="str" cm="1">
        <f t="array" ref="AE113">Common_InputFunctions.Utility_DisplayArrayInTable(Fertiliser_SourceData.Fertiliser_Products_Data1(), FertiliserProducts[[#Headers],[Company]],1)</f>
        <v/>
      </c>
      <c r="AF113" s="200" t="str" cm="1">
        <f t="array" ref="AF113">Common_InputFunctions.Utility_DisplayArrayInTable(Fertiliser_SourceData.Fertiliser_Products_Data1(), FertiliserProducts[[#Headers],[Company]],1)</f>
        <v/>
      </c>
      <c r="AG113" s="200" t="str" cm="1">
        <f t="array" ref="AG113">Common_InputFunctions.Utility_DisplayArrayInTable(Fertiliser_SourceData.Fertiliser_Products_Data1(), FertiliserProducts[[#Headers],[Company]],1)</f>
        <v/>
      </c>
      <c r="AH113" s="200"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200" t="str" cm="1">
        <f t="array" ref="D114">Common_InputFunctions.Utility_DisplayArrayInTable(Fertiliser_SourceData.Fertiliser_Products_Data1(), FertiliserProducts[[#Headers],[Company]],1)</f>
        <v>Risso-Chemical</v>
      </c>
      <c r="E114" s="200" t="str" cm="1">
        <f t="array" ref="E114">Common_InputFunctions.Utility_DisplayArrayInTable(Fertiliser_SourceData.Fertiliser_Products_Data1(), FertiliserProducts[[#Headers],[Company]],1)</f>
        <v>Calcium Ammonium nitrate</v>
      </c>
      <c r="F114" s="200" t="str" cm="1">
        <f t="array" ref="F114">Common_InputFunctions.Utility_DisplayArrayInTable(Fertiliser_SourceData.Fertiliser_Products_Data1(), FertiliserProducts[[#Headers],[Company]],1)</f>
        <v>kg</v>
      </c>
      <c r="G114" s="200" cm="1">
        <f t="array" ref="G114">Common_InputFunctions.Utility_DisplayArrayInTable(Fertiliser_SourceData.Fertiliser_Products_Data1(), FertiliserProducts[[#Headers],[Company]],1)</f>
        <v>1</v>
      </c>
      <c r="H114" s="200" t="str" cm="1">
        <f t="array" ref="H114">Common_InputFunctions.Utility_DisplayArrayInTable(Fertiliser_SourceData.Fertiliser_Products_Data1(), FertiliserProducts[[#Headers],[Company]],1)</f>
        <v/>
      </c>
      <c r="I114" s="200" t="str" cm="1">
        <f t="array" ref="I114">Common_InputFunctions.Utility_DisplayArrayInTable(Fertiliser_SourceData.Fertiliser_Products_Data1(), FertiliserProducts[[#Headers],[Company]],1)</f>
        <v/>
      </c>
      <c r="J114" s="200" t="str" cm="1">
        <f t="array" ref="J114">Common_InputFunctions.Utility_DisplayArrayInTable(Fertiliser_SourceData.Fertiliser_Products_Data1(), FertiliserProducts[[#Headers],[Company]],1)</f>
        <v>China</v>
      </c>
      <c r="K114" s="200" cm="1">
        <f t="array" ref="K114">Common_InputFunctions.Utility_DisplayArrayInTable(Fertiliser_SourceData.Fertiliser_Products_Data1(), FertiliserProducts[[#Headers],[Company]],1)</f>
        <v>40.5</v>
      </c>
      <c r="L114" s="200" t="str" cm="1">
        <f t="array" ref="L114">Common_InputFunctions.Utility_DisplayArrayInTable(Fertiliser_SourceData.Fertiliser_Products_Data1(), FertiliserProducts[[#Headers],[Company]],1)</f>
        <v/>
      </c>
      <c r="M114" s="200" t="str" cm="1">
        <f t="array" ref="M114">Common_InputFunctions.Utility_DisplayArrayInTable(Fertiliser_SourceData.Fertiliser_Products_Data1(), FertiliserProducts[[#Headers],[Company]],1)</f>
        <v/>
      </c>
      <c r="N114" s="200" t="str" cm="1">
        <f t="array" ref="N114">Common_InputFunctions.Utility_DisplayArrayInTable(Fertiliser_SourceData.Fertiliser_Products_Data1(), FertiliserProducts[[#Headers],[Company]],1)</f>
        <v/>
      </c>
      <c r="O114" s="200" t="str" cm="1">
        <f t="array" ref="O114">Common_InputFunctions.Utility_DisplayArrayInTable(Fertiliser_SourceData.Fertiliser_Products_Data1(), FertiliserProducts[[#Headers],[Company]],1)</f>
        <v>Nitrogen - Ammoniacal</v>
      </c>
      <c r="P114" s="200" cm="1">
        <f t="array" ref="P114">Common_InputFunctions.Utility_DisplayArrayInTable(Fertiliser_SourceData.Fertiliser_Products_Data1(), FertiliserProducts[[#Headers],[Company]],1)</f>
        <v>0.27</v>
      </c>
      <c r="Q114" s="200" t="str" cm="1">
        <f t="array" ref="Q114">Common_InputFunctions.Utility_DisplayArrayInTable(Fertiliser_SourceData.Fertiliser_Products_Data1(), FertiliserProducts[[#Headers],[Company]],1)</f>
        <v>Nitrogen - Nitrate</v>
      </c>
      <c r="R114" s="200" cm="1">
        <f t="array" ref="R114">Common_InputFunctions.Utility_DisplayArrayInTable(Fertiliser_SourceData.Fertiliser_Products_Data1(), FertiliserProducts[[#Headers],[Company]],1)</f>
        <v>0.13500000000000001</v>
      </c>
      <c r="S114" s="200" t="str" cm="1">
        <f t="array" ref="S114">Common_InputFunctions.Utility_DisplayArrayInTable(Fertiliser_SourceData.Fertiliser_Products_Data1(), FertiliserProducts[[#Headers],[Company]],1)</f>
        <v>Calcium</v>
      </c>
      <c r="T114" s="200" cm="1">
        <f t="array" ref="T114">Common_InputFunctions.Utility_DisplayArrayInTable(Fertiliser_SourceData.Fertiliser_Products_Data1(), FertiliserProducts[[#Headers],[Company]],1)</f>
        <v>0.12</v>
      </c>
      <c r="U114" s="200" t="str" cm="1">
        <f t="array" ref="U114">Common_InputFunctions.Utility_DisplayArrayInTable(Fertiliser_SourceData.Fertiliser_Products_Data1(), FertiliserProducts[[#Headers],[Company]],1)</f>
        <v/>
      </c>
      <c r="V114" s="200" t="str" cm="1">
        <f t="array" ref="V114">Common_InputFunctions.Utility_DisplayArrayInTable(Fertiliser_SourceData.Fertiliser_Products_Data1(), FertiliserProducts[[#Headers],[Company]],1)</f>
        <v/>
      </c>
      <c r="W114" s="200" t="str" cm="1">
        <f t="array" ref="W114">Common_InputFunctions.Utility_DisplayArrayInTable(Fertiliser_SourceData.Fertiliser_Products_Data1(), FertiliserProducts[[#Headers],[Company]],1)</f>
        <v/>
      </c>
      <c r="X114" s="200" t="str" cm="1">
        <f t="array" ref="X114">Common_InputFunctions.Utility_DisplayArrayInTable(Fertiliser_SourceData.Fertiliser_Products_Data1(), FertiliserProducts[[#Headers],[Company]],1)</f>
        <v/>
      </c>
      <c r="Y114" s="200" t="str" cm="1">
        <f t="array" ref="Y114">Common_InputFunctions.Utility_DisplayArrayInTable(Fertiliser_SourceData.Fertiliser_Products_Data1(), FertiliserProducts[[#Headers],[Company]],1)</f>
        <v/>
      </c>
      <c r="Z114" s="200" t="str" cm="1">
        <f t="array" ref="Z114">Common_InputFunctions.Utility_DisplayArrayInTable(Fertiliser_SourceData.Fertiliser_Products_Data1(), FertiliserProducts[[#Headers],[Company]],1)</f>
        <v/>
      </c>
      <c r="AA114" s="200" t="str" cm="1">
        <f t="array" ref="AA114">Common_InputFunctions.Utility_DisplayArrayInTable(Fertiliser_SourceData.Fertiliser_Products_Data1(), FertiliserProducts[[#Headers],[Company]],1)</f>
        <v/>
      </c>
      <c r="AB114" s="200" t="str" cm="1">
        <f t="array" ref="AB114">Common_InputFunctions.Utility_DisplayArrayInTable(Fertiliser_SourceData.Fertiliser_Products_Data1(), FertiliserProducts[[#Headers],[Company]],1)</f>
        <v/>
      </c>
      <c r="AC114" s="200" t="str" cm="1">
        <f t="array" ref="AC114">Common_InputFunctions.Utility_DisplayArrayInTable(Fertiliser_SourceData.Fertiliser_Products_Data1(), FertiliserProducts[[#Headers],[Company]],1)</f>
        <v/>
      </c>
      <c r="AD114" s="200" t="str" cm="1">
        <f t="array" ref="AD114">Common_InputFunctions.Utility_DisplayArrayInTable(Fertiliser_SourceData.Fertiliser_Products_Data1(), FertiliserProducts[[#Headers],[Company]],1)</f>
        <v/>
      </c>
      <c r="AE114" s="200" t="str" cm="1">
        <f t="array" ref="AE114">Common_InputFunctions.Utility_DisplayArrayInTable(Fertiliser_SourceData.Fertiliser_Products_Data1(), FertiliserProducts[[#Headers],[Company]],1)</f>
        <v/>
      </c>
      <c r="AF114" s="200" t="str" cm="1">
        <f t="array" ref="AF114">Common_InputFunctions.Utility_DisplayArrayInTable(Fertiliser_SourceData.Fertiliser_Products_Data1(), FertiliserProducts[[#Headers],[Company]],1)</f>
        <v/>
      </c>
      <c r="AG114" s="200" t="str" cm="1">
        <f t="array" ref="AG114">Common_InputFunctions.Utility_DisplayArrayInTable(Fertiliser_SourceData.Fertiliser_Products_Data1(), FertiliserProducts[[#Headers],[Company]],1)</f>
        <v/>
      </c>
      <c r="AH114" s="200"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200" t="str" cm="1">
        <f t="array" ref="D115">Common_InputFunctions.Utility_DisplayArrayInTable(Fertiliser_SourceData.Fertiliser_Products_Data1(), FertiliserProducts[[#Headers],[Company]],1)</f>
        <v>SL Tec</v>
      </c>
      <c r="E115" s="200" t="str" cm="1">
        <f t="array" ref="E115">Common_InputFunctions.Utility_DisplayArrayInTable(Fertiliser_SourceData.Fertiliser_Products_Data1(), FertiliserProducts[[#Headers],[Company]],1)</f>
        <v>CellCAL Plus</v>
      </c>
      <c r="F115" s="200" t="str" cm="1">
        <f t="array" ref="F115">Common_InputFunctions.Utility_DisplayArrayInTable(Fertiliser_SourceData.Fertiliser_Products_Data1(), FertiliserProducts[[#Headers],[Company]],1)</f>
        <v>L</v>
      </c>
      <c r="G115" s="200" cm="1">
        <f t="array" ref="G115">Common_InputFunctions.Utility_DisplayArrayInTable(Fertiliser_SourceData.Fertiliser_Products_Data1(), FertiliserProducts[[#Headers],[Company]],1)</f>
        <v>1.1379999999999999</v>
      </c>
      <c r="H115" s="200" t="str" cm="1">
        <f t="array" ref="H115">Common_InputFunctions.Utility_DisplayArrayInTable(Fertiliser_SourceData.Fertiliser_Products_Data1(), FertiliserProducts[[#Headers],[Company]],1)</f>
        <v/>
      </c>
      <c r="I115" s="200" t="str" cm="1">
        <f t="array" ref="I115">Common_InputFunctions.Utility_DisplayArrayInTable(Fertiliser_SourceData.Fertiliser_Products_Data1(), FertiliserProducts[[#Headers],[Company]],1)</f>
        <v/>
      </c>
      <c r="J115" s="200" t="str" cm="1">
        <f t="array" ref="J115">Common_InputFunctions.Utility_DisplayArrayInTable(Fertiliser_SourceData.Fertiliser_Products_Data1(), FertiliserProducts[[#Headers],[Company]],1)</f>
        <v/>
      </c>
      <c r="K115" s="200" t="str" cm="1">
        <f t="array" ref="K115">Common_InputFunctions.Utility_DisplayArrayInTable(Fertiliser_SourceData.Fertiliser_Products_Data1(), FertiliserProducts[[#Headers],[Company]],1)</f>
        <v/>
      </c>
      <c r="L115" s="200" t="str" cm="1">
        <f t="array" ref="L115">Common_InputFunctions.Utility_DisplayArrayInTable(Fertiliser_SourceData.Fertiliser_Products_Data1(), FertiliserProducts[[#Headers],[Company]],1)</f>
        <v/>
      </c>
      <c r="M115" s="200" t="str" cm="1">
        <f t="array" ref="M115">Common_InputFunctions.Utility_DisplayArrayInTable(Fertiliser_SourceData.Fertiliser_Products_Data1(), FertiliserProducts[[#Headers],[Company]],1)</f>
        <v/>
      </c>
      <c r="N115" s="200" t="str" cm="1">
        <f t="array" ref="N115">Common_InputFunctions.Utility_DisplayArrayInTable(Fertiliser_SourceData.Fertiliser_Products_Data1(), FertiliserProducts[[#Headers],[Company]],1)</f>
        <v/>
      </c>
      <c r="O115" s="200" t="str" cm="1">
        <f t="array" ref="O115">Common_InputFunctions.Utility_DisplayArrayInTable(Fertiliser_SourceData.Fertiliser_Products_Data1(), FertiliserProducts[[#Headers],[Company]],1)</f>
        <v>Calcium</v>
      </c>
      <c r="P115" s="200" cm="1">
        <f t="array" ref="P115">Common_InputFunctions.Utility_DisplayArrayInTable(Fertiliser_SourceData.Fertiliser_Products_Data1(), FertiliserProducts[[#Headers],[Company]],1)</f>
        <v>5.8999999999999997E-2</v>
      </c>
      <c r="Q115" s="200" t="str" cm="1">
        <f t="array" ref="Q115">Common_InputFunctions.Utility_DisplayArrayInTable(Fertiliser_SourceData.Fertiliser_Products_Data1(), FertiliserProducts[[#Headers],[Company]],1)</f>
        <v>Copper</v>
      </c>
      <c r="R115" s="200" cm="1">
        <f t="array" ref="R115">Common_InputFunctions.Utility_DisplayArrayInTable(Fertiliser_SourceData.Fertiliser_Products_Data1(), FertiliserProducts[[#Headers],[Company]],1)</f>
        <v>3.0000000000000001E-3</v>
      </c>
      <c r="S115" s="200" t="str" cm="1">
        <f t="array" ref="S115">Common_InputFunctions.Utility_DisplayArrayInTable(Fertiliser_SourceData.Fertiliser_Products_Data1(), FertiliserProducts[[#Headers],[Company]],1)</f>
        <v>Boron</v>
      </c>
      <c r="T115" s="200" cm="1">
        <f t="array" ref="T115">Common_InputFunctions.Utility_DisplayArrayInTable(Fertiliser_SourceData.Fertiliser_Products_Data1(), FertiliserProducts[[#Headers],[Company]],1)</f>
        <v>1E-3</v>
      </c>
      <c r="U115" s="200" t="str" cm="1">
        <f t="array" ref="U115">Common_InputFunctions.Utility_DisplayArrayInTable(Fertiliser_SourceData.Fertiliser_Products_Data1(), FertiliserProducts[[#Headers],[Company]],1)</f>
        <v/>
      </c>
      <c r="V115" s="200" t="str" cm="1">
        <f t="array" ref="V115">Common_InputFunctions.Utility_DisplayArrayInTable(Fertiliser_SourceData.Fertiliser_Products_Data1(), FertiliserProducts[[#Headers],[Company]],1)</f>
        <v/>
      </c>
      <c r="W115" s="200" t="str" cm="1">
        <f t="array" ref="W115">Common_InputFunctions.Utility_DisplayArrayInTable(Fertiliser_SourceData.Fertiliser_Products_Data1(), FertiliserProducts[[#Headers],[Company]],1)</f>
        <v/>
      </c>
      <c r="X115" s="200" t="str" cm="1">
        <f t="array" ref="X115">Common_InputFunctions.Utility_DisplayArrayInTable(Fertiliser_SourceData.Fertiliser_Products_Data1(), FertiliserProducts[[#Headers],[Company]],1)</f>
        <v/>
      </c>
      <c r="Y115" s="200" t="str" cm="1">
        <f t="array" ref="Y115">Common_InputFunctions.Utility_DisplayArrayInTable(Fertiliser_SourceData.Fertiliser_Products_Data1(), FertiliserProducts[[#Headers],[Company]],1)</f>
        <v/>
      </c>
      <c r="Z115" s="200" t="str" cm="1">
        <f t="array" ref="Z115">Common_InputFunctions.Utility_DisplayArrayInTable(Fertiliser_SourceData.Fertiliser_Products_Data1(), FertiliserProducts[[#Headers],[Company]],1)</f>
        <v/>
      </c>
      <c r="AA115" s="200" t="str" cm="1">
        <f t="array" ref="AA115">Common_InputFunctions.Utility_DisplayArrayInTable(Fertiliser_SourceData.Fertiliser_Products_Data1(), FertiliserProducts[[#Headers],[Company]],1)</f>
        <v/>
      </c>
      <c r="AB115" s="200" t="str" cm="1">
        <f t="array" ref="AB115">Common_InputFunctions.Utility_DisplayArrayInTable(Fertiliser_SourceData.Fertiliser_Products_Data1(), FertiliserProducts[[#Headers],[Company]],1)</f>
        <v/>
      </c>
      <c r="AC115" s="200" t="str" cm="1">
        <f t="array" ref="AC115">Common_InputFunctions.Utility_DisplayArrayInTable(Fertiliser_SourceData.Fertiliser_Products_Data1(), FertiliserProducts[[#Headers],[Company]],1)</f>
        <v/>
      </c>
      <c r="AD115" s="200" t="str" cm="1">
        <f t="array" ref="AD115">Common_InputFunctions.Utility_DisplayArrayInTable(Fertiliser_SourceData.Fertiliser_Products_Data1(), FertiliserProducts[[#Headers],[Company]],1)</f>
        <v/>
      </c>
      <c r="AE115" s="200" t="str" cm="1">
        <f t="array" ref="AE115">Common_InputFunctions.Utility_DisplayArrayInTable(Fertiliser_SourceData.Fertiliser_Products_Data1(), FertiliserProducts[[#Headers],[Company]],1)</f>
        <v/>
      </c>
      <c r="AF115" s="200" t="str" cm="1">
        <f t="array" ref="AF115">Common_InputFunctions.Utility_DisplayArrayInTable(Fertiliser_SourceData.Fertiliser_Products_Data1(), FertiliserProducts[[#Headers],[Company]],1)</f>
        <v/>
      </c>
      <c r="AG115" s="200" t="str" cm="1">
        <f t="array" ref="AG115">Common_InputFunctions.Utility_DisplayArrayInTable(Fertiliser_SourceData.Fertiliser_Products_Data1(), FertiliserProducts[[#Headers],[Company]],1)</f>
        <v/>
      </c>
      <c r="AH115" s="200"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200" t="str" cm="1">
        <f t="array" ref="D116">Common_InputFunctions.Utility_DisplayArrayInTable(Fertiliser_SourceData.Fertiliser_Products_Data1(), FertiliserProducts[[#Headers],[Company]],1)</f>
        <v>Incitec Pivot Fertilisers</v>
      </c>
      <c r="E116" s="200" t="str" cm="1">
        <f t="array" ref="E116">Common_InputFunctions.Utility_DisplayArrayInTable(Fertiliser_SourceData.Fertiliser_Products_Data1(), FertiliserProducts[[#Headers],[Company]],1)</f>
        <v>CK55</v>
      </c>
      <c r="F116" s="200" t="str" cm="1">
        <f t="array" ref="F116">Common_InputFunctions.Utility_DisplayArrayInTable(Fertiliser_SourceData.Fertiliser_Products_Data1(), FertiliserProducts[[#Headers],[Company]],1)</f>
        <v>kg</v>
      </c>
      <c r="G116" s="200" cm="1">
        <f t="array" ref="G116">Common_InputFunctions.Utility_DisplayArrayInTable(Fertiliser_SourceData.Fertiliser_Products_Data1(), FertiliserProducts[[#Headers],[Company]],1)</f>
        <v>1</v>
      </c>
      <c r="H116" s="200" t="str" cm="1">
        <f t="array" ref="H116">Common_InputFunctions.Utility_DisplayArrayInTable(Fertiliser_SourceData.Fertiliser_Products_Data1(), FertiliserProducts[[#Headers],[Company]],1)</f>
        <v/>
      </c>
      <c r="I116" s="200" t="str" cm="1">
        <f t="array" ref="I116">Common_InputFunctions.Utility_DisplayArrayInTable(Fertiliser_SourceData.Fertiliser_Products_Data1(), FertiliserProducts[[#Headers],[Company]],1)</f>
        <v/>
      </c>
      <c r="J116" s="200" t="str" cm="1">
        <f t="array" ref="J116">Common_InputFunctions.Utility_DisplayArrayInTable(Fertiliser_SourceData.Fertiliser_Products_Data1(), FertiliserProducts[[#Headers],[Company]],1)</f>
        <v/>
      </c>
      <c r="K116" s="200" cm="1">
        <f t="array" ref="K116">Common_InputFunctions.Utility_DisplayArrayInTable(Fertiliser_SourceData.Fertiliser_Products_Data1(), FertiliserProducts[[#Headers],[Company]],1)</f>
        <v>13.5</v>
      </c>
      <c r="L116" s="200" cm="1">
        <f t="array" ref="L116">Common_InputFunctions.Utility_DisplayArrayInTable(Fertiliser_SourceData.Fertiliser_Products_Data1(), FertiliserProducts[[#Headers],[Company]],1)</f>
        <v>15</v>
      </c>
      <c r="M116" s="200" cm="1">
        <f t="array" ref="M116">Common_InputFunctions.Utility_DisplayArrayInTable(Fertiliser_SourceData.Fertiliser_Products_Data1(), FertiliserProducts[[#Headers],[Company]],1)</f>
        <v>6.25</v>
      </c>
      <c r="N116" s="200" cm="1">
        <f t="array" ref="N116">Common_InputFunctions.Utility_DisplayArrayInTable(Fertiliser_SourceData.Fertiliser_Products_Data1(), FertiliserProducts[[#Headers],[Company]],1)</f>
        <v>1.2</v>
      </c>
      <c r="O116" s="200" t="str" cm="1">
        <f t="array" ref="O116">Common_InputFunctions.Utility_DisplayArrayInTable(Fertiliser_SourceData.Fertiliser_Products_Data1(), FertiliserProducts[[#Headers],[Company]],1)</f>
        <v>Phosphorus - Generic</v>
      </c>
      <c r="P116" s="200" cm="1">
        <f t="array" ref="P116">Common_InputFunctions.Utility_DisplayArrayInTable(Fertiliser_SourceData.Fertiliser_Products_Data1(), FertiliserProducts[[#Headers],[Company]],1)</f>
        <v>0.15</v>
      </c>
      <c r="Q116" s="200" t="str" cm="1">
        <f t="array" ref="Q116">Common_InputFunctions.Utility_DisplayArrayInTable(Fertiliser_SourceData.Fertiliser_Products_Data1(), FertiliserProducts[[#Headers],[Company]],1)</f>
        <v>Nitrogen - Ammoniacal</v>
      </c>
      <c r="R116" s="200" cm="1">
        <f t="array" ref="R116">Common_InputFunctions.Utility_DisplayArrayInTable(Fertiliser_SourceData.Fertiliser_Products_Data1(), FertiliserProducts[[#Headers],[Company]],1)</f>
        <v>0.13500000000000001</v>
      </c>
      <c r="S116" s="200" t="str" cm="1">
        <f t="array" ref="S116">Common_InputFunctions.Utility_DisplayArrayInTable(Fertiliser_SourceData.Fertiliser_Products_Data1(), FertiliserProducts[[#Headers],[Company]],1)</f>
        <v>Muriate of potash (MOP)</v>
      </c>
      <c r="T116" s="200" cm="1">
        <f t="array" ref="T116">Common_InputFunctions.Utility_DisplayArrayInTable(Fertiliser_SourceData.Fertiliser_Products_Data1(), FertiliserProducts[[#Headers],[Company]],1)</f>
        <v>0.125</v>
      </c>
      <c r="U116" s="200" t="str" cm="1">
        <f t="array" ref="U116">Common_InputFunctions.Utility_DisplayArrayInTable(Fertiliser_SourceData.Fertiliser_Products_Data1(), FertiliserProducts[[#Headers],[Company]],1)</f>
        <v>Fluoride</v>
      </c>
      <c r="V116" s="200" cm="1">
        <f t="array" ref="V116">Common_InputFunctions.Utility_DisplayArrayInTable(Fertiliser_SourceData.Fertiliser_Products_Data1(), FertiliserProducts[[#Headers],[Company]],1)</f>
        <v>2.3E-2</v>
      </c>
      <c r="W116" s="200" t="str" cm="1">
        <f t="array" ref="W116">Common_InputFunctions.Utility_DisplayArrayInTable(Fertiliser_SourceData.Fertiliser_Products_Data1(), FertiliserProducts[[#Headers],[Company]],1)</f>
        <v>Sulfur - Generic</v>
      </c>
      <c r="X116" s="200" cm="1">
        <f t="array" ref="X116">Common_InputFunctions.Utility_DisplayArrayInTable(Fertiliser_SourceData.Fertiliser_Products_Data1(), FertiliserProducts[[#Headers],[Company]],1)</f>
        <v>1.2E-2</v>
      </c>
      <c r="Y116" s="200" t="str" cm="1">
        <f t="array" ref="Y116">Common_InputFunctions.Utility_DisplayArrayInTable(Fertiliser_SourceData.Fertiliser_Products_Data1(), FertiliserProducts[[#Headers],[Company]],1)</f>
        <v/>
      </c>
      <c r="Z116" s="200" t="str" cm="1">
        <f t="array" ref="Z116">Common_InputFunctions.Utility_DisplayArrayInTable(Fertiliser_SourceData.Fertiliser_Products_Data1(), FertiliserProducts[[#Headers],[Company]],1)</f>
        <v/>
      </c>
      <c r="AA116" s="200" t="str" cm="1">
        <f t="array" ref="AA116">Common_InputFunctions.Utility_DisplayArrayInTable(Fertiliser_SourceData.Fertiliser_Products_Data1(), FertiliserProducts[[#Headers],[Company]],1)</f>
        <v/>
      </c>
      <c r="AB116" s="200" t="str" cm="1">
        <f t="array" ref="AB116">Common_InputFunctions.Utility_DisplayArrayInTable(Fertiliser_SourceData.Fertiliser_Products_Data1(), FertiliserProducts[[#Headers],[Company]],1)</f>
        <v/>
      </c>
      <c r="AC116" s="200" t="str" cm="1">
        <f t="array" ref="AC116">Common_InputFunctions.Utility_DisplayArrayInTable(Fertiliser_SourceData.Fertiliser_Products_Data1(), FertiliserProducts[[#Headers],[Company]],1)</f>
        <v/>
      </c>
      <c r="AD116" s="200" t="str" cm="1">
        <f t="array" ref="AD116">Common_InputFunctions.Utility_DisplayArrayInTable(Fertiliser_SourceData.Fertiliser_Products_Data1(), FertiliserProducts[[#Headers],[Company]],1)</f>
        <v/>
      </c>
      <c r="AE116" s="200" t="str" cm="1">
        <f t="array" ref="AE116">Common_InputFunctions.Utility_DisplayArrayInTable(Fertiliser_SourceData.Fertiliser_Products_Data1(), FertiliserProducts[[#Headers],[Company]],1)</f>
        <v/>
      </c>
      <c r="AF116" s="200" t="str" cm="1">
        <f t="array" ref="AF116">Common_InputFunctions.Utility_DisplayArrayInTable(Fertiliser_SourceData.Fertiliser_Products_Data1(), FertiliserProducts[[#Headers],[Company]],1)</f>
        <v/>
      </c>
      <c r="AG116" s="200" t="str" cm="1">
        <f t="array" ref="AG116">Common_InputFunctions.Utility_DisplayArrayInTable(Fertiliser_SourceData.Fertiliser_Products_Data1(), FertiliserProducts[[#Headers],[Company]],1)</f>
        <v/>
      </c>
      <c r="AH116" s="200"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200" t="str" cm="1">
        <f t="array" ref="D117">Common_InputFunctions.Utility_DisplayArrayInTable(Fertiliser_SourceData.Fertiliser_Products_Data1(), FertiliserProducts[[#Headers],[Company]],1)</f>
        <v>Switch Ag</v>
      </c>
      <c r="E117" s="200" t="str" cm="1">
        <f t="array" ref="E117">Common_InputFunctions.Utility_DisplayArrayInTable(Fertiliser_SourceData.Fertiliser_Products_Data1(), FertiliserProducts[[#Headers],[Company]],1)</f>
        <v>Crop K</v>
      </c>
      <c r="F117" s="200" t="str" cm="1">
        <f t="array" ref="F117">Common_InputFunctions.Utility_DisplayArrayInTable(Fertiliser_SourceData.Fertiliser_Products_Data1(), FertiliserProducts[[#Headers],[Company]],1)</f>
        <v>L</v>
      </c>
      <c r="G117" s="200" cm="1">
        <f t="array" ref="G117">Common_InputFunctions.Utility_DisplayArrayInTable(Fertiliser_SourceData.Fertiliser_Products_Data1(), FertiliserProducts[[#Headers],[Company]],1)</f>
        <v>1.25</v>
      </c>
      <c r="H117" s="200" t="str" cm="1">
        <f t="array" ref="H117">Common_InputFunctions.Utility_DisplayArrayInTable(Fertiliser_SourceData.Fertiliser_Products_Data1(), FertiliserProducts[[#Headers],[Company]],1)</f>
        <v/>
      </c>
      <c r="I117" s="200" t="str" cm="1">
        <f t="array" ref="I117">Common_InputFunctions.Utility_DisplayArrayInTable(Fertiliser_SourceData.Fertiliser_Products_Data1(), FertiliserProducts[[#Headers],[Company]],1)</f>
        <v/>
      </c>
      <c r="J117" s="200" t="str" cm="1">
        <f t="array" ref="J117">Common_InputFunctions.Utility_DisplayArrayInTable(Fertiliser_SourceData.Fertiliser_Products_Data1(), FertiliserProducts[[#Headers],[Company]],1)</f>
        <v/>
      </c>
      <c r="K117" s="200" cm="1">
        <f t="array" ref="K117">Common_InputFunctions.Utility_DisplayArrayInTable(Fertiliser_SourceData.Fertiliser_Products_Data1(), FertiliserProducts[[#Headers],[Company]],1)</f>
        <v>3</v>
      </c>
      <c r="L117" s="200" t="str" cm="1">
        <f t="array" ref="L117">Common_InputFunctions.Utility_DisplayArrayInTable(Fertiliser_SourceData.Fertiliser_Products_Data1(), FertiliserProducts[[#Headers],[Company]],1)</f>
        <v/>
      </c>
      <c r="M117" s="200" cm="1">
        <f t="array" ref="M117">Common_InputFunctions.Utility_DisplayArrayInTable(Fertiliser_SourceData.Fertiliser_Products_Data1(), FertiliserProducts[[#Headers],[Company]],1)</f>
        <v>21</v>
      </c>
      <c r="N117" s="200" t="str" cm="1">
        <f t="array" ref="N117">Common_InputFunctions.Utility_DisplayArrayInTable(Fertiliser_SourceData.Fertiliser_Products_Data1(), FertiliserProducts[[#Headers],[Company]],1)</f>
        <v/>
      </c>
      <c r="O117" s="200" t="str" cm="1">
        <f t="array" ref="O117">Common_InputFunctions.Utility_DisplayArrayInTable(Fertiliser_SourceData.Fertiliser_Products_Data1(), FertiliserProducts[[#Headers],[Company]],1)</f>
        <v>Potassium - Generic</v>
      </c>
      <c r="P117" s="200" cm="1">
        <f t="array" ref="P117">Common_InputFunctions.Utility_DisplayArrayInTable(Fertiliser_SourceData.Fertiliser_Products_Data1(), FertiliserProducts[[#Headers],[Company]],1)</f>
        <v>0.21</v>
      </c>
      <c r="Q117" s="200" t="str" cm="1">
        <f t="array" ref="Q117">Common_InputFunctions.Utility_DisplayArrayInTable(Fertiliser_SourceData.Fertiliser_Products_Data1(), FertiliserProducts[[#Headers],[Company]],1)</f>
        <v>Nitrogen - Generic</v>
      </c>
      <c r="R117" s="200" cm="1">
        <f t="array" ref="R117">Common_InputFunctions.Utility_DisplayArrayInTable(Fertiliser_SourceData.Fertiliser_Products_Data1(), FertiliserProducts[[#Headers],[Company]],1)</f>
        <v>0.03</v>
      </c>
      <c r="S117" s="200" t="str" cm="1">
        <f t="array" ref="S117">Common_InputFunctions.Utility_DisplayArrayInTable(Fertiliser_SourceData.Fertiliser_Products_Data1(), FertiliserProducts[[#Headers],[Company]],1)</f>
        <v/>
      </c>
      <c r="T117" s="200" t="str" cm="1">
        <f t="array" ref="T117">Common_InputFunctions.Utility_DisplayArrayInTable(Fertiliser_SourceData.Fertiliser_Products_Data1(), FertiliserProducts[[#Headers],[Company]],1)</f>
        <v/>
      </c>
      <c r="U117" s="200" t="str" cm="1">
        <f t="array" ref="U117">Common_InputFunctions.Utility_DisplayArrayInTable(Fertiliser_SourceData.Fertiliser_Products_Data1(), FertiliserProducts[[#Headers],[Company]],1)</f>
        <v/>
      </c>
      <c r="V117" s="200" t="str" cm="1">
        <f t="array" ref="V117">Common_InputFunctions.Utility_DisplayArrayInTable(Fertiliser_SourceData.Fertiliser_Products_Data1(), FertiliserProducts[[#Headers],[Company]],1)</f>
        <v/>
      </c>
      <c r="W117" s="200" t="str" cm="1">
        <f t="array" ref="W117">Common_InputFunctions.Utility_DisplayArrayInTable(Fertiliser_SourceData.Fertiliser_Products_Data1(), FertiliserProducts[[#Headers],[Company]],1)</f>
        <v/>
      </c>
      <c r="X117" s="200" t="str" cm="1">
        <f t="array" ref="X117">Common_InputFunctions.Utility_DisplayArrayInTable(Fertiliser_SourceData.Fertiliser_Products_Data1(), FertiliserProducts[[#Headers],[Company]],1)</f>
        <v/>
      </c>
      <c r="Y117" s="200" t="str" cm="1">
        <f t="array" ref="Y117">Common_InputFunctions.Utility_DisplayArrayInTable(Fertiliser_SourceData.Fertiliser_Products_Data1(), FertiliserProducts[[#Headers],[Company]],1)</f>
        <v/>
      </c>
      <c r="Z117" s="200" t="str" cm="1">
        <f t="array" ref="Z117">Common_InputFunctions.Utility_DisplayArrayInTable(Fertiliser_SourceData.Fertiliser_Products_Data1(), FertiliserProducts[[#Headers],[Company]],1)</f>
        <v/>
      </c>
      <c r="AA117" s="200" t="str" cm="1">
        <f t="array" ref="AA117">Common_InputFunctions.Utility_DisplayArrayInTable(Fertiliser_SourceData.Fertiliser_Products_Data1(), FertiliserProducts[[#Headers],[Company]],1)</f>
        <v/>
      </c>
      <c r="AB117" s="200" t="str" cm="1">
        <f t="array" ref="AB117">Common_InputFunctions.Utility_DisplayArrayInTable(Fertiliser_SourceData.Fertiliser_Products_Data1(), FertiliserProducts[[#Headers],[Company]],1)</f>
        <v/>
      </c>
      <c r="AC117" s="200" t="str" cm="1">
        <f t="array" ref="AC117">Common_InputFunctions.Utility_DisplayArrayInTable(Fertiliser_SourceData.Fertiliser_Products_Data1(), FertiliserProducts[[#Headers],[Company]],1)</f>
        <v/>
      </c>
      <c r="AD117" s="200" t="str" cm="1">
        <f t="array" ref="AD117">Common_InputFunctions.Utility_DisplayArrayInTable(Fertiliser_SourceData.Fertiliser_Products_Data1(), FertiliserProducts[[#Headers],[Company]],1)</f>
        <v/>
      </c>
      <c r="AE117" s="200" t="str" cm="1">
        <f t="array" ref="AE117">Common_InputFunctions.Utility_DisplayArrayInTable(Fertiliser_SourceData.Fertiliser_Products_Data1(), FertiliserProducts[[#Headers],[Company]],1)</f>
        <v/>
      </c>
      <c r="AF117" s="200" t="str" cm="1">
        <f t="array" ref="AF117">Common_InputFunctions.Utility_DisplayArrayInTable(Fertiliser_SourceData.Fertiliser_Products_Data1(), FertiliserProducts[[#Headers],[Company]],1)</f>
        <v/>
      </c>
      <c r="AG117" s="200" t="str" cm="1">
        <f t="array" ref="AG117">Common_InputFunctions.Utility_DisplayArrayInTable(Fertiliser_SourceData.Fertiliser_Products_Data1(), FertiliserProducts[[#Headers],[Company]],1)</f>
        <v/>
      </c>
      <c r="AH117" s="200"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200" t="str" cm="1">
        <f t="array" ref="D118">Common_InputFunctions.Utility_DisplayArrayInTable(Fertiliser_SourceData.Fertiliser_Products_Data1(), FertiliserProducts[[#Headers],[Company]],1)</f>
        <v>Switch Ag</v>
      </c>
      <c r="E118" s="200" t="str" cm="1">
        <f t="array" ref="E118">Common_InputFunctions.Utility_DisplayArrayInTable(Fertiliser_SourceData.Fertiliser_Products_Data1(), FertiliserProducts[[#Headers],[Company]],1)</f>
        <v>Crop Starter</v>
      </c>
      <c r="F118" s="200" t="str" cm="1">
        <f t="array" ref="F118">Common_InputFunctions.Utility_DisplayArrayInTable(Fertiliser_SourceData.Fertiliser_Products_Data1(), FertiliserProducts[[#Headers],[Company]],1)</f>
        <v>L</v>
      </c>
      <c r="G118" s="200" cm="1">
        <f t="array" ref="G118">Common_InputFunctions.Utility_DisplayArrayInTable(Fertiliser_SourceData.Fertiliser_Products_Data1(), FertiliserProducts[[#Headers],[Company]],1)</f>
        <v>1.2</v>
      </c>
      <c r="H118" s="200" t="str" cm="1">
        <f t="array" ref="H118">Common_InputFunctions.Utility_DisplayArrayInTable(Fertiliser_SourceData.Fertiliser_Products_Data1(), FertiliserProducts[[#Headers],[Company]],1)</f>
        <v/>
      </c>
      <c r="I118" s="200" t="str" cm="1">
        <f t="array" ref="I118">Common_InputFunctions.Utility_DisplayArrayInTable(Fertiliser_SourceData.Fertiliser_Products_Data1(), FertiliserProducts[[#Headers],[Company]],1)</f>
        <v/>
      </c>
      <c r="J118" s="200" t="str" cm="1">
        <f t="array" ref="J118">Common_InputFunctions.Utility_DisplayArrayInTable(Fertiliser_SourceData.Fertiliser_Products_Data1(), FertiliserProducts[[#Headers],[Company]],1)</f>
        <v/>
      </c>
      <c r="K118" s="200" cm="1">
        <f t="array" ref="K118">Common_InputFunctions.Utility_DisplayArrayInTable(Fertiliser_SourceData.Fertiliser_Products_Data1(), FertiliserProducts[[#Headers],[Company]],1)</f>
        <v>5</v>
      </c>
      <c r="L118" s="200" cm="1">
        <f t="array" ref="L118">Common_InputFunctions.Utility_DisplayArrayInTable(Fertiliser_SourceData.Fertiliser_Products_Data1(), FertiliserProducts[[#Headers],[Company]],1)</f>
        <v>3</v>
      </c>
      <c r="M118" s="200" cm="1">
        <f t="array" ref="M118">Common_InputFunctions.Utility_DisplayArrayInTable(Fertiliser_SourceData.Fertiliser_Products_Data1(), FertiliserProducts[[#Headers],[Company]],1)</f>
        <v>8</v>
      </c>
      <c r="N118" s="200" t="str" cm="1">
        <f t="array" ref="N118">Common_InputFunctions.Utility_DisplayArrayInTable(Fertiliser_SourceData.Fertiliser_Products_Data1(), FertiliserProducts[[#Headers],[Company]],1)</f>
        <v/>
      </c>
      <c r="O118" s="200" t="str" cm="1">
        <f t="array" ref="O118">Common_InputFunctions.Utility_DisplayArrayInTable(Fertiliser_SourceData.Fertiliser_Products_Data1(), FertiliserProducts[[#Headers],[Company]],1)</f>
        <v>Potassium - Generic</v>
      </c>
      <c r="P118" s="200" cm="1">
        <f t="array" ref="P118">Common_InputFunctions.Utility_DisplayArrayInTable(Fertiliser_SourceData.Fertiliser_Products_Data1(), FertiliserProducts[[#Headers],[Company]],1)</f>
        <v>0.08</v>
      </c>
      <c r="Q118" s="200" t="str" cm="1">
        <f t="array" ref="Q118">Common_InputFunctions.Utility_DisplayArrayInTable(Fertiliser_SourceData.Fertiliser_Products_Data1(), FertiliserProducts[[#Headers],[Company]],1)</f>
        <v>Nitrogen - Generic</v>
      </c>
      <c r="R118" s="200" cm="1">
        <f t="array" ref="R118">Common_InputFunctions.Utility_DisplayArrayInTable(Fertiliser_SourceData.Fertiliser_Products_Data1(), FertiliserProducts[[#Headers],[Company]],1)</f>
        <v>0.05</v>
      </c>
      <c r="S118" s="200" t="str" cm="1">
        <f t="array" ref="S118">Common_InputFunctions.Utility_DisplayArrayInTable(Fertiliser_SourceData.Fertiliser_Products_Data1(), FertiliserProducts[[#Headers],[Company]],1)</f>
        <v>Phosphorus - Generic</v>
      </c>
      <c r="T118" s="200" cm="1">
        <f t="array" ref="T118">Common_InputFunctions.Utility_DisplayArrayInTable(Fertiliser_SourceData.Fertiliser_Products_Data1(), FertiliserProducts[[#Headers],[Company]],1)</f>
        <v>0.03</v>
      </c>
      <c r="U118" s="200" t="str" cm="1">
        <f t="array" ref="U118">Common_InputFunctions.Utility_DisplayArrayInTable(Fertiliser_SourceData.Fertiliser_Products_Data1(), FertiliserProducts[[#Headers],[Company]],1)</f>
        <v/>
      </c>
      <c r="V118" s="200" t="str" cm="1">
        <f t="array" ref="V118">Common_InputFunctions.Utility_DisplayArrayInTable(Fertiliser_SourceData.Fertiliser_Products_Data1(), FertiliserProducts[[#Headers],[Company]],1)</f>
        <v/>
      </c>
      <c r="W118" s="200" t="str" cm="1">
        <f t="array" ref="W118">Common_InputFunctions.Utility_DisplayArrayInTable(Fertiliser_SourceData.Fertiliser_Products_Data1(), FertiliserProducts[[#Headers],[Company]],1)</f>
        <v/>
      </c>
      <c r="X118" s="200" t="str" cm="1">
        <f t="array" ref="X118">Common_InputFunctions.Utility_DisplayArrayInTable(Fertiliser_SourceData.Fertiliser_Products_Data1(), FertiliserProducts[[#Headers],[Company]],1)</f>
        <v/>
      </c>
      <c r="Y118" s="200" t="str" cm="1">
        <f t="array" ref="Y118">Common_InputFunctions.Utility_DisplayArrayInTable(Fertiliser_SourceData.Fertiliser_Products_Data1(), FertiliserProducts[[#Headers],[Company]],1)</f>
        <v/>
      </c>
      <c r="Z118" s="200" t="str" cm="1">
        <f t="array" ref="Z118">Common_InputFunctions.Utility_DisplayArrayInTable(Fertiliser_SourceData.Fertiliser_Products_Data1(), FertiliserProducts[[#Headers],[Company]],1)</f>
        <v/>
      </c>
      <c r="AA118" s="200" t="str" cm="1">
        <f t="array" ref="AA118">Common_InputFunctions.Utility_DisplayArrayInTable(Fertiliser_SourceData.Fertiliser_Products_Data1(), FertiliserProducts[[#Headers],[Company]],1)</f>
        <v/>
      </c>
      <c r="AB118" s="200" t="str" cm="1">
        <f t="array" ref="AB118">Common_InputFunctions.Utility_DisplayArrayInTable(Fertiliser_SourceData.Fertiliser_Products_Data1(), FertiliserProducts[[#Headers],[Company]],1)</f>
        <v/>
      </c>
      <c r="AC118" s="200" t="str" cm="1">
        <f t="array" ref="AC118">Common_InputFunctions.Utility_DisplayArrayInTable(Fertiliser_SourceData.Fertiliser_Products_Data1(), FertiliserProducts[[#Headers],[Company]],1)</f>
        <v/>
      </c>
      <c r="AD118" s="200" t="str" cm="1">
        <f t="array" ref="AD118">Common_InputFunctions.Utility_DisplayArrayInTable(Fertiliser_SourceData.Fertiliser_Products_Data1(), FertiliserProducts[[#Headers],[Company]],1)</f>
        <v/>
      </c>
      <c r="AE118" s="200" t="str" cm="1">
        <f t="array" ref="AE118">Common_InputFunctions.Utility_DisplayArrayInTable(Fertiliser_SourceData.Fertiliser_Products_Data1(), FertiliserProducts[[#Headers],[Company]],1)</f>
        <v/>
      </c>
      <c r="AF118" s="200" t="str" cm="1">
        <f t="array" ref="AF118">Common_InputFunctions.Utility_DisplayArrayInTable(Fertiliser_SourceData.Fertiliser_Products_Data1(), FertiliserProducts[[#Headers],[Company]],1)</f>
        <v/>
      </c>
      <c r="AG118" s="200" t="str" cm="1">
        <f t="array" ref="AG118">Common_InputFunctions.Utility_DisplayArrayInTable(Fertiliser_SourceData.Fertiliser_Products_Data1(), FertiliserProducts[[#Headers],[Company]],1)</f>
        <v/>
      </c>
      <c r="AH118" s="200"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200" t="str" cm="1">
        <f t="array" ref="D119">Common_InputFunctions.Utility_DisplayArrayInTable(Fertiliser_SourceData.Fertiliser_Products_Data1(), FertiliserProducts[[#Headers],[Company]],1)</f>
        <v>Incitec Pivot Fertilisers</v>
      </c>
      <c r="E119" s="200" t="str" cm="1">
        <f t="array" ref="E119">Common_InputFunctions.Utility_DisplayArrayInTable(Fertiliser_SourceData.Fertiliser_Products_Data1(), FertiliserProducts[[#Headers],[Company]],1)</f>
        <v>Gran-Am</v>
      </c>
      <c r="F119" s="200" t="str" cm="1">
        <f t="array" ref="F119">Common_InputFunctions.Utility_DisplayArrayInTable(Fertiliser_SourceData.Fertiliser_Products_Data1(), FertiliserProducts[[#Headers],[Company]],1)</f>
        <v>kg</v>
      </c>
      <c r="G119" s="200" cm="1">
        <f t="array" ref="G119">Common_InputFunctions.Utility_DisplayArrayInTable(Fertiliser_SourceData.Fertiliser_Products_Data1(), FertiliserProducts[[#Headers],[Company]],1)</f>
        <v>1</v>
      </c>
      <c r="H119" s="200" t="str" cm="1">
        <f t="array" ref="H119">Common_InputFunctions.Utility_DisplayArrayInTable(Fertiliser_SourceData.Fertiliser_Products_Data1(), FertiliserProducts[[#Headers],[Company]],1)</f>
        <v/>
      </c>
      <c r="I119" s="200" t="str" cm="1">
        <f t="array" ref="I119">Common_InputFunctions.Utility_DisplayArrayInTable(Fertiliser_SourceData.Fertiliser_Products_Data1(), FertiliserProducts[[#Headers],[Company]],1)</f>
        <v/>
      </c>
      <c r="J119" s="200" t="str" cm="1">
        <f t="array" ref="J119">Common_InputFunctions.Utility_DisplayArrayInTable(Fertiliser_SourceData.Fertiliser_Products_Data1(), FertiliserProducts[[#Headers],[Company]],1)</f>
        <v/>
      </c>
      <c r="K119" s="200" cm="1">
        <f t="array" ref="K119">Common_InputFunctions.Utility_DisplayArrayInTable(Fertiliser_SourceData.Fertiliser_Products_Data1(), FertiliserProducts[[#Headers],[Company]],1)</f>
        <v>21</v>
      </c>
      <c r="L119" s="200" t="str" cm="1">
        <f t="array" ref="L119">Common_InputFunctions.Utility_DisplayArrayInTable(Fertiliser_SourceData.Fertiliser_Products_Data1(), FertiliserProducts[[#Headers],[Company]],1)</f>
        <v/>
      </c>
      <c r="M119" s="200" t="str" cm="1">
        <f t="array" ref="M119">Common_InputFunctions.Utility_DisplayArrayInTable(Fertiliser_SourceData.Fertiliser_Products_Data1(), FertiliserProducts[[#Headers],[Company]],1)</f>
        <v/>
      </c>
      <c r="N119" s="200" cm="1">
        <f t="array" ref="N119">Common_InputFunctions.Utility_DisplayArrayInTable(Fertiliser_SourceData.Fertiliser_Products_Data1(), FertiliserProducts[[#Headers],[Company]],1)</f>
        <v>24</v>
      </c>
      <c r="O119" s="200" t="str" cm="1">
        <f t="array" ref="O119">Common_InputFunctions.Utility_DisplayArrayInTable(Fertiliser_SourceData.Fertiliser_Products_Data1(), FertiliserProducts[[#Headers],[Company]],1)</f>
        <v>Sulphate of ammonia (SOA)</v>
      </c>
      <c r="P119" s="200" cm="1">
        <f t="array" ref="P119">Common_InputFunctions.Utility_DisplayArrayInTable(Fertiliser_SourceData.Fertiliser_Products_Data1(), FertiliserProducts[[#Headers],[Company]],1)</f>
        <v>1</v>
      </c>
      <c r="Q119" s="200" t="str" cm="1">
        <f t="array" ref="Q119">Common_InputFunctions.Utility_DisplayArrayInTable(Fertiliser_SourceData.Fertiliser_Products_Data1(), FertiliserProducts[[#Headers],[Company]],1)</f>
        <v/>
      </c>
      <c r="R119" s="200" t="str" cm="1">
        <f t="array" ref="R119">Common_InputFunctions.Utility_DisplayArrayInTable(Fertiliser_SourceData.Fertiliser_Products_Data1(), FertiliserProducts[[#Headers],[Company]],1)</f>
        <v/>
      </c>
      <c r="S119" s="200" t="str" cm="1">
        <f t="array" ref="S119">Common_InputFunctions.Utility_DisplayArrayInTable(Fertiliser_SourceData.Fertiliser_Products_Data1(), FertiliserProducts[[#Headers],[Company]],1)</f>
        <v/>
      </c>
      <c r="T119" s="200" t="str" cm="1">
        <f t="array" ref="T119">Common_InputFunctions.Utility_DisplayArrayInTable(Fertiliser_SourceData.Fertiliser_Products_Data1(), FertiliserProducts[[#Headers],[Company]],1)</f>
        <v/>
      </c>
      <c r="U119" s="200" t="str" cm="1">
        <f t="array" ref="U119">Common_InputFunctions.Utility_DisplayArrayInTable(Fertiliser_SourceData.Fertiliser_Products_Data1(), FertiliserProducts[[#Headers],[Company]],1)</f>
        <v/>
      </c>
      <c r="V119" s="200" t="str" cm="1">
        <f t="array" ref="V119">Common_InputFunctions.Utility_DisplayArrayInTable(Fertiliser_SourceData.Fertiliser_Products_Data1(), FertiliserProducts[[#Headers],[Company]],1)</f>
        <v/>
      </c>
      <c r="W119" s="200" t="str" cm="1">
        <f t="array" ref="W119">Common_InputFunctions.Utility_DisplayArrayInTable(Fertiliser_SourceData.Fertiliser_Products_Data1(), FertiliserProducts[[#Headers],[Company]],1)</f>
        <v/>
      </c>
      <c r="X119" s="200" t="str" cm="1">
        <f t="array" ref="X119">Common_InputFunctions.Utility_DisplayArrayInTable(Fertiliser_SourceData.Fertiliser_Products_Data1(), FertiliserProducts[[#Headers],[Company]],1)</f>
        <v/>
      </c>
      <c r="Y119" s="200" t="str" cm="1">
        <f t="array" ref="Y119">Common_InputFunctions.Utility_DisplayArrayInTable(Fertiliser_SourceData.Fertiliser_Products_Data1(), FertiliserProducts[[#Headers],[Company]],1)</f>
        <v/>
      </c>
      <c r="Z119" s="200" t="str" cm="1">
        <f t="array" ref="Z119">Common_InputFunctions.Utility_DisplayArrayInTable(Fertiliser_SourceData.Fertiliser_Products_Data1(), FertiliserProducts[[#Headers],[Company]],1)</f>
        <v/>
      </c>
      <c r="AA119" s="200" t="str" cm="1">
        <f t="array" ref="AA119">Common_InputFunctions.Utility_DisplayArrayInTable(Fertiliser_SourceData.Fertiliser_Products_Data1(), FertiliserProducts[[#Headers],[Company]],1)</f>
        <v/>
      </c>
      <c r="AB119" s="200" t="str" cm="1">
        <f t="array" ref="AB119">Common_InputFunctions.Utility_DisplayArrayInTable(Fertiliser_SourceData.Fertiliser_Products_Data1(), FertiliserProducts[[#Headers],[Company]],1)</f>
        <v/>
      </c>
      <c r="AC119" s="200" t="str" cm="1">
        <f t="array" ref="AC119">Common_InputFunctions.Utility_DisplayArrayInTable(Fertiliser_SourceData.Fertiliser_Products_Data1(), FertiliserProducts[[#Headers],[Company]],1)</f>
        <v/>
      </c>
      <c r="AD119" s="200" t="str" cm="1">
        <f t="array" ref="AD119">Common_InputFunctions.Utility_DisplayArrayInTable(Fertiliser_SourceData.Fertiliser_Products_Data1(), FertiliserProducts[[#Headers],[Company]],1)</f>
        <v/>
      </c>
      <c r="AE119" s="200" t="str" cm="1">
        <f t="array" ref="AE119">Common_InputFunctions.Utility_DisplayArrayInTable(Fertiliser_SourceData.Fertiliser_Products_Data1(), FertiliserProducts[[#Headers],[Company]],1)</f>
        <v/>
      </c>
      <c r="AF119" s="200" t="str" cm="1">
        <f t="array" ref="AF119">Common_InputFunctions.Utility_DisplayArrayInTable(Fertiliser_SourceData.Fertiliser_Products_Data1(), FertiliserProducts[[#Headers],[Company]],1)</f>
        <v/>
      </c>
      <c r="AG119" s="200" t="str" cm="1">
        <f t="array" ref="AG119">Common_InputFunctions.Utility_DisplayArrayInTable(Fertiliser_SourceData.Fertiliser_Products_Data1(), FertiliserProducts[[#Headers],[Company]],1)</f>
        <v/>
      </c>
      <c r="AH119" s="200"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200" t="str" cm="1">
        <f t="array" ref="D120">Common_InputFunctions.Utility_DisplayArrayInTable(Fertiliser_SourceData.Fertiliser_Products_Data2(), FertiliserProducts[[#Headers],[Company]],31)</f>
        <v>Campbells fertilisers Australia</v>
      </c>
      <c r="E120" s="200" t="str" cm="1">
        <f t="array" ref="E120">Common_InputFunctions.Utility_DisplayArrayInTable(Fertiliser_SourceData.Fertiliser_Products_Data2(), FertiliserProducts[[#Headers],[Company]],31)</f>
        <v>Encal</v>
      </c>
      <c r="F120" s="200" t="str" cm="1">
        <f t="array" ref="F120">Common_InputFunctions.Utility_DisplayArrayInTable(Fertiliser_SourceData.Fertiliser_Products_Data2(), FertiliserProducts[[#Headers],[Company]],31)</f>
        <v>L</v>
      </c>
      <c r="G120" s="200" cm="1">
        <f t="array" ref="G120">Common_InputFunctions.Utility_DisplayArrayInTable(Fertiliser_SourceData.Fertiliser_Products_Data2(), FertiliserProducts[[#Headers],[Company]],31)</f>
        <v>1.5</v>
      </c>
      <c r="H120" s="200" t="str" cm="1">
        <f t="array" ref="H120">Common_InputFunctions.Utility_DisplayArrayInTable(Fertiliser_SourceData.Fertiliser_Products_Data2(), FertiliserProducts[[#Headers],[Company]],31)</f>
        <v/>
      </c>
      <c r="I120" s="200" t="str" cm="1">
        <f t="array" ref="I120">Common_InputFunctions.Utility_DisplayArrayInTable(Fertiliser_SourceData.Fertiliser_Products_Data2(), FertiliserProducts[[#Headers],[Company]],31)</f>
        <v/>
      </c>
      <c r="J120" s="200" t="str" cm="1">
        <f t="array" ref="J120">Common_InputFunctions.Utility_DisplayArrayInTable(Fertiliser_SourceData.Fertiliser_Products_Data2(), FertiliserProducts[[#Headers],[Company]],31)</f>
        <v/>
      </c>
      <c r="K120" s="200" cm="1">
        <f t="array" ref="K120">Common_InputFunctions.Utility_DisplayArrayInTable(Fertiliser_SourceData.Fertiliser_Products_Data2(), FertiliserProducts[[#Headers],[Company]],31)</f>
        <v>9</v>
      </c>
      <c r="L120" s="200" t="str" cm="1">
        <f t="array" ref="L120">Common_InputFunctions.Utility_DisplayArrayInTable(Fertiliser_SourceData.Fertiliser_Products_Data2(), FertiliserProducts[[#Headers],[Company]],31)</f>
        <v/>
      </c>
      <c r="M120" s="200" t="str" cm="1">
        <f t="array" ref="M120">Common_InputFunctions.Utility_DisplayArrayInTable(Fertiliser_SourceData.Fertiliser_Products_Data2(), FertiliserProducts[[#Headers],[Company]],31)</f>
        <v/>
      </c>
      <c r="N120" s="200" cm="1">
        <f t="array" ref="N120">Common_InputFunctions.Utility_DisplayArrayInTable(Fertiliser_SourceData.Fertiliser_Products_Data2(), FertiliserProducts[[#Headers],[Company]],31)</f>
        <v>13.94</v>
      </c>
      <c r="O120" s="200" t="str" cm="1">
        <f t="array" ref="O120">Common_InputFunctions.Utility_DisplayArrayInTable(Fertiliser_SourceData.Fertiliser_Products_Data2(), FertiliserProducts[[#Headers],[Company]],31)</f>
        <v>Sulphate of ammonia (SOA)</v>
      </c>
      <c r="P120" s="200" cm="1">
        <f t="array" ref="P120">Common_InputFunctions.Utility_DisplayArrayInTable(Fertiliser_SourceData.Fertiliser_Products_Data2(), FertiliserProducts[[#Headers],[Company]],31)</f>
        <v>0.58064499999999997</v>
      </c>
      <c r="Q120" s="200" t="str" cm="1">
        <f t="array" ref="Q120">Common_InputFunctions.Utility_DisplayArrayInTable(Fertiliser_SourceData.Fertiliser_Products_Data2(), FertiliserProducts[[#Headers],[Company]],31)</f>
        <v>Magnesium</v>
      </c>
      <c r="R120" s="200" cm="1">
        <f t="array" ref="R120">Common_InputFunctions.Utility_DisplayArrayInTable(Fertiliser_SourceData.Fertiliser_Products_Data2(), FertiliserProducts[[#Headers],[Company]],31)</f>
        <v>1.2E-2</v>
      </c>
      <c r="S120" s="200" t="str" cm="1">
        <f t="array" ref="S120">Common_InputFunctions.Utility_DisplayArrayInTable(Fertiliser_SourceData.Fertiliser_Products_Data2(), FertiliserProducts[[#Headers],[Company]],31)</f>
        <v/>
      </c>
      <c r="T120" s="200" t="str" cm="1">
        <f t="array" ref="T120">Common_InputFunctions.Utility_DisplayArrayInTable(Fertiliser_SourceData.Fertiliser_Products_Data2(), FertiliserProducts[[#Headers],[Company]],31)</f>
        <v/>
      </c>
      <c r="U120" s="200" t="str" cm="1">
        <f t="array" ref="U120">Common_InputFunctions.Utility_DisplayArrayInTable(Fertiliser_SourceData.Fertiliser_Products_Data2(), FertiliserProducts[[#Headers],[Company]],31)</f>
        <v/>
      </c>
      <c r="V120" s="200" t="str" cm="1">
        <f t="array" ref="V120">Common_InputFunctions.Utility_DisplayArrayInTable(Fertiliser_SourceData.Fertiliser_Products_Data2(), FertiliserProducts[[#Headers],[Company]],31)</f>
        <v/>
      </c>
      <c r="W120" s="200" t="str" cm="1">
        <f t="array" ref="W120">Common_InputFunctions.Utility_DisplayArrayInTable(Fertiliser_SourceData.Fertiliser_Products_Data2(), FertiliserProducts[[#Headers],[Company]],31)</f>
        <v/>
      </c>
      <c r="X120" s="200" t="str" cm="1">
        <f t="array" ref="X120">Common_InputFunctions.Utility_DisplayArrayInTable(Fertiliser_SourceData.Fertiliser_Products_Data2(), FertiliserProducts[[#Headers],[Company]],31)</f>
        <v/>
      </c>
      <c r="Y120" s="200" t="str" cm="1">
        <f t="array" ref="Y120">Common_InputFunctions.Utility_DisplayArrayInTable(Fertiliser_SourceData.Fertiliser_Products_Data2(), FertiliserProducts[[#Headers],[Company]],31)</f>
        <v/>
      </c>
      <c r="Z120" s="200" t="str" cm="1">
        <f t="array" ref="Z120">Common_InputFunctions.Utility_DisplayArrayInTable(Fertiliser_SourceData.Fertiliser_Products_Data2(), FertiliserProducts[[#Headers],[Company]],31)</f>
        <v/>
      </c>
      <c r="AA120" s="200" t="str" cm="1">
        <f t="array" ref="AA120">Common_InputFunctions.Utility_DisplayArrayInTable(Fertiliser_SourceData.Fertiliser_Products_Data2(), FertiliserProducts[[#Headers],[Company]],31)</f>
        <v/>
      </c>
      <c r="AB120" s="200" t="str" cm="1">
        <f t="array" ref="AB120">Common_InputFunctions.Utility_DisplayArrayInTable(Fertiliser_SourceData.Fertiliser_Products_Data2(), FertiliserProducts[[#Headers],[Company]],31)</f>
        <v/>
      </c>
      <c r="AC120" s="200" t="str" cm="1">
        <f t="array" ref="AC120">Common_InputFunctions.Utility_DisplayArrayInTable(Fertiliser_SourceData.Fertiliser_Products_Data2(), FertiliserProducts[[#Headers],[Company]],31)</f>
        <v/>
      </c>
      <c r="AD120" s="200" t="str" cm="1">
        <f t="array" ref="AD120">Common_InputFunctions.Utility_DisplayArrayInTable(Fertiliser_SourceData.Fertiliser_Products_Data2(), FertiliserProducts[[#Headers],[Company]],31)</f>
        <v/>
      </c>
      <c r="AE120" s="200" t="str" cm="1">
        <f t="array" ref="AE120">Common_InputFunctions.Utility_DisplayArrayInTable(Fertiliser_SourceData.Fertiliser_Products_Data2(), FertiliserProducts[[#Headers],[Company]],31)</f>
        <v/>
      </c>
      <c r="AF120" s="200" t="str" cm="1">
        <f t="array" ref="AF120">Common_InputFunctions.Utility_DisplayArrayInTable(Fertiliser_SourceData.Fertiliser_Products_Data2(), FertiliserProducts[[#Headers],[Company]],31)</f>
        <v/>
      </c>
      <c r="AG120" s="200" t="str" cm="1">
        <f t="array" ref="AG120">Common_InputFunctions.Utility_DisplayArrayInTable(Fertiliser_SourceData.Fertiliser_Products_Data2(), FertiliserProducts[[#Headers],[Company]],31)</f>
        <v/>
      </c>
      <c r="AH120" s="200"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200" t="str" cm="1">
        <f t="array" ref="D121">Common_InputFunctions.Utility_DisplayArrayInTable(Fertiliser_SourceData.Fertiliser_Products_Data2(), FertiliserProducts[[#Headers],[Company]],31)</f>
        <v>Incitec Pivot Fertilisers</v>
      </c>
      <c r="E121" s="200" t="str" cm="1">
        <f t="array" ref="E121">Common_InputFunctions.Utility_DisplayArrayInTable(Fertiliser_SourceData.Fertiliser_Products_Data2(), FertiliserProducts[[#Headers],[Company]],31)</f>
        <v>Granulock SS</v>
      </c>
      <c r="F121" s="200" t="str" cm="1">
        <f t="array" ref="F121">Common_InputFunctions.Utility_DisplayArrayInTable(Fertiliser_SourceData.Fertiliser_Products_Data2(), FertiliserProducts[[#Headers],[Company]],31)</f>
        <v>kg</v>
      </c>
      <c r="G121" s="200" cm="1">
        <f t="array" ref="G121">Common_InputFunctions.Utility_DisplayArrayInTable(Fertiliser_SourceData.Fertiliser_Products_Data2(), FertiliserProducts[[#Headers],[Company]],31)</f>
        <v>1</v>
      </c>
      <c r="H121" s="200" t="str" cm="1">
        <f t="array" ref="H121">Common_InputFunctions.Utility_DisplayArrayInTable(Fertiliser_SourceData.Fertiliser_Products_Data2(), FertiliserProducts[[#Headers],[Company]],31)</f>
        <v/>
      </c>
      <c r="I121" s="200" t="str" cm="1">
        <f t="array" ref="I121">Common_InputFunctions.Utility_DisplayArrayInTable(Fertiliser_SourceData.Fertiliser_Products_Data2(), FertiliserProducts[[#Headers],[Company]],31)</f>
        <v/>
      </c>
      <c r="J121" s="200" t="str" cm="1">
        <f t="array" ref="J121">Common_InputFunctions.Utility_DisplayArrayInTable(Fertiliser_SourceData.Fertiliser_Products_Data2(), FertiliserProducts[[#Headers],[Company]],31)</f>
        <v/>
      </c>
      <c r="K121" s="200" cm="1">
        <f t="array" ref="K121">Common_InputFunctions.Utility_DisplayArrayInTable(Fertiliser_SourceData.Fertiliser_Products_Data2(), FertiliserProducts[[#Headers],[Company]],31)</f>
        <v>10</v>
      </c>
      <c r="L121" s="200" cm="1">
        <f t="array" ref="L121">Common_InputFunctions.Utility_DisplayArrayInTable(Fertiliser_SourceData.Fertiliser_Products_Data2(), FertiliserProducts[[#Headers],[Company]],31)</f>
        <v>17.5</v>
      </c>
      <c r="M121" s="200" t="str" cm="1">
        <f t="array" ref="M121">Common_InputFunctions.Utility_DisplayArrayInTable(Fertiliser_SourceData.Fertiliser_Products_Data2(), FertiliserProducts[[#Headers],[Company]],31)</f>
        <v/>
      </c>
      <c r="N121" s="200" cm="1">
        <f t="array" ref="N121">Common_InputFunctions.Utility_DisplayArrayInTable(Fertiliser_SourceData.Fertiliser_Products_Data2(), FertiliserProducts[[#Headers],[Company]],31)</f>
        <v>12</v>
      </c>
      <c r="O121" s="200" t="str" cm="1">
        <f t="array" ref="O121">Common_InputFunctions.Utility_DisplayArrayInTable(Fertiliser_SourceData.Fertiliser_Products_Data2(), FertiliserProducts[[#Headers],[Company]],31)</f>
        <v>Phosphorus - Generic</v>
      </c>
      <c r="P121" s="200" cm="1">
        <f t="array" ref="P121">Common_InputFunctions.Utility_DisplayArrayInTable(Fertiliser_SourceData.Fertiliser_Products_Data2(), FertiliserProducts[[#Headers],[Company]],31)</f>
        <v>0.17499999999999999</v>
      </c>
      <c r="Q121" s="200" t="str" cm="1">
        <f t="array" ref="Q121">Common_InputFunctions.Utility_DisplayArrayInTable(Fertiliser_SourceData.Fertiliser_Products_Data2(), FertiliserProducts[[#Headers],[Company]],31)</f>
        <v>Sulfur - Generic</v>
      </c>
      <c r="R121" s="200" cm="1">
        <f t="array" ref="R121">Common_InputFunctions.Utility_DisplayArrayInTable(Fertiliser_SourceData.Fertiliser_Products_Data2(), FertiliserProducts[[#Headers],[Company]],31)</f>
        <v>0.12</v>
      </c>
      <c r="S121" s="200" t="str" cm="1">
        <f t="array" ref="S121">Common_InputFunctions.Utility_DisplayArrayInTable(Fertiliser_SourceData.Fertiliser_Products_Data2(), FertiliserProducts[[#Headers],[Company]],31)</f>
        <v>Nitrogen - Ammoniacal</v>
      </c>
      <c r="T121" s="200" cm="1">
        <f t="array" ref="T121">Common_InputFunctions.Utility_DisplayArrayInTable(Fertiliser_SourceData.Fertiliser_Products_Data2(), FertiliserProducts[[#Headers],[Company]],31)</f>
        <v>0.1</v>
      </c>
      <c r="U121" s="200" t="str" cm="1">
        <f t="array" ref="U121">Common_InputFunctions.Utility_DisplayArrayInTable(Fertiliser_SourceData.Fertiliser_Products_Data2(), FertiliserProducts[[#Headers],[Company]],31)</f>
        <v>Fluoride</v>
      </c>
      <c r="V121" s="200" cm="1">
        <f t="array" ref="V121">Common_InputFunctions.Utility_DisplayArrayInTable(Fertiliser_SourceData.Fertiliser_Products_Data2(), FertiliserProducts[[#Headers],[Company]],31)</f>
        <v>0.03</v>
      </c>
      <c r="W121" s="200" t="str" cm="1">
        <f t="array" ref="W121">Common_InputFunctions.Utility_DisplayArrayInTable(Fertiliser_SourceData.Fertiliser_Products_Data2(), FertiliserProducts[[#Headers],[Company]],31)</f>
        <v/>
      </c>
      <c r="X121" s="200" t="str" cm="1">
        <f t="array" ref="X121">Common_InputFunctions.Utility_DisplayArrayInTable(Fertiliser_SourceData.Fertiliser_Products_Data2(), FertiliserProducts[[#Headers],[Company]],31)</f>
        <v/>
      </c>
      <c r="Y121" s="200" t="str" cm="1">
        <f t="array" ref="Y121">Common_InputFunctions.Utility_DisplayArrayInTable(Fertiliser_SourceData.Fertiliser_Products_Data2(), FertiliserProducts[[#Headers],[Company]],31)</f>
        <v/>
      </c>
      <c r="Z121" s="200" t="str" cm="1">
        <f t="array" ref="Z121">Common_InputFunctions.Utility_DisplayArrayInTable(Fertiliser_SourceData.Fertiliser_Products_Data2(), FertiliserProducts[[#Headers],[Company]],31)</f>
        <v/>
      </c>
      <c r="AA121" s="200" t="str" cm="1">
        <f t="array" ref="AA121">Common_InputFunctions.Utility_DisplayArrayInTable(Fertiliser_SourceData.Fertiliser_Products_Data2(), FertiliserProducts[[#Headers],[Company]],31)</f>
        <v/>
      </c>
      <c r="AB121" s="200" t="str" cm="1">
        <f t="array" ref="AB121">Common_InputFunctions.Utility_DisplayArrayInTable(Fertiliser_SourceData.Fertiliser_Products_Data2(), FertiliserProducts[[#Headers],[Company]],31)</f>
        <v/>
      </c>
      <c r="AC121" s="200" t="str" cm="1">
        <f t="array" ref="AC121">Common_InputFunctions.Utility_DisplayArrayInTable(Fertiliser_SourceData.Fertiliser_Products_Data2(), FertiliserProducts[[#Headers],[Company]],31)</f>
        <v/>
      </c>
      <c r="AD121" s="200" t="str" cm="1">
        <f t="array" ref="AD121">Common_InputFunctions.Utility_DisplayArrayInTable(Fertiliser_SourceData.Fertiliser_Products_Data2(), FertiliserProducts[[#Headers],[Company]],31)</f>
        <v/>
      </c>
      <c r="AE121" s="200" t="str" cm="1">
        <f t="array" ref="AE121">Common_InputFunctions.Utility_DisplayArrayInTable(Fertiliser_SourceData.Fertiliser_Products_Data2(), FertiliserProducts[[#Headers],[Company]],31)</f>
        <v/>
      </c>
      <c r="AF121" s="200" t="str" cm="1">
        <f t="array" ref="AF121">Common_InputFunctions.Utility_DisplayArrayInTable(Fertiliser_SourceData.Fertiliser_Products_Data2(), FertiliserProducts[[#Headers],[Company]],31)</f>
        <v/>
      </c>
      <c r="AG121" s="200" t="str" cm="1">
        <f t="array" ref="AG121">Common_InputFunctions.Utility_DisplayArrayInTable(Fertiliser_SourceData.Fertiliser_Products_Data2(), FertiliserProducts[[#Headers],[Company]],31)</f>
        <v/>
      </c>
      <c r="AH121" s="200"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200" t="str" cm="1">
        <f t="array" ref="D122">Common_InputFunctions.Utility_DisplayArrayInTable(Fertiliser_SourceData.Fertiliser_Products_Data2(), FertiliserProducts[[#Headers],[Company]],31)</f>
        <v>Incitec Pivot Fertilisers</v>
      </c>
      <c r="E122" s="200" t="str" cm="1">
        <f t="array" ref="E122">Common_InputFunctions.Utility_DisplayArrayInTable(Fertiliser_SourceData.Fertiliser_Products_Data2(), FertiliserProducts[[#Headers],[Company]],31)</f>
        <v>Granulock Z</v>
      </c>
      <c r="F122" s="200" t="str" cm="1">
        <f t="array" ref="F122">Common_InputFunctions.Utility_DisplayArrayInTable(Fertiliser_SourceData.Fertiliser_Products_Data2(), FertiliserProducts[[#Headers],[Company]],31)</f>
        <v>kg</v>
      </c>
      <c r="G122" s="200" cm="1">
        <f t="array" ref="G122">Common_InputFunctions.Utility_DisplayArrayInTable(Fertiliser_SourceData.Fertiliser_Products_Data2(), FertiliserProducts[[#Headers],[Company]],31)</f>
        <v>1</v>
      </c>
      <c r="H122" s="200" t="str" cm="1">
        <f t="array" ref="H122">Common_InputFunctions.Utility_DisplayArrayInTable(Fertiliser_SourceData.Fertiliser_Products_Data2(), FertiliserProducts[[#Headers],[Company]],31)</f>
        <v/>
      </c>
      <c r="I122" s="200" t="str" cm="1">
        <f t="array" ref="I122">Common_InputFunctions.Utility_DisplayArrayInTable(Fertiliser_SourceData.Fertiliser_Products_Data2(), FertiliserProducts[[#Headers],[Company]],31)</f>
        <v/>
      </c>
      <c r="J122" s="200" t="str" cm="1">
        <f t="array" ref="J122">Common_InputFunctions.Utility_DisplayArrayInTable(Fertiliser_SourceData.Fertiliser_Products_Data2(), FertiliserProducts[[#Headers],[Company]],31)</f>
        <v/>
      </c>
      <c r="K122" s="200" cm="1">
        <f t="array" ref="K122">Common_InputFunctions.Utility_DisplayArrayInTable(Fertiliser_SourceData.Fertiliser_Products_Data2(), FertiliserProducts[[#Headers],[Company]],31)</f>
        <v>11</v>
      </c>
      <c r="L122" s="200" cm="1">
        <f t="array" ref="L122">Common_InputFunctions.Utility_DisplayArrayInTable(Fertiliser_SourceData.Fertiliser_Products_Data2(), FertiliserProducts[[#Headers],[Company]],31)</f>
        <v>21.8</v>
      </c>
      <c r="M122" s="200" t="str" cm="1">
        <f t="array" ref="M122">Common_InputFunctions.Utility_DisplayArrayInTable(Fertiliser_SourceData.Fertiliser_Products_Data2(), FertiliserProducts[[#Headers],[Company]],31)</f>
        <v/>
      </c>
      <c r="N122" s="200" cm="1">
        <f t="array" ref="N122">Common_InputFunctions.Utility_DisplayArrayInTable(Fertiliser_SourceData.Fertiliser_Products_Data2(), FertiliserProducts[[#Headers],[Company]],31)</f>
        <v>4</v>
      </c>
      <c r="O122" s="200" t="str" cm="1">
        <f t="array" ref="O122">Common_InputFunctions.Utility_DisplayArrayInTable(Fertiliser_SourceData.Fertiliser_Products_Data2(), FertiliserProducts[[#Headers],[Company]],31)</f>
        <v>Phosphorus - Generic</v>
      </c>
      <c r="P122" s="200" cm="1">
        <f t="array" ref="P122">Common_InputFunctions.Utility_DisplayArrayInTable(Fertiliser_SourceData.Fertiliser_Products_Data2(), FertiliserProducts[[#Headers],[Company]],31)</f>
        <v>0.218</v>
      </c>
      <c r="Q122" s="200" t="str" cm="1">
        <f t="array" ref="Q122">Common_InputFunctions.Utility_DisplayArrayInTable(Fertiliser_SourceData.Fertiliser_Products_Data2(), FertiliserProducts[[#Headers],[Company]],31)</f>
        <v>Nitrogen - Generic</v>
      </c>
      <c r="R122" s="200" cm="1">
        <f t="array" ref="R122">Common_InputFunctions.Utility_DisplayArrayInTable(Fertiliser_SourceData.Fertiliser_Products_Data2(), FertiliserProducts[[#Headers],[Company]],31)</f>
        <v>0.11</v>
      </c>
      <c r="S122" s="200" t="str" cm="1">
        <f t="array" ref="S122">Common_InputFunctions.Utility_DisplayArrayInTable(Fertiliser_SourceData.Fertiliser_Products_Data2(), FertiliserProducts[[#Headers],[Company]],31)</f>
        <v>Sulfur - Generic</v>
      </c>
      <c r="T122" s="200" cm="1">
        <f t="array" ref="T122">Common_InputFunctions.Utility_DisplayArrayInTable(Fertiliser_SourceData.Fertiliser_Products_Data2(), FertiliserProducts[[#Headers],[Company]],31)</f>
        <v>0.04</v>
      </c>
      <c r="U122" s="200" t="str" cm="1">
        <f t="array" ref="U122">Common_InputFunctions.Utility_DisplayArrayInTable(Fertiliser_SourceData.Fertiliser_Products_Data2(), FertiliserProducts[[#Headers],[Company]],31)</f>
        <v>Fluoride</v>
      </c>
      <c r="V122" s="200" cm="1">
        <f t="array" ref="V122">Common_InputFunctions.Utility_DisplayArrayInTable(Fertiliser_SourceData.Fertiliser_Products_Data2(), FertiliserProducts[[#Headers],[Company]],31)</f>
        <v>0.03</v>
      </c>
      <c r="W122" s="200" t="str" cm="1">
        <f t="array" ref="W122">Common_InputFunctions.Utility_DisplayArrayInTable(Fertiliser_SourceData.Fertiliser_Products_Data2(), FertiliserProducts[[#Headers],[Company]],31)</f>
        <v>Zinc</v>
      </c>
      <c r="X122" s="200" cm="1">
        <f t="array" ref="X122">Common_InputFunctions.Utility_DisplayArrayInTable(Fertiliser_SourceData.Fertiliser_Products_Data2(), FertiliserProducts[[#Headers],[Company]],31)</f>
        <v>0.01</v>
      </c>
      <c r="Y122" s="200" t="str" cm="1">
        <f t="array" ref="Y122">Common_InputFunctions.Utility_DisplayArrayInTable(Fertiliser_SourceData.Fertiliser_Products_Data2(), FertiliserProducts[[#Headers],[Company]],31)</f>
        <v/>
      </c>
      <c r="Z122" s="200" t="str" cm="1">
        <f t="array" ref="Z122">Common_InputFunctions.Utility_DisplayArrayInTable(Fertiliser_SourceData.Fertiliser_Products_Data2(), FertiliserProducts[[#Headers],[Company]],31)</f>
        <v/>
      </c>
      <c r="AA122" s="200" t="str" cm="1">
        <f t="array" ref="AA122">Common_InputFunctions.Utility_DisplayArrayInTable(Fertiliser_SourceData.Fertiliser_Products_Data2(), FertiliserProducts[[#Headers],[Company]],31)</f>
        <v/>
      </c>
      <c r="AB122" s="200" t="str" cm="1">
        <f t="array" ref="AB122">Common_InputFunctions.Utility_DisplayArrayInTable(Fertiliser_SourceData.Fertiliser_Products_Data2(), FertiliserProducts[[#Headers],[Company]],31)</f>
        <v/>
      </c>
      <c r="AC122" s="200" t="str" cm="1">
        <f t="array" ref="AC122">Common_InputFunctions.Utility_DisplayArrayInTable(Fertiliser_SourceData.Fertiliser_Products_Data2(), FertiliserProducts[[#Headers],[Company]],31)</f>
        <v/>
      </c>
      <c r="AD122" s="200" t="str" cm="1">
        <f t="array" ref="AD122">Common_InputFunctions.Utility_DisplayArrayInTable(Fertiliser_SourceData.Fertiliser_Products_Data2(), FertiliserProducts[[#Headers],[Company]],31)</f>
        <v/>
      </c>
      <c r="AE122" s="200" t="str" cm="1">
        <f t="array" ref="AE122">Common_InputFunctions.Utility_DisplayArrayInTable(Fertiliser_SourceData.Fertiliser_Products_Data2(), FertiliserProducts[[#Headers],[Company]],31)</f>
        <v/>
      </c>
      <c r="AF122" s="200" t="str" cm="1">
        <f t="array" ref="AF122">Common_InputFunctions.Utility_DisplayArrayInTable(Fertiliser_SourceData.Fertiliser_Products_Data2(), FertiliserProducts[[#Headers],[Company]],31)</f>
        <v/>
      </c>
      <c r="AG122" s="200" t="str" cm="1">
        <f t="array" ref="AG122">Common_InputFunctions.Utility_DisplayArrayInTable(Fertiliser_SourceData.Fertiliser_Products_Data2(), FertiliserProducts[[#Headers],[Company]],31)</f>
        <v/>
      </c>
      <c r="AH122" s="200"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200" t="str" cm="1">
        <f t="array" ref="D123">Common_InputFunctions.Utility_DisplayArrayInTable(Fertiliser_SourceData.Fertiliser_Products_Data2(), FertiliserProducts[[#Headers],[Company]],31)</f>
        <v>Incitec Pivot Fertilisers</v>
      </c>
      <c r="E123" s="200" t="str" cm="1">
        <f t="array" ref="E123">Common_InputFunctions.Utility_DisplayArrayInTable(Fertiliser_SourceData.Fertiliser_Products_Data2(), FertiliserProducts[[#Headers],[Company]],31)</f>
        <v>Farm Ag Leichhardt</v>
      </c>
      <c r="F123" s="200" t="str" cm="1">
        <f t="array" ref="F123">Common_InputFunctions.Utility_DisplayArrayInTable(Fertiliser_SourceData.Fertiliser_Products_Data2(), FertiliserProducts[[#Headers],[Company]],31)</f>
        <v>kg</v>
      </c>
      <c r="G123" s="200" cm="1">
        <f t="array" ref="G123">Common_InputFunctions.Utility_DisplayArrayInTable(Fertiliser_SourceData.Fertiliser_Products_Data2(), FertiliserProducts[[#Headers],[Company]],31)</f>
        <v>1</v>
      </c>
      <c r="H123" s="200" t="str" cm="1">
        <f t="array" ref="H123">Common_InputFunctions.Utility_DisplayArrayInTable(Fertiliser_SourceData.Fertiliser_Products_Data2(), FertiliserProducts[[#Headers],[Company]],31)</f>
        <v/>
      </c>
      <c r="I123" s="200" t="str" cm="1">
        <f t="array" ref="I123">Common_InputFunctions.Utility_DisplayArrayInTable(Fertiliser_SourceData.Fertiliser_Products_Data2(), FertiliserProducts[[#Headers],[Company]],31)</f>
        <v/>
      </c>
      <c r="J123" s="200" t="str" cm="1">
        <f t="array" ref="J123">Common_InputFunctions.Utility_DisplayArrayInTable(Fertiliser_SourceData.Fertiliser_Products_Data2(), FertiliserProducts[[#Headers],[Company]],31)</f>
        <v/>
      </c>
      <c r="K123" s="200" cm="1">
        <f t="array" ref="K123">Common_InputFunctions.Utility_DisplayArrayInTable(Fertiliser_SourceData.Fertiliser_Products_Data2(), FertiliserProducts[[#Headers],[Company]],31)</f>
        <v>32.5</v>
      </c>
      <c r="L123" s="200" cm="1">
        <f t="array" ref="L123">Common_InputFunctions.Utility_DisplayArrayInTable(Fertiliser_SourceData.Fertiliser_Products_Data2(), FertiliserProducts[[#Headers],[Company]],31)</f>
        <v>5.4</v>
      </c>
      <c r="M123" s="200" cm="1">
        <f t="array" ref="M123">Common_InputFunctions.Utility_DisplayArrayInTable(Fertiliser_SourceData.Fertiliser_Products_Data2(), FertiliserProducts[[#Headers],[Company]],31)</f>
        <v>6.25</v>
      </c>
      <c r="N123" s="200" t="str" cm="1">
        <f t="array" ref="N123">Common_InputFunctions.Utility_DisplayArrayInTable(Fertiliser_SourceData.Fertiliser_Products_Data2(), FertiliserProducts[[#Headers],[Company]],31)</f>
        <v/>
      </c>
      <c r="O123" s="200" t="str" cm="1">
        <f t="array" ref="O123">Common_InputFunctions.Utility_DisplayArrayInTable(Fertiliser_SourceData.Fertiliser_Products_Data2(), FertiliserProducts[[#Headers],[Company]],31)</f>
        <v>Urea</v>
      </c>
      <c r="P123" s="200" cm="1">
        <f t="array" ref="P123">Common_InputFunctions.Utility_DisplayArrayInTable(Fertiliser_SourceData.Fertiliser_Products_Data2(), FertiliserProducts[[#Headers],[Company]],31)</f>
        <v>0.6</v>
      </c>
      <c r="Q123" s="200" t="str" cm="1">
        <f t="array" ref="Q123">Common_InputFunctions.Utility_DisplayArrayInTable(Fertiliser_SourceData.Fertiliser_Products_Data2(), FertiliserProducts[[#Headers],[Company]],31)</f>
        <v>Nitrogen - Ammoniacal</v>
      </c>
      <c r="R123" s="200" cm="1">
        <f t="array" ref="R123">Common_InputFunctions.Utility_DisplayArrayInTable(Fertiliser_SourceData.Fertiliser_Products_Data2(), FertiliserProducts[[#Headers],[Company]],31)</f>
        <v>4.9000000000000002E-2</v>
      </c>
      <c r="S123" s="200" t="str" cm="1">
        <f t="array" ref="S123">Common_InputFunctions.Utility_DisplayArrayInTable(Fertiliser_SourceData.Fertiliser_Products_Data2(), FertiliserProducts[[#Headers],[Company]],31)</f>
        <v>Phosphorus - Generic</v>
      </c>
      <c r="T123" s="200" cm="1">
        <f t="array" ref="T123">Common_InputFunctions.Utility_DisplayArrayInTable(Fertiliser_SourceData.Fertiliser_Products_Data2(), FertiliserProducts[[#Headers],[Company]],31)</f>
        <v>5.3999999999999999E-2</v>
      </c>
      <c r="U123" s="200" t="str" cm="1">
        <f t="array" ref="U123">Common_InputFunctions.Utility_DisplayArrayInTable(Fertiliser_SourceData.Fertiliser_Products_Data2(), FertiliserProducts[[#Headers],[Company]],31)</f>
        <v>Muriate of potash (MOP)</v>
      </c>
      <c r="V123" s="200" cm="1">
        <f t="array" ref="V123">Common_InputFunctions.Utility_DisplayArrayInTable(Fertiliser_SourceData.Fertiliser_Products_Data2(), FertiliserProducts[[#Headers],[Company]],31)</f>
        <v>0.125</v>
      </c>
      <c r="W123" s="200" t="str" cm="1">
        <f t="array" ref="W123">Common_InputFunctions.Utility_DisplayArrayInTable(Fertiliser_SourceData.Fertiliser_Products_Data2(), FertiliserProducts[[#Headers],[Company]],31)</f>
        <v/>
      </c>
      <c r="X123" s="200" t="str" cm="1">
        <f t="array" ref="X123">Common_InputFunctions.Utility_DisplayArrayInTable(Fertiliser_SourceData.Fertiliser_Products_Data2(), FertiliserProducts[[#Headers],[Company]],31)</f>
        <v/>
      </c>
      <c r="Y123" s="200" t="str" cm="1">
        <f t="array" ref="Y123">Common_InputFunctions.Utility_DisplayArrayInTable(Fertiliser_SourceData.Fertiliser_Products_Data2(), FertiliserProducts[[#Headers],[Company]],31)</f>
        <v/>
      </c>
      <c r="Z123" s="200" t="str" cm="1">
        <f t="array" ref="Z123">Common_InputFunctions.Utility_DisplayArrayInTable(Fertiliser_SourceData.Fertiliser_Products_Data2(), FertiliserProducts[[#Headers],[Company]],31)</f>
        <v/>
      </c>
      <c r="AA123" s="200" t="str" cm="1">
        <f t="array" ref="AA123">Common_InputFunctions.Utility_DisplayArrayInTable(Fertiliser_SourceData.Fertiliser_Products_Data2(), FertiliserProducts[[#Headers],[Company]],31)</f>
        <v/>
      </c>
      <c r="AB123" s="200" t="str" cm="1">
        <f t="array" ref="AB123">Common_InputFunctions.Utility_DisplayArrayInTable(Fertiliser_SourceData.Fertiliser_Products_Data2(), FertiliserProducts[[#Headers],[Company]],31)</f>
        <v/>
      </c>
      <c r="AC123" s="200" t="str" cm="1">
        <f t="array" ref="AC123">Common_InputFunctions.Utility_DisplayArrayInTable(Fertiliser_SourceData.Fertiliser_Products_Data2(), FertiliserProducts[[#Headers],[Company]],31)</f>
        <v/>
      </c>
      <c r="AD123" s="200" t="str" cm="1">
        <f t="array" ref="AD123">Common_InputFunctions.Utility_DisplayArrayInTable(Fertiliser_SourceData.Fertiliser_Products_Data2(), FertiliserProducts[[#Headers],[Company]],31)</f>
        <v/>
      </c>
      <c r="AE123" s="200" t="str" cm="1">
        <f t="array" ref="AE123">Common_InputFunctions.Utility_DisplayArrayInTable(Fertiliser_SourceData.Fertiliser_Products_Data2(), FertiliserProducts[[#Headers],[Company]],31)</f>
        <v/>
      </c>
      <c r="AF123" s="200" t="str" cm="1">
        <f t="array" ref="AF123">Common_InputFunctions.Utility_DisplayArrayInTable(Fertiliser_SourceData.Fertiliser_Products_Data2(), FertiliserProducts[[#Headers],[Company]],31)</f>
        <v/>
      </c>
      <c r="AG123" s="200" t="str" cm="1">
        <f t="array" ref="AG123">Common_InputFunctions.Utility_DisplayArrayInTable(Fertiliser_SourceData.Fertiliser_Products_Data2(), FertiliserProducts[[#Headers],[Company]],31)</f>
        <v/>
      </c>
      <c r="AH123" s="200"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200" t="str" cm="1">
        <f t="array" ref="D124">Common_InputFunctions.Utility_DisplayArrayInTable(Fertiliser_SourceData.Fertiliser_Products_Data2(), FertiliserProducts[[#Headers],[Company]],31)</f>
        <v>Ravensdown</v>
      </c>
      <c r="E124" s="200" t="str" cm="1">
        <f t="array" ref="E124">Common_InputFunctions.Utility_DisplayArrayInTable(Fertiliser_SourceData.Fertiliser_Products_Data2(), FertiliserProducts[[#Headers],[Company]],31)</f>
        <v>Flexi-N NBPT</v>
      </c>
      <c r="F124" s="200" t="str" cm="1">
        <f t="array" ref="F124">Common_InputFunctions.Utility_DisplayArrayInTable(Fertiliser_SourceData.Fertiliser_Products_Data2(), FertiliserProducts[[#Headers],[Company]],31)</f>
        <v>kg</v>
      </c>
      <c r="G124" s="200" cm="1">
        <f t="array" ref="G124">Common_InputFunctions.Utility_DisplayArrayInTable(Fertiliser_SourceData.Fertiliser_Products_Data2(), FertiliserProducts[[#Headers],[Company]],31)</f>
        <v>1</v>
      </c>
      <c r="H124" s="200" t="str" cm="1">
        <f t="array" ref="H124">Common_InputFunctions.Utility_DisplayArrayInTable(Fertiliser_SourceData.Fertiliser_Products_Data2(), FertiliserProducts[[#Headers],[Company]],31)</f>
        <v>Yes</v>
      </c>
      <c r="I124" s="200" t="str" cm="1">
        <f t="array" ref="I124">Common_InputFunctions.Utility_DisplayArrayInTable(Fertiliser_SourceData.Fertiliser_Products_Data2(), FertiliserProducts[[#Headers],[Company]],31)</f>
        <v/>
      </c>
      <c r="J124" s="200" t="str" cm="1">
        <f t="array" ref="J124">Common_InputFunctions.Utility_DisplayArrayInTable(Fertiliser_SourceData.Fertiliser_Products_Data2(), FertiliserProducts[[#Headers],[Company]],31)</f>
        <v/>
      </c>
      <c r="K124" s="200" cm="1">
        <f t="array" ref="K124">Common_InputFunctions.Utility_DisplayArrayInTable(Fertiliser_SourceData.Fertiliser_Products_Data2(), FertiliserProducts[[#Headers],[Company]],31)</f>
        <v>45.54</v>
      </c>
      <c r="L124" s="200" t="str" cm="1">
        <f t="array" ref="L124">Common_InputFunctions.Utility_DisplayArrayInTable(Fertiliser_SourceData.Fertiliser_Products_Data2(), FertiliserProducts[[#Headers],[Company]],31)</f>
        <v/>
      </c>
      <c r="M124" s="200" t="str" cm="1">
        <f t="array" ref="M124">Common_InputFunctions.Utility_DisplayArrayInTable(Fertiliser_SourceData.Fertiliser_Products_Data2(), FertiliserProducts[[#Headers],[Company]],31)</f>
        <v/>
      </c>
      <c r="N124" s="200" t="str" cm="1">
        <f t="array" ref="N124">Common_InputFunctions.Utility_DisplayArrayInTable(Fertiliser_SourceData.Fertiliser_Products_Data2(), FertiliserProducts[[#Headers],[Company]],31)</f>
        <v/>
      </c>
      <c r="O124" s="200" t="str" cm="1">
        <f t="array" ref="O124">Common_InputFunctions.Utility_DisplayArrayInTable(Fertiliser_SourceData.Fertiliser_Products_Data2(), FertiliserProducts[[#Headers],[Company]],31)</f>
        <v>Urea</v>
      </c>
      <c r="P124" s="200" cm="1">
        <f t="array" ref="P124">Common_InputFunctions.Utility_DisplayArrayInTable(Fertiliser_SourceData.Fertiliser_Products_Data2(), FertiliserProducts[[#Headers],[Company]],31)</f>
        <v>0.99</v>
      </c>
      <c r="Q124" s="200" t="str" cm="1">
        <f t="array" ref="Q124">Common_InputFunctions.Utility_DisplayArrayInTable(Fertiliser_SourceData.Fertiliser_Products_Data2(), FertiliserProducts[[#Headers],[Company]],31)</f>
        <v/>
      </c>
      <c r="R124" s="200" t="str" cm="1">
        <f t="array" ref="R124">Common_InputFunctions.Utility_DisplayArrayInTable(Fertiliser_SourceData.Fertiliser_Products_Data2(), FertiliserProducts[[#Headers],[Company]],31)</f>
        <v/>
      </c>
      <c r="S124" s="200" t="str" cm="1">
        <f t="array" ref="S124">Common_InputFunctions.Utility_DisplayArrayInTable(Fertiliser_SourceData.Fertiliser_Products_Data2(), FertiliserProducts[[#Headers],[Company]],31)</f>
        <v/>
      </c>
      <c r="T124" s="200" t="str" cm="1">
        <f t="array" ref="T124">Common_InputFunctions.Utility_DisplayArrayInTable(Fertiliser_SourceData.Fertiliser_Products_Data2(), FertiliserProducts[[#Headers],[Company]],31)</f>
        <v/>
      </c>
      <c r="U124" s="200" t="str" cm="1">
        <f t="array" ref="U124">Common_InputFunctions.Utility_DisplayArrayInTable(Fertiliser_SourceData.Fertiliser_Products_Data2(), FertiliserProducts[[#Headers],[Company]],31)</f>
        <v/>
      </c>
      <c r="V124" s="200" t="str" cm="1">
        <f t="array" ref="V124">Common_InputFunctions.Utility_DisplayArrayInTable(Fertiliser_SourceData.Fertiliser_Products_Data2(), FertiliserProducts[[#Headers],[Company]],31)</f>
        <v/>
      </c>
      <c r="W124" s="200" t="str" cm="1">
        <f t="array" ref="W124">Common_InputFunctions.Utility_DisplayArrayInTable(Fertiliser_SourceData.Fertiliser_Products_Data2(), FertiliserProducts[[#Headers],[Company]],31)</f>
        <v/>
      </c>
      <c r="X124" s="200" t="str" cm="1">
        <f t="array" ref="X124">Common_InputFunctions.Utility_DisplayArrayInTable(Fertiliser_SourceData.Fertiliser_Products_Data2(), FertiliserProducts[[#Headers],[Company]],31)</f>
        <v/>
      </c>
      <c r="Y124" s="200" t="str" cm="1">
        <f t="array" ref="Y124">Common_InputFunctions.Utility_DisplayArrayInTable(Fertiliser_SourceData.Fertiliser_Products_Data2(), FertiliserProducts[[#Headers],[Company]],31)</f>
        <v/>
      </c>
      <c r="Z124" s="200" t="str" cm="1">
        <f t="array" ref="Z124">Common_InputFunctions.Utility_DisplayArrayInTable(Fertiliser_SourceData.Fertiliser_Products_Data2(), FertiliserProducts[[#Headers],[Company]],31)</f>
        <v/>
      </c>
      <c r="AA124" s="200" t="str" cm="1">
        <f t="array" ref="AA124">Common_InputFunctions.Utility_DisplayArrayInTable(Fertiliser_SourceData.Fertiliser_Products_Data2(), FertiliserProducts[[#Headers],[Company]],31)</f>
        <v/>
      </c>
      <c r="AB124" s="200" t="str" cm="1">
        <f t="array" ref="AB124">Common_InputFunctions.Utility_DisplayArrayInTable(Fertiliser_SourceData.Fertiliser_Products_Data2(), FertiliserProducts[[#Headers],[Company]],31)</f>
        <v/>
      </c>
      <c r="AC124" s="200" t="str" cm="1">
        <f t="array" ref="AC124">Common_InputFunctions.Utility_DisplayArrayInTable(Fertiliser_SourceData.Fertiliser_Products_Data2(), FertiliserProducts[[#Headers],[Company]],31)</f>
        <v/>
      </c>
      <c r="AD124" s="200" t="str" cm="1">
        <f t="array" ref="AD124">Common_InputFunctions.Utility_DisplayArrayInTable(Fertiliser_SourceData.Fertiliser_Products_Data2(), FertiliserProducts[[#Headers],[Company]],31)</f>
        <v/>
      </c>
      <c r="AE124" s="200" t="str" cm="1">
        <f t="array" ref="AE124">Common_InputFunctions.Utility_DisplayArrayInTable(Fertiliser_SourceData.Fertiliser_Products_Data2(), FertiliserProducts[[#Headers],[Company]],31)</f>
        <v/>
      </c>
      <c r="AF124" s="200" t="str" cm="1">
        <f t="array" ref="AF124">Common_InputFunctions.Utility_DisplayArrayInTable(Fertiliser_SourceData.Fertiliser_Products_Data2(), FertiliserProducts[[#Headers],[Company]],31)</f>
        <v/>
      </c>
      <c r="AG124" s="200" t="str" cm="1">
        <f t="array" ref="AG124">Common_InputFunctions.Utility_DisplayArrayInTable(Fertiliser_SourceData.Fertiliser_Products_Data2(), FertiliserProducts[[#Headers],[Company]],31)</f>
        <v/>
      </c>
      <c r="AH124" s="200"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200" t="str" cm="1">
        <f t="array" ref="D125">Common_InputFunctions.Utility_DisplayArrayInTable(Fertiliser_SourceData.Fertiliser_Products_Data2(), FertiliserProducts[[#Headers],[Company]],31)</f>
        <v>Campbells fertilisers Australia</v>
      </c>
      <c r="E125" s="200" t="str" cm="1">
        <f t="array" ref="E125">Common_InputFunctions.Utility_DisplayArrayInTable(Fertiliser_SourceData.Fertiliser_Products_Data2(), FertiliserProducts[[#Headers],[Company]],31)</f>
        <v>Gold Premium</v>
      </c>
      <c r="F125" s="200" t="str" cm="1">
        <f t="array" ref="F125">Common_InputFunctions.Utility_DisplayArrayInTable(Fertiliser_SourceData.Fertiliser_Products_Data2(), FertiliserProducts[[#Headers],[Company]],31)</f>
        <v>kg</v>
      </c>
      <c r="G125" s="200" cm="1">
        <f t="array" ref="G125">Common_InputFunctions.Utility_DisplayArrayInTable(Fertiliser_SourceData.Fertiliser_Products_Data2(), FertiliserProducts[[#Headers],[Company]],31)</f>
        <v>1</v>
      </c>
      <c r="H125" s="200" t="str" cm="1">
        <f t="array" ref="H125">Common_InputFunctions.Utility_DisplayArrayInTable(Fertiliser_SourceData.Fertiliser_Products_Data2(), FertiliserProducts[[#Headers],[Company]],31)</f>
        <v/>
      </c>
      <c r="I125" s="200" t="str" cm="1">
        <f t="array" ref="I125">Common_InputFunctions.Utility_DisplayArrayInTable(Fertiliser_SourceData.Fertiliser_Products_Data2(), FertiliserProducts[[#Headers],[Company]],31)</f>
        <v/>
      </c>
      <c r="J125" s="200" t="str" cm="1">
        <f t="array" ref="J125">Common_InputFunctions.Utility_DisplayArrayInTable(Fertiliser_SourceData.Fertiliser_Products_Data2(), FertiliserProducts[[#Headers],[Company]],31)</f>
        <v/>
      </c>
      <c r="K125" s="200" cm="1">
        <f t="array" ref="K125">Common_InputFunctions.Utility_DisplayArrayInTable(Fertiliser_SourceData.Fertiliser_Products_Data2(), FertiliserProducts[[#Headers],[Company]],31)</f>
        <v>14.87</v>
      </c>
      <c r="L125" s="200" cm="1">
        <f t="array" ref="L125">Common_InputFunctions.Utility_DisplayArrayInTable(Fertiliser_SourceData.Fertiliser_Products_Data2(), FertiliserProducts[[#Headers],[Company]],31)</f>
        <v>2.2000000000000002</v>
      </c>
      <c r="M125" s="200" cm="1">
        <f t="array" ref="M125">Common_InputFunctions.Utility_DisplayArrayInTable(Fertiliser_SourceData.Fertiliser_Products_Data2(), FertiliserProducts[[#Headers],[Company]],31)</f>
        <v>16.600000000000001</v>
      </c>
      <c r="N125" s="200" cm="1">
        <f t="array" ref="N125">Common_InputFunctions.Utility_DisplayArrayInTable(Fertiliser_SourceData.Fertiliser_Products_Data2(), FertiliserProducts[[#Headers],[Company]],31)</f>
        <v>8</v>
      </c>
      <c r="O125" s="200" t="str" cm="1">
        <f t="array" ref="O125">Common_InputFunctions.Utility_DisplayArrayInTable(Fertiliser_SourceData.Fertiliser_Products_Data2(), FertiliserProducts[[#Headers],[Company]],31)</f>
        <v>Ammonium nitrate (AN)</v>
      </c>
      <c r="P125" s="200" cm="1">
        <f t="array" ref="P125">Common_InputFunctions.Utility_DisplayArrayInTable(Fertiliser_SourceData.Fertiliser_Products_Data2(), FertiliserProducts[[#Headers],[Company]],31)</f>
        <v>0.44117600000000001</v>
      </c>
      <c r="Q125" s="200" t="str" cm="1">
        <f t="array" ref="Q125">Common_InputFunctions.Utility_DisplayArrayInTable(Fertiliser_SourceData.Fertiliser_Products_Data2(), FertiliserProducts[[#Headers],[Company]],31)</f>
        <v>Potassium - Generic</v>
      </c>
      <c r="R125" s="200" cm="1">
        <f t="array" ref="R125">Common_InputFunctions.Utility_DisplayArrayInTable(Fertiliser_SourceData.Fertiliser_Products_Data2(), FertiliserProducts[[#Headers],[Company]],31)</f>
        <v>0.16600000000000001</v>
      </c>
      <c r="S125" s="200" t="str" cm="1">
        <f t="array" ref="S125">Common_InputFunctions.Utility_DisplayArrayInTable(Fertiliser_SourceData.Fertiliser_Products_Data2(), FertiliserProducts[[#Headers],[Company]],31)</f>
        <v>Sulfur - Generic</v>
      </c>
      <c r="T125" s="200" cm="1">
        <f t="array" ref="T125">Common_InputFunctions.Utility_DisplayArrayInTable(Fertiliser_SourceData.Fertiliser_Products_Data2(), FertiliserProducts[[#Headers],[Company]],31)</f>
        <v>0.08</v>
      </c>
      <c r="U125" s="200" t="str" cm="1">
        <f t="array" ref="U125">Common_InputFunctions.Utility_DisplayArrayInTable(Fertiliser_SourceData.Fertiliser_Products_Data2(), FertiliserProducts[[#Headers],[Company]],31)</f>
        <v>Phosphorus - Generic</v>
      </c>
      <c r="V125" s="200" cm="1">
        <f t="array" ref="V125">Common_InputFunctions.Utility_DisplayArrayInTable(Fertiliser_SourceData.Fertiliser_Products_Data2(), FertiliserProducts[[#Headers],[Company]],31)</f>
        <v>2.1999999999999999E-2</v>
      </c>
      <c r="W125" s="200" t="str" cm="1">
        <f t="array" ref="W125">Common_InputFunctions.Utility_DisplayArrayInTable(Fertiliser_SourceData.Fertiliser_Products_Data2(), FertiliserProducts[[#Headers],[Company]],31)</f>
        <v>Magnesium</v>
      </c>
      <c r="X125" s="200" cm="1">
        <f t="array" ref="X125">Common_InputFunctions.Utility_DisplayArrayInTable(Fertiliser_SourceData.Fertiliser_Products_Data2(), FertiliserProducts[[#Headers],[Company]],31)</f>
        <v>1.2E-2</v>
      </c>
      <c r="Y125" s="200" t="str" cm="1">
        <f t="array" ref="Y125">Common_InputFunctions.Utility_DisplayArrayInTable(Fertiliser_SourceData.Fertiliser_Products_Data2(), FertiliserProducts[[#Headers],[Company]],31)</f>
        <v>Boron</v>
      </c>
      <c r="Z125" s="200" cm="1">
        <f t="array" ref="Z125">Common_InputFunctions.Utility_DisplayArrayInTable(Fertiliser_SourceData.Fertiliser_Products_Data2(), FertiliserProducts[[#Headers],[Company]],31)</f>
        <v>2.0000000000000001E-4</v>
      </c>
      <c r="AA125" s="200" t="str" cm="1">
        <f t="array" ref="AA125">Common_InputFunctions.Utility_DisplayArrayInTable(Fertiliser_SourceData.Fertiliser_Products_Data2(), FertiliserProducts[[#Headers],[Company]],31)</f>
        <v>Zinc</v>
      </c>
      <c r="AB125" s="200" cm="1">
        <f t="array" ref="AB125">Common_InputFunctions.Utility_DisplayArrayInTable(Fertiliser_SourceData.Fertiliser_Products_Data2(), FertiliserProducts[[#Headers],[Company]],31)</f>
        <v>1E-4</v>
      </c>
      <c r="AC125" s="200" t="str" cm="1">
        <f t="array" ref="AC125">Common_InputFunctions.Utility_DisplayArrayInTable(Fertiliser_SourceData.Fertiliser_Products_Data2(), FertiliserProducts[[#Headers],[Company]],31)</f>
        <v/>
      </c>
      <c r="AD125" s="200" t="str" cm="1">
        <f t="array" ref="AD125">Common_InputFunctions.Utility_DisplayArrayInTable(Fertiliser_SourceData.Fertiliser_Products_Data2(), FertiliserProducts[[#Headers],[Company]],31)</f>
        <v/>
      </c>
      <c r="AE125" s="200" t="str" cm="1">
        <f t="array" ref="AE125">Common_InputFunctions.Utility_DisplayArrayInTable(Fertiliser_SourceData.Fertiliser_Products_Data2(), FertiliserProducts[[#Headers],[Company]],31)</f>
        <v/>
      </c>
      <c r="AF125" s="200" t="str" cm="1">
        <f t="array" ref="AF125">Common_InputFunctions.Utility_DisplayArrayInTable(Fertiliser_SourceData.Fertiliser_Products_Data2(), FertiliserProducts[[#Headers],[Company]],31)</f>
        <v/>
      </c>
      <c r="AG125" s="200" t="str" cm="1">
        <f t="array" ref="AG125">Common_InputFunctions.Utility_DisplayArrayInTable(Fertiliser_SourceData.Fertiliser_Products_Data2(), FertiliserProducts[[#Headers],[Company]],31)</f>
        <v/>
      </c>
      <c r="AH125" s="200"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200" t="str" cm="1">
        <f t="array" ref="D126">Common_InputFunctions.Utility_DisplayArrayInTable(Fertiliser_SourceData.Fertiliser_Products_Data2(), FertiliserProducts[[#Headers],[Company]],31)</f>
        <v>SL Tec</v>
      </c>
      <c r="E126" s="200" t="str" cm="1">
        <f t="array" ref="E126">Common_InputFunctions.Utility_DisplayArrayInTable(Fertiliser_SourceData.Fertiliser_Products_Data2(), FertiliserProducts[[#Headers],[Company]],31)</f>
        <v>High NS</v>
      </c>
      <c r="F126" s="200" t="str" cm="1">
        <f t="array" ref="F126">Common_InputFunctions.Utility_DisplayArrayInTable(Fertiliser_SourceData.Fertiliser_Products_Data2(), FertiliserProducts[[#Headers],[Company]],31)</f>
        <v>L</v>
      </c>
      <c r="G126" s="200" cm="1">
        <f t="array" ref="G126">Common_InputFunctions.Utility_DisplayArrayInTable(Fertiliser_SourceData.Fertiliser_Products_Data2(), FertiliserProducts[[#Headers],[Company]],31)</f>
        <v>1.2989999999999999</v>
      </c>
      <c r="H126" s="200" t="str" cm="1">
        <f t="array" ref="H126">Common_InputFunctions.Utility_DisplayArrayInTable(Fertiliser_SourceData.Fertiliser_Products_Data2(), FertiliserProducts[[#Headers],[Company]],31)</f>
        <v/>
      </c>
      <c r="I126" s="200" t="str" cm="1">
        <f t="array" ref="I126">Common_InputFunctions.Utility_DisplayArrayInTable(Fertiliser_SourceData.Fertiliser_Products_Data2(), FertiliserProducts[[#Headers],[Company]],31)</f>
        <v/>
      </c>
      <c r="J126" s="200" t="str" cm="1">
        <f t="array" ref="J126">Common_InputFunctions.Utility_DisplayArrayInTable(Fertiliser_SourceData.Fertiliser_Products_Data2(), FertiliserProducts[[#Headers],[Company]],31)</f>
        <v/>
      </c>
      <c r="K126" s="200" cm="1">
        <f t="array" ref="K126">Common_InputFunctions.Utility_DisplayArrayInTable(Fertiliser_SourceData.Fertiliser_Products_Data2(), FertiliserProducts[[#Headers],[Company]],31)</f>
        <v>38</v>
      </c>
      <c r="L126" s="200" t="str" cm="1">
        <f t="array" ref="L126">Common_InputFunctions.Utility_DisplayArrayInTable(Fertiliser_SourceData.Fertiliser_Products_Data2(), FertiliserProducts[[#Headers],[Company]],31)</f>
        <v/>
      </c>
      <c r="M126" s="200" t="str" cm="1">
        <f t="array" ref="M126">Common_InputFunctions.Utility_DisplayArrayInTable(Fertiliser_SourceData.Fertiliser_Products_Data2(), FertiliserProducts[[#Headers],[Company]],31)</f>
        <v/>
      </c>
      <c r="N126" s="200" cm="1">
        <f t="array" ref="N126">Common_InputFunctions.Utility_DisplayArrayInTable(Fertiliser_SourceData.Fertiliser_Products_Data2(), FertiliserProducts[[#Headers],[Company]],31)</f>
        <v>2</v>
      </c>
      <c r="O126" s="200" t="str" cm="1">
        <f t="array" ref="O126">Common_InputFunctions.Utility_DisplayArrayInTable(Fertiliser_SourceData.Fertiliser_Products_Data2(), FertiliserProducts[[#Headers],[Company]],31)</f>
        <v>Urea</v>
      </c>
      <c r="P126" s="200" cm="1">
        <f t="array" ref="P126">Common_InputFunctions.Utility_DisplayArrayInTable(Fertiliser_SourceData.Fertiliser_Products_Data2(), FertiliserProducts[[#Headers],[Company]],31)</f>
        <v>0.46087</v>
      </c>
      <c r="Q126" s="200" t="str" cm="1">
        <f t="array" ref="Q126">Common_InputFunctions.Utility_DisplayArrayInTable(Fertiliser_SourceData.Fertiliser_Products_Data2(), FertiliserProducts[[#Headers],[Company]],31)</f>
        <v>Nitrogen - Ammoniacal</v>
      </c>
      <c r="R126" s="200" cm="1">
        <f t="array" ref="R126">Common_InputFunctions.Utility_DisplayArrayInTable(Fertiliser_SourceData.Fertiliser_Products_Data2(), FertiliserProducts[[#Headers],[Company]],31)</f>
        <v>9.1999999999999998E-2</v>
      </c>
      <c r="S126" s="200" t="str" cm="1">
        <f t="array" ref="S126">Common_InputFunctions.Utility_DisplayArrayInTable(Fertiliser_SourceData.Fertiliser_Products_Data2(), FertiliserProducts[[#Headers],[Company]],31)</f>
        <v>Nitrogen - Nitrate</v>
      </c>
      <c r="T126" s="200" cm="1">
        <f t="array" ref="T126">Common_InputFunctions.Utility_DisplayArrayInTable(Fertiliser_SourceData.Fertiliser_Products_Data2(), FertiliserProducts[[#Headers],[Company]],31)</f>
        <v>7.5999999999999998E-2</v>
      </c>
      <c r="U126" s="200" t="str" cm="1">
        <f t="array" ref="U126">Common_InputFunctions.Utility_DisplayArrayInTable(Fertiliser_SourceData.Fertiliser_Products_Data2(), FertiliserProducts[[#Headers],[Company]],31)</f>
        <v>Sulfur - Generic</v>
      </c>
      <c r="V126" s="200" cm="1">
        <f t="array" ref="V126">Common_InputFunctions.Utility_DisplayArrayInTable(Fertiliser_SourceData.Fertiliser_Products_Data2(), FertiliserProducts[[#Headers],[Company]],31)</f>
        <v>0.02</v>
      </c>
      <c r="W126" s="200" t="str" cm="1">
        <f t="array" ref="W126">Common_InputFunctions.Utility_DisplayArrayInTable(Fertiliser_SourceData.Fertiliser_Products_Data2(), FertiliserProducts[[#Headers],[Company]],31)</f>
        <v/>
      </c>
      <c r="X126" s="200" t="str" cm="1">
        <f t="array" ref="X126">Common_InputFunctions.Utility_DisplayArrayInTable(Fertiliser_SourceData.Fertiliser_Products_Data2(), FertiliserProducts[[#Headers],[Company]],31)</f>
        <v/>
      </c>
      <c r="Y126" s="200" t="str" cm="1">
        <f t="array" ref="Y126">Common_InputFunctions.Utility_DisplayArrayInTable(Fertiliser_SourceData.Fertiliser_Products_Data2(), FertiliserProducts[[#Headers],[Company]],31)</f>
        <v/>
      </c>
      <c r="Z126" s="200" t="str" cm="1">
        <f t="array" ref="Z126">Common_InputFunctions.Utility_DisplayArrayInTable(Fertiliser_SourceData.Fertiliser_Products_Data2(), FertiliserProducts[[#Headers],[Company]],31)</f>
        <v/>
      </c>
      <c r="AA126" s="200" t="str" cm="1">
        <f t="array" ref="AA126">Common_InputFunctions.Utility_DisplayArrayInTable(Fertiliser_SourceData.Fertiliser_Products_Data2(), FertiliserProducts[[#Headers],[Company]],31)</f>
        <v/>
      </c>
      <c r="AB126" s="200" t="str" cm="1">
        <f t="array" ref="AB126">Common_InputFunctions.Utility_DisplayArrayInTable(Fertiliser_SourceData.Fertiliser_Products_Data2(), FertiliserProducts[[#Headers],[Company]],31)</f>
        <v/>
      </c>
      <c r="AC126" s="200" t="str" cm="1">
        <f t="array" ref="AC126">Common_InputFunctions.Utility_DisplayArrayInTable(Fertiliser_SourceData.Fertiliser_Products_Data2(), FertiliserProducts[[#Headers],[Company]],31)</f>
        <v/>
      </c>
      <c r="AD126" s="200" t="str" cm="1">
        <f t="array" ref="AD126">Common_InputFunctions.Utility_DisplayArrayInTable(Fertiliser_SourceData.Fertiliser_Products_Data2(), FertiliserProducts[[#Headers],[Company]],31)</f>
        <v/>
      </c>
      <c r="AE126" s="200" t="str" cm="1">
        <f t="array" ref="AE126">Common_InputFunctions.Utility_DisplayArrayInTable(Fertiliser_SourceData.Fertiliser_Products_Data2(), FertiliserProducts[[#Headers],[Company]],31)</f>
        <v/>
      </c>
      <c r="AF126" s="200" t="str" cm="1">
        <f t="array" ref="AF126">Common_InputFunctions.Utility_DisplayArrayInTable(Fertiliser_SourceData.Fertiliser_Products_Data2(), FertiliserProducts[[#Headers],[Company]],31)</f>
        <v/>
      </c>
      <c r="AG126" s="200" t="str" cm="1">
        <f t="array" ref="AG126">Common_InputFunctions.Utility_DisplayArrayInTable(Fertiliser_SourceData.Fertiliser_Products_Data2(), FertiliserProducts[[#Headers],[Company]],31)</f>
        <v/>
      </c>
      <c r="AH126" s="200"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200" t="str" cm="1">
        <f t="array" ref="D127">Common_InputFunctions.Utility_DisplayArrayInTable(Fertiliser_SourceData.Fertiliser_Products_Data2(), FertiliserProducts[[#Headers],[Company]],31)</f>
        <v>Impact Fertilisers</v>
      </c>
      <c r="E127" s="200" t="str" cm="1">
        <f t="array" ref="E127">Common_InputFunctions.Utility_DisplayArrayInTable(Fertiliser_SourceData.Fertiliser_Products_Data2(), FertiliserProducts[[#Headers],[Company]],31)</f>
        <v>Impact SSP</v>
      </c>
      <c r="F127" s="200" t="str" cm="1">
        <f t="array" ref="F127">Common_InputFunctions.Utility_DisplayArrayInTable(Fertiliser_SourceData.Fertiliser_Products_Data2(), FertiliserProducts[[#Headers],[Company]],31)</f>
        <v>kg</v>
      </c>
      <c r="G127" s="200" cm="1">
        <f t="array" ref="G127">Common_InputFunctions.Utility_DisplayArrayInTable(Fertiliser_SourceData.Fertiliser_Products_Data2(), FertiliserProducts[[#Headers],[Company]],31)</f>
        <v>1</v>
      </c>
      <c r="H127" s="200" t="str" cm="1">
        <f t="array" ref="H127">Common_InputFunctions.Utility_DisplayArrayInTable(Fertiliser_SourceData.Fertiliser_Products_Data2(), FertiliserProducts[[#Headers],[Company]],31)</f>
        <v/>
      </c>
      <c r="I127" s="200" t="str" cm="1">
        <f t="array" ref="I127">Common_InputFunctions.Utility_DisplayArrayInTable(Fertiliser_SourceData.Fertiliser_Products_Data2(), FertiliserProducts[[#Headers],[Company]],31)</f>
        <v/>
      </c>
      <c r="J127" s="200" t="str" cm="1">
        <f t="array" ref="J127">Common_InputFunctions.Utility_DisplayArrayInTable(Fertiliser_SourceData.Fertiliser_Products_Data2(), FertiliserProducts[[#Headers],[Company]],31)</f>
        <v/>
      </c>
      <c r="K127" s="200" t="str" cm="1">
        <f t="array" ref="K127">Common_InputFunctions.Utility_DisplayArrayInTable(Fertiliser_SourceData.Fertiliser_Products_Data2(), FertiliserProducts[[#Headers],[Company]],31)</f>
        <v/>
      </c>
      <c r="L127" s="200" cm="1">
        <f t="array" ref="L127">Common_InputFunctions.Utility_DisplayArrayInTable(Fertiliser_SourceData.Fertiliser_Products_Data2(), FertiliserProducts[[#Headers],[Company]],31)</f>
        <v>8.8000000000000007</v>
      </c>
      <c r="M127" s="200" t="str" cm="1">
        <f t="array" ref="M127">Common_InputFunctions.Utility_DisplayArrayInTable(Fertiliser_SourceData.Fertiliser_Products_Data2(), FertiliserProducts[[#Headers],[Company]],31)</f>
        <v/>
      </c>
      <c r="N127" s="200" cm="1">
        <f t="array" ref="N127">Common_InputFunctions.Utility_DisplayArrayInTable(Fertiliser_SourceData.Fertiliser_Products_Data2(), FertiliserProducts[[#Headers],[Company]],31)</f>
        <v>11</v>
      </c>
      <c r="O127" s="200" t="str" cm="1">
        <f t="array" ref="O127">Common_InputFunctions.Utility_DisplayArrayInTable(Fertiliser_SourceData.Fertiliser_Products_Data2(), FertiliserProducts[[#Headers],[Company]],31)</f>
        <v>Single superphosphate (SSP)</v>
      </c>
      <c r="P127" s="200" cm="1">
        <f t="array" ref="P127">Common_InputFunctions.Utility_DisplayArrayInTable(Fertiliser_SourceData.Fertiliser_Products_Data2(), FertiliserProducts[[#Headers],[Company]],31)</f>
        <v>1</v>
      </c>
      <c r="Q127" s="200" t="str" cm="1">
        <f t="array" ref="Q127">Common_InputFunctions.Utility_DisplayArrayInTable(Fertiliser_SourceData.Fertiliser_Products_Data2(), FertiliserProducts[[#Headers],[Company]],31)</f>
        <v/>
      </c>
      <c r="R127" s="200" t="str" cm="1">
        <f t="array" ref="R127">Common_InputFunctions.Utility_DisplayArrayInTable(Fertiliser_SourceData.Fertiliser_Products_Data2(), FertiliserProducts[[#Headers],[Company]],31)</f>
        <v/>
      </c>
      <c r="S127" s="200" t="str" cm="1">
        <f t="array" ref="S127">Common_InputFunctions.Utility_DisplayArrayInTable(Fertiliser_SourceData.Fertiliser_Products_Data2(), FertiliserProducts[[#Headers],[Company]],31)</f>
        <v/>
      </c>
      <c r="T127" s="200" t="str" cm="1">
        <f t="array" ref="T127">Common_InputFunctions.Utility_DisplayArrayInTable(Fertiliser_SourceData.Fertiliser_Products_Data2(), FertiliserProducts[[#Headers],[Company]],31)</f>
        <v/>
      </c>
      <c r="U127" s="200" t="str" cm="1">
        <f t="array" ref="U127">Common_InputFunctions.Utility_DisplayArrayInTable(Fertiliser_SourceData.Fertiliser_Products_Data2(), FertiliserProducts[[#Headers],[Company]],31)</f>
        <v/>
      </c>
      <c r="V127" s="200" t="str" cm="1">
        <f t="array" ref="V127">Common_InputFunctions.Utility_DisplayArrayInTable(Fertiliser_SourceData.Fertiliser_Products_Data2(), FertiliserProducts[[#Headers],[Company]],31)</f>
        <v/>
      </c>
      <c r="W127" s="200" t="str" cm="1">
        <f t="array" ref="W127">Common_InputFunctions.Utility_DisplayArrayInTable(Fertiliser_SourceData.Fertiliser_Products_Data2(), FertiliserProducts[[#Headers],[Company]],31)</f>
        <v/>
      </c>
      <c r="X127" s="200" t="str" cm="1">
        <f t="array" ref="X127">Common_InputFunctions.Utility_DisplayArrayInTable(Fertiliser_SourceData.Fertiliser_Products_Data2(), FertiliserProducts[[#Headers],[Company]],31)</f>
        <v/>
      </c>
      <c r="Y127" s="200" t="str" cm="1">
        <f t="array" ref="Y127">Common_InputFunctions.Utility_DisplayArrayInTable(Fertiliser_SourceData.Fertiliser_Products_Data2(), FertiliserProducts[[#Headers],[Company]],31)</f>
        <v/>
      </c>
      <c r="Z127" s="200" t="str" cm="1">
        <f t="array" ref="Z127">Common_InputFunctions.Utility_DisplayArrayInTable(Fertiliser_SourceData.Fertiliser_Products_Data2(), FertiliserProducts[[#Headers],[Company]],31)</f>
        <v/>
      </c>
      <c r="AA127" s="200" t="str" cm="1">
        <f t="array" ref="AA127">Common_InputFunctions.Utility_DisplayArrayInTable(Fertiliser_SourceData.Fertiliser_Products_Data2(), FertiliserProducts[[#Headers],[Company]],31)</f>
        <v/>
      </c>
      <c r="AB127" s="200" t="str" cm="1">
        <f t="array" ref="AB127">Common_InputFunctions.Utility_DisplayArrayInTable(Fertiliser_SourceData.Fertiliser_Products_Data2(), FertiliserProducts[[#Headers],[Company]],31)</f>
        <v/>
      </c>
      <c r="AC127" s="200" t="str" cm="1">
        <f t="array" ref="AC127">Common_InputFunctions.Utility_DisplayArrayInTable(Fertiliser_SourceData.Fertiliser_Products_Data2(), FertiliserProducts[[#Headers],[Company]],31)</f>
        <v/>
      </c>
      <c r="AD127" s="200" t="str" cm="1">
        <f t="array" ref="AD127">Common_InputFunctions.Utility_DisplayArrayInTable(Fertiliser_SourceData.Fertiliser_Products_Data2(), FertiliserProducts[[#Headers],[Company]],31)</f>
        <v/>
      </c>
      <c r="AE127" s="200" t="str" cm="1">
        <f t="array" ref="AE127">Common_InputFunctions.Utility_DisplayArrayInTable(Fertiliser_SourceData.Fertiliser_Products_Data2(), FertiliserProducts[[#Headers],[Company]],31)</f>
        <v/>
      </c>
      <c r="AF127" s="200" t="str" cm="1">
        <f t="array" ref="AF127">Common_InputFunctions.Utility_DisplayArrayInTable(Fertiliser_SourceData.Fertiliser_Products_Data2(), FertiliserProducts[[#Headers],[Company]],31)</f>
        <v/>
      </c>
      <c r="AG127" s="200" t="str" cm="1">
        <f t="array" ref="AG127">Common_InputFunctions.Utility_DisplayArrayInTable(Fertiliser_SourceData.Fertiliser_Products_Data2(), FertiliserProducts[[#Headers],[Company]],31)</f>
        <v/>
      </c>
      <c r="AH127" s="200"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200" t="str" cm="1">
        <f t="array" ref="D128">Common_InputFunctions.Utility_DisplayArrayInTable(Fertiliser_SourceData.Fertiliser_Products_Data2(), FertiliserProducts[[#Headers],[Company]],31)</f>
        <v>Switch Ag</v>
      </c>
      <c r="E128" s="200" t="str" cm="1">
        <f t="array" ref="E128">Common_InputFunctions.Utility_DisplayArrayInTable(Fertiliser_SourceData.Fertiliser_Products_Data2(), FertiliserProducts[[#Headers],[Company]],31)</f>
        <v>In Crop</v>
      </c>
      <c r="F128" s="200" t="str" cm="1">
        <f t="array" ref="F128">Common_InputFunctions.Utility_DisplayArrayInTable(Fertiliser_SourceData.Fertiliser_Products_Data2(), FertiliserProducts[[#Headers],[Company]],31)</f>
        <v>L</v>
      </c>
      <c r="G128" s="200" cm="1">
        <f t="array" ref="G128">Common_InputFunctions.Utility_DisplayArrayInTable(Fertiliser_SourceData.Fertiliser_Products_Data2(), FertiliserProducts[[#Headers],[Company]],31)</f>
        <v>1.2</v>
      </c>
      <c r="H128" s="200" t="str" cm="1">
        <f t="array" ref="H128">Common_InputFunctions.Utility_DisplayArrayInTable(Fertiliser_SourceData.Fertiliser_Products_Data2(), FertiliserProducts[[#Headers],[Company]],31)</f>
        <v/>
      </c>
      <c r="I128" s="200" t="str" cm="1">
        <f t="array" ref="I128">Common_InputFunctions.Utility_DisplayArrayInTable(Fertiliser_SourceData.Fertiliser_Products_Data2(), FertiliserProducts[[#Headers],[Company]],31)</f>
        <v/>
      </c>
      <c r="J128" s="200" t="str" cm="1">
        <f t="array" ref="J128">Common_InputFunctions.Utility_DisplayArrayInTable(Fertiliser_SourceData.Fertiliser_Products_Data2(), FertiliserProducts[[#Headers],[Company]],31)</f>
        <v/>
      </c>
      <c r="K128" s="200" cm="1">
        <f t="array" ref="K128">Common_InputFunctions.Utility_DisplayArrayInTable(Fertiliser_SourceData.Fertiliser_Products_Data2(), FertiliserProducts[[#Headers],[Company]],31)</f>
        <v>10</v>
      </c>
      <c r="L128" s="200" cm="1">
        <f t="array" ref="L128">Common_InputFunctions.Utility_DisplayArrayInTable(Fertiliser_SourceData.Fertiliser_Products_Data2(), FertiliserProducts[[#Headers],[Company]],31)</f>
        <v>1</v>
      </c>
      <c r="M128" s="200" cm="1">
        <f t="array" ref="M128">Common_InputFunctions.Utility_DisplayArrayInTable(Fertiliser_SourceData.Fertiliser_Products_Data2(), FertiliserProducts[[#Headers],[Company]],31)</f>
        <v>11</v>
      </c>
      <c r="N128" s="200" t="str" cm="1">
        <f t="array" ref="N128">Common_InputFunctions.Utility_DisplayArrayInTable(Fertiliser_SourceData.Fertiliser_Products_Data2(), FertiliserProducts[[#Headers],[Company]],31)</f>
        <v/>
      </c>
      <c r="O128" s="200" t="str" cm="1">
        <f t="array" ref="O128">Common_InputFunctions.Utility_DisplayArrayInTable(Fertiliser_SourceData.Fertiliser_Products_Data2(), FertiliserProducts[[#Headers],[Company]],31)</f>
        <v>Potassium - Generic</v>
      </c>
      <c r="P128" s="200" cm="1">
        <f t="array" ref="P128">Common_InputFunctions.Utility_DisplayArrayInTable(Fertiliser_SourceData.Fertiliser_Products_Data2(), FertiliserProducts[[#Headers],[Company]],31)</f>
        <v>0.11</v>
      </c>
      <c r="Q128" s="200" t="str" cm="1">
        <f t="array" ref="Q128">Common_InputFunctions.Utility_DisplayArrayInTable(Fertiliser_SourceData.Fertiliser_Products_Data2(), FertiliserProducts[[#Headers],[Company]],31)</f>
        <v>Nitrogen - Generic</v>
      </c>
      <c r="R128" s="200" cm="1">
        <f t="array" ref="R128">Common_InputFunctions.Utility_DisplayArrayInTable(Fertiliser_SourceData.Fertiliser_Products_Data2(), FertiliserProducts[[#Headers],[Company]],31)</f>
        <v>0.1</v>
      </c>
      <c r="S128" s="200" t="str" cm="1">
        <f t="array" ref="S128">Common_InputFunctions.Utility_DisplayArrayInTable(Fertiliser_SourceData.Fertiliser_Products_Data2(), FertiliserProducts[[#Headers],[Company]],31)</f>
        <v>Phosphorus - Generic</v>
      </c>
      <c r="T128" s="200" cm="1">
        <f t="array" ref="T128">Common_InputFunctions.Utility_DisplayArrayInTable(Fertiliser_SourceData.Fertiliser_Products_Data2(), FertiliserProducts[[#Headers],[Company]],31)</f>
        <v>0.01</v>
      </c>
      <c r="U128" s="200" t="str" cm="1">
        <f t="array" ref="U128">Common_InputFunctions.Utility_DisplayArrayInTable(Fertiliser_SourceData.Fertiliser_Products_Data2(), FertiliserProducts[[#Headers],[Company]],31)</f>
        <v/>
      </c>
      <c r="V128" s="200" t="str" cm="1">
        <f t="array" ref="V128">Common_InputFunctions.Utility_DisplayArrayInTable(Fertiliser_SourceData.Fertiliser_Products_Data2(), FertiliserProducts[[#Headers],[Company]],31)</f>
        <v/>
      </c>
      <c r="W128" s="200" t="str" cm="1">
        <f t="array" ref="W128">Common_InputFunctions.Utility_DisplayArrayInTable(Fertiliser_SourceData.Fertiliser_Products_Data2(), FertiliserProducts[[#Headers],[Company]],31)</f>
        <v/>
      </c>
      <c r="X128" s="200" t="str" cm="1">
        <f t="array" ref="X128">Common_InputFunctions.Utility_DisplayArrayInTable(Fertiliser_SourceData.Fertiliser_Products_Data2(), FertiliserProducts[[#Headers],[Company]],31)</f>
        <v/>
      </c>
      <c r="Y128" s="200" t="str" cm="1">
        <f t="array" ref="Y128">Common_InputFunctions.Utility_DisplayArrayInTable(Fertiliser_SourceData.Fertiliser_Products_Data2(), FertiliserProducts[[#Headers],[Company]],31)</f>
        <v/>
      </c>
      <c r="Z128" s="200" t="str" cm="1">
        <f t="array" ref="Z128">Common_InputFunctions.Utility_DisplayArrayInTable(Fertiliser_SourceData.Fertiliser_Products_Data2(), FertiliserProducts[[#Headers],[Company]],31)</f>
        <v/>
      </c>
      <c r="AA128" s="200" t="str" cm="1">
        <f t="array" ref="AA128">Common_InputFunctions.Utility_DisplayArrayInTable(Fertiliser_SourceData.Fertiliser_Products_Data2(), FertiliserProducts[[#Headers],[Company]],31)</f>
        <v/>
      </c>
      <c r="AB128" s="200" t="str" cm="1">
        <f t="array" ref="AB128">Common_InputFunctions.Utility_DisplayArrayInTable(Fertiliser_SourceData.Fertiliser_Products_Data2(), FertiliserProducts[[#Headers],[Company]],31)</f>
        <v/>
      </c>
      <c r="AC128" s="200" t="str" cm="1">
        <f t="array" ref="AC128">Common_InputFunctions.Utility_DisplayArrayInTable(Fertiliser_SourceData.Fertiliser_Products_Data2(), FertiliserProducts[[#Headers],[Company]],31)</f>
        <v/>
      </c>
      <c r="AD128" s="200" t="str" cm="1">
        <f t="array" ref="AD128">Common_InputFunctions.Utility_DisplayArrayInTable(Fertiliser_SourceData.Fertiliser_Products_Data2(), FertiliserProducts[[#Headers],[Company]],31)</f>
        <v/>
      </c>
      <c r="AE128" s="200" t="str" cm="1">
        <f t="array" ref="AE128">Common_InputFunctions.Utility_DisplayArrayInTable(Fertiliser_SourceData.Fertiliser_Products_Data2(), FertiliserProducts[[#Headers],[Company]],31)</f>
        <v/>
      </c>
      <c r="AF128" s="200" t="str" cm="1">
        <f t="array" ref="AF128">Common_InputFunctions.Utility_DisplayArrayInTable(Fertiliser_SourceData.Fertiliser_Products_Data2(), FertiliserProducts[[#Headers],[Company]],31)</f>
        <v/>
      </c>
      <c r="AG128" s="200" t="str" cm="1">
        <f t="array" ref="AG128">Common_InputFunctions.Utility_DisplayArrayInTable(Fertiliser_SourceData.Fertiliser_Products_Data2(), FertiliserProducts[[#Headers],[Company]],31)</f>
        <v/>
      </c>
      <c r="AH128" s="200"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200" t="str" cm="1">
        <f t="array" ref="D129">Common_InputFunctions.Utility_DisplayArrayInTable(Fertiliser_SourceData.Fertiliser_Products_Data2(), FertiliserProducts[[#Headers],[Company]],31)</f>
        <v>Switch Ag</v>
      </c>
      <c r="E129" s="200" t="str" cm="1">
        <f t="array" ref="E129">Common_InputFunctions.Utility_DisplayArrayInTable(Fertiliser_SourceData.Fertiliser_Products_Data2(), FertiliserProducts[[#Headers],[Company]],31)</f>
        <v>K20</v>
      </c>
      <c r="F129" s="200" t="str" cm="1">
        <f t="array" ref="F129">Common_InputFunctions.Utility_DisplayArrayInTable(Fertiliser_SourceData.Fertiliser_Products_Data2(), FertiliserProducts[[#Headers],[Company]],31)</f>
        <v>L</v>
      </c>
      <c r="G129" s="200" cm="1">
        <f t="array" ref="G129">Common_InputFunctions.Utility_DisplayArrayInTable(Fertiliser_SourceData.Fertiliser_Products_Data2(), FertiliserProducts[[#Headers],[Company]],31)</f>
        <v>1.3</v>
      </c>
      <c r="H129" s="200" t="str" cm="1">
        <f t="array" ref="H129">Common_InputFunctions.Utility_DisplayArrayInTable(Fertiliser_SourceData.Fertiliser_Products_Data2(), FertiliserProducts[[#Headers],[Company]],31)</f>
        <v/>
      </c>
      <c r="I129" s="200" t="str" cm="1">
        <f t="array" ref="I129">Common_InputFunctions.Utility_DisplayArrayInTable(Fertiliser_SourceData.Fertiliser_Products_Data2(), FertiliserProducts[[#Headers],[Company]],31)</f>
        <v/>
      </c>
      <c r="J129" s="200" t="str" cm="1">
        <f t="array" ref="J129">Common_InputFunctions.Utility_DisplayArrayInTable(Fertiliser_SourceData.Fertiliser_Products_Data2(), FertiliserProducts[[#Headers],[Company]],31)</f>
        <v/>
      </c>
      <c r="K129" s="200" cm="1">
        <f t="array" ref="K129">Common_InputFunctions.Utility_DisplayArrayInTable(Fertiliser_SourceData.Fertiliser_Products_Data2(), FertiliserProducts[[#Headers],[Company]],31)</f>
        <v>3</v>
      </c>
      <c r="L129" s="200" t="str" cm="1">
        <f t="array" ref="L129">Common_InputFunctions.Utility_DisplayArrayInTable(Fertiliser_SourceData.Fertiliser_Products_Data2(), FertiliserProducts[[#Headers],[Company]],31)</f>
        <v/>
      </c>
      <c r="M129" s="200" cm="1">
        <f t="array" ref="M129">Common_InputFunctions.Utility_DisplayArrayInTable(Fertiliser_SourceData.Fertiliser_Products_Data2(), FertiliserProducts[[#Headers],[Company]],31)</f>
        <v>22</v>
      </c>
      <c r="N129" s="200" t="str" cm="1">
        <f t="array" ref="N129">Common_InputFunctions.Utility_DisplayArrayInTable(Fertiliser_SourceData.Fertiliser_Products_Data2(), FertiliserProducts[[#Headers],[Company]],31)</f>
        <v/>
      </c>
      <c r="O129" s="200" t="str" cm="1">
        <f t="array" ref="O129">Common_InputFunctions.Utility_DisplayArrayInTable(Fertiliser_SourceData.Fertiliser_Products_Data2(), FertiliserProducts[[#Headers],[Company]],31)</f>
        <v>Potassium - Generic</v>
      </c>
      <c r="P129" s="200" cm="1">
        <f t="array" ref="P129">Common_InputFunctions.Utility_DisplayArrayInTable(Fertiliser_SourceData.Fertiliser_Products_Data2(), FertiliserProducts[[#Headers],[Company]],31)</f>
        <v>0.22</v>
      </c>
      <c r="Q129" s="200" t="str" cm="1">
        <f t="array" ref="Q129">Common_InputFunctions.Utility_DisplayArrayInTable(Fertiliser_SourceData.Fertiliser_Products_Data2(), FertiliserProducts[[#Headers],[Company]],31)</f>
        <v>Nitrogen - Generic</v>
      </c>
      <c r="R129" s="200" cm="1">
        <f t="array" ref="R129">Common_InputFunctions.Utility_DisplayArrayInTable(Fertiliser_SourceData.Fertiliser_Products_Data2(), FertiliserProducts[[#Headers],[Company]],31)</f>
        <v>0.03</v>
      </c>
      <c r="S129" s="200" t="str" cm="1">
        <f t="array" ref="S129">Common_InputFunctions.Utility_DisplayArrayInTable(Fertiliser_SourceData.Fertiliser_Products_Data2(), FertiliserProducts[[#Headers],[Company]],31)</f>
        <v/>
      </c>
      <c r="T129" s="200" t="str" cm="1">
        <f t="array" ref="T129">Common_InputFunctions.Utility_DisplayArrayInTable(Fertiliser_SourceData.Fertiliser_Products_Data2(), FertiliserProducts[[#Headers],[Company]],31)</f>
        <v/>
      </c>
      <c r="U129" s="200" t="str" cm="1">
        <f t="array" ref="U129">Common_InputFunctions.Utility_DisplayArrayInTable(Fertiliser_SourceData.Fertiliser_Products_Data2(), FertiliserProducts[[#Headers],[Company]],31)</f>
        <v/>
      </c>
      <c r="V129" s="200" t="str" cm="1">
        <f t="array" ref="V129">Common_InputFunctions.Utility_DisplayArrayInTable(Fertiliser_SourceData.Fertiliser_Products_Data2(), FertiliserProducts[[#Headers],[Company]],31)</f>
        <v/>
      </c>
      <c r="W129" s="200" t="str" cm="1">
        <f t="array" ref="W129">Common_InputFunctions.Utility_DisplayArrayInTable(Fertiliser_SourceData.Fertiliser_Products_Data2(), FertiliserProducts[[#Headers],[Company]],31)</f>
        <v/>
      </c>
      <c r="X129" s="200" t="str" cm="1">
        <f t="array" ref="X129">Common_InputFunctions.Utility_DisplayArrayInTable(Fertiliser_SourceData.Fertiliser_Products_Data2(), FertiliserProducts[[#Headers],[Company]],31)</f>
        <v/>
      </c>
      <c r="Y129" s="200" t="str" cm="1">
        <f t="array" ref="Y129">Common_InputFunctions.Utility_DisplayArrayInTable(Fertiliser_SourceData.Fertiliser_Products_Data2(), FertiliserProducts[[#Headers],[Company]],31)</f>
        <v/>
      </c>
      <c r="Z129" s="200" t="str" cm="1">
        <f t="array" ref="Z129">Common_InputFunctions.Utility_DisplayArrayInTable(Fertiliser_SourceData.Fertiliser_Products_Data2(), FertiliserProducts[[#Headers],[Company]],31)</f>
        <v/>
      </c>
      <c r="AA129" s="200" t="str" cm="1">
        <f t="array" ref="AA129">Common_InputFunctions.Utility_DisplayArrayInTable(Fertiliser_SourceData.Fertiliser_Products_Data2(), FertiliserProducts[[#Headers],[Company]],31)</f>
        <v/>
      </c>
      <c r="AB129" s="200" t="str" cm="1">
        <f t="array" ref="AB129">Common_InputFunctions.Utility_DisplayArrayInTable(Fertiliser_SourceData.Fertiliser_Products_Data2(), FertiliserProducts[[#Headers],[Company]],31)</f>
        <v/>
      </c>
      <c r="AC129" s="200" t="str" cm="1">
        <f t="array" ref="AC129">Common_InputFunctions.Utility_DisplayArrayInTable(Fertiliser_SourceData.Fertiliser_Products_Data2(), FertiliserProducts[[#Headers],[Company]],31)</f>
        <v/>
      </c>
      <c r="AD129" s="200" t="str" cm="1">
        <f t="array" ref="AD129">Common_InputFunctions.Utility_DisplayArrayInTable(Fertiliser_SourceData.Fertiliser_Products_Data2(), FertiliserProducts[[#Headers],[Company]],31)</f>
        <v/>
      </c>
      <c r="AE129" s="200" t="str" cm="1">
        <f t="array" ref="AE129">Common_InputFunctions.Utility_DisplayArrayInTable(Fertiliser_SourceData.Fertiliser_Products_Data2(), FertiliserProducts[[#Headers],[Company]],31)</f>
        <v/>
      </c>
      <c r="AF129" s="200" t="str" cm="1">
        <f t="array" ref="AF129">Common_InputFunctions.Utility_DisplayArrayInTable(Fertiliser_SourceData.Fertiliser_Products_Data2(), FertiliserProducts[[#Headers],[Company]],31)</f>
        <v/>
      </c>
      <c r="AG129" s="200" t="str" cm="1">
        <f t="array" ref="AG129">Common_InputFunctions.Utility_DisplayArrayInTable(Fertiliser_SourceData.Fertiliser_Products_Data2(), FertiliserProducts[[#Headers],[Company]],31)</f>
        <v/>
      </c>
      <c r="AH129" s="200"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200" t="str" cm="1">
        <f t="array" ref="D130">Common_InputFunctions.Utility_DisplayArrayInTable(Fertiliser_SourceData.Fertiliser_Products_Data2(), FertiliserProducts[[#Headers],[Company]],31)</f>
        <v>Loveland Agriproducts</v>
      </c>
      <c r="E130" s="200" t="str" cm="1">
        <f t="array" ref="E130">Common_InputFunctions.Utility_DisplayArrayInTable(Fertiliser_SourceData.Fertiliser_Products_Data2(), FertiliserProducts[[#Headers],[Company]],31)</f>
        <v>Maximum N-Pact</v>
      </c>
      <c r="F130" s="200" t="str" cm="1">
        <f t="array" ref="F130">Common_InputFunctions.Utility_DisplayArrayInTable(Fertiliser_SourceData.Fertiliser_Products_Data2(), FertiliserProducts[[#Headers],[Company]],31)</f>
        <v>L</v>
      </c>
      <c r="G130" s="200" cm="1">
        <f t="array" ref="G130">Common_InputFunctions.Utility_DisplayArrayInTable(Fertiliser_SourceData.Fertiliser_Products_Data2(), FertiliserProducts[[#Headers],[Company]],31)</f>
        <v>1.1850000000000001</v>
      </c>
      <c r="H130" s="200" t="str" cm="1">
        <f t="array" ref="H130">Common_InputFunctions.Utility_DisplayArrayInTable(Fertiliser_SourceData.Fertiliser_Products_Data2(), FertiliserProducts[[#Headers],[Company]],31)</f>
        <v/>
      </c>
      <c r="I130" s="200" t="str" cm="1">
        <f t="array" ref="I130">Common_InputFunctions.Utility_DisplayArrayInTable(Fertiliser_SourceData.Fertiliser_Products_Data2(), FertiliserProducts[[#Headers],[Company]],31)</f>
        <v/>
      </c>
      <c r="J130" s="200" t="str" cm="1">
        <f t="array" ref="J130">Common_InputFunctions.Utility_DisplayArrayInTable(Fertiliser_SourceData.Fertiliser_Products_Data2(), FertiliserProducts[[#Headers],[Company]],31)</f>
        <v/>
      </c>
      <c r="K130" s="200" cm="1">
        <f t="array" ref="K130">Common_InputFunctions.Utility_DisplayArrayInTable(Fertiliser_SourceData.Fertiliser_Products_Data2(), FertiliserProducts[[#Headers],[Company]],31)</f>
        <v>23.8</v>
      </c>
      <c r="L130" s="200" t="str" cm="1">
        <f t="array" ref="L130">Common_InputFunctions.Utility_DisplayArrayInTable(Fertiliser_SourceData.Fertiliser_Products_Data2(), FertiliserProducts[[#Headers],[Company]],31)</f>
        <v/>
      </c>
      <c r="M130" s="200" t="str" cm="1">
        <f t="array" ref="M130">Common_InputFunctions.Utility_DisplayArrayInTable(Fertiliser_SourceData.Fertiliser_Products_Data2(), FertiliserProducts[[#Headers],[Company]],31)</f>
        <v/>
      </c>
      <c r="N130" s="200" t="str" cm="1">
        <f t="array" ref="N130">Common_InputFunctions.Utility_DisplayArrayInTable(Fertiliser_SourceData.Fertiliser_Products_Data2(), FertiliserProducts[[#Headers],[Company]],31)</f>
        <v/>
      </c>
      <c r="O130" s="200" t="str" cm="1">
        <f t="array" ref="O130">Common_InputFunctions.Utility_DisplayArrayInTable(Fertiliser_SourceData.Fertiliser_Products_Data2(), FertiliserProducts[[#Headers],[Company]],31)</f>
        <v>Urea</v>
      </c>
      <c r="P130" s="200" cm="1">
        <f t="array" ref="P130">Common_InputFunctions.Utility_DisplayArrayInTable(Fertiliser_SourceData.Fertiliser_Products_Data2(), FertiliserProducts[[#Headers],[Company]],31)</f>
        <v>0.51739100000000005</v>
      </c>
      <c r="Q130" s="200" t="str" cm="1">
        <f t="array" ref="Q130">Common_InputFunctions.Utility_DisplayArrayInTable(Fertiliser_SourceData.Fertiliser_Products_Data2(), FertiliserProducts[[#Headers],[Company]],31)</f>
        <v/>
      </c>
      <c r="R130" s="200" t="str" cm="1">
        <f t="array" ref="R130">Common_InputFunctions.Utility_DisplayArrayInTable(Fertiliser_SourceData.Fertiliser_Products_Data2(), FertiliserProducts[[#Headers],[Company]],31)</f>
        <v/>
      </c>
      <c r="S130" s="200" t="str" cm="1">
        <f t="array" ref="S130">Common_InputFunctions.Utility_DisplayArrayInTable(Fertiliser_SourceData.Fertiliser_Products_Data2(), FertiliserProducts[[#Headers],[Company]],31)</f>
        <v/>
      </c>
      <c r="T130" s="200" t="str" cm="1">
        <f t="array" ref="T130">Common_InputFunctions.Utility_DisplayArrayInTable(Fertiliser_SourceData.Fertiliser_Products_Data2(), FertiliserProducts[[#Headers],[Company]],31)</f>
        <v/>
      </c>
      <c r="U130" s="200" t="str" cm="1">
        <f t="array" ref="U130">Common_InputFunctions.Utility_DisplayArrayInTable(Fertiliser_SourceData.Fertiliser_Products_Data2(), FertiliserProducts[[#Headers],[Company]],31)</f>
        <v/>
      </c>
      <c r="V130" s="200" t="str" cm="1">
        <f t="array" ref="V130">Common_InputFunctions.Utility_DisplayArrayInTable(Fertiliser_SourceData.Fertiliser_Products_Data2(), FertiliserProducts[[#Headers],[Company]],31)</f>
        <v/>
      </c>
      <c r="W130" s="200" t="str" cm="1">
        <f t="array" ref="W130">Common_InputFunctions.Utility_DisplayArrayInTable(Fertiliser_SourceData.Fertiliser_Products_Data2(), FertiliserProducts[[#Headers],[Company]],31)</f>
        <v/>
      </c>
      <c r="X130" s="200" t="str" cm="1">
        <f t="array" ref="X130">Common_InputFunctions.Utility_DisplayArrayInTable(Fertiliser_SourceData.Fertiliser_Products_Data2(), FertiliserProducts[[#Headers],[Company]],31)</f>
        <v/>
      </c>
      <c r="Y130" s="200" t="str" cm="1">
        <f t="array" ref="Y130">Common_InputFunctions.Utility_DisplayArrayInTable(Fertiliser_SourceData.Fertiliser_Products_Data2(), FertiliserProducts[[#Headers],[Company]],31)</f>
        <v/>
      </c>
      <c r="Z130" s="200" t="str" cm="1">
        <f t="array" ref="Z130">Common_InputFunctions.Utility_DisplayArrayInTable(Fertiliser_SourceData.Fertiliser_Products_Data2(), FertiliserProducts[[#Headers],[Company]],31)</f>
        <v/>
      </c>
      <c r="AA130" s="200" t="str" cm="1">
        <f t="array" ref="AA130">Common_InputFunctions.Utility_DisplayArrayInTable(Fertiliser_SourceData.Fertiliser_Products_Data2(), FertiliserProducts[[#Headers],[Company]],31)</f>
        <v/>
      </c>
      <c r="AB130" s="200" t="str" cm="1">
        <f t="array" ref="AB130">Common_InputFunctions.Utility_DisplayArrayInTable(Fertiliser_SourceData.Fertiliser_Products_Data2(), FertiliserProducts[[#Headers],[Company]],31)</f>
        <v/>
      </c>
      <c r="AC130" s="200" t="str" cm="1">
        <f t="array" ref="AC130">Common_InputFunctions.Utility_DisplayArrayInTable(Fertiliser_SourceData.Fertiliser_Products_Data2(), FertiliserProducts[[#Headers],[Company]],31)</f>
        <v/>
      </c>
      <c r="AD130" s="200" t="str" cm="1">
        <f t="array" ref="AD130">Common_InputFunctions.Utility_DisplayArrayInTable(Fertiliser_SourceData.Fertiliser_Products_Data2(), FertiliserProducts[[#Headers],[Company]],31)</f>
        <v/>
      </c>
      <c r="AE130" s="200" t="str" cm="1">
        <f t="array" ref="AE130">Common_InputFunctions.Utility_DisplayArrayInTable(Fertiliser_SourceData.Fertiliser_Products_Data2(), FertiliserProducts[[#Headers],[Company]],31)</f>
        <v/>
      </c>
      <c r="AF130" s="200" t="str" cm="1">
        <f t="array" ref="AF130">Common_InputFunctions.Utility_DisplayArrayInTable(Fertiliser_SourceData.Fertiliser_Products_Data2(), FertiliserProducts[[#Headers],[Company]],31)</f>
        <v/>
      </c>
      <c r="AG130" s="200" t="str" cm="1">
        <f t="array" ref="AG130">Common_InputFunctions.Utility_DisplayArrayInTable(Fertiliser_SourceData.Fertiliser_Products_Data2(), FertiliserProducts[[#Headers],[Company]],31)</f>
        <v/>
      </c>
      <c r="AH130" s="200"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200" t="str" cm="1">
        <f t="array" ref="D131">Common_InputFunctions.Utility_DisplayArrayInTable(Fertiliser_SourceData.Fertiliser_Products_Data2(), FertiliserProducts[[#Headers],[Company]],31)</f>
        <v>SL Tec</v>
      </c>
      <c r="E131" s="200" t="str" cm="1">
        <f t="array" ref="E131">Common_InputFunctions.Utility_DisplayArrayInTable(Fertiliser_SourceData.Fertiliser_Products_Data2(), FertiliserProducts[[#Headers],[Company]],31)</f>
        <v>Nitro Combi TE</v>
      </c>
      <c r="F131" s="200" t="str" cm="1">
        <f t="array" ref="F131">Common_InputFunctions.Utility_DisplayArrayInTable(Fertiliser_SourceData.Fertiliser_Products_Data2(), FertiliserProducts[[#Headers],[Company]],31)</f>
        <v>L</v>
      </c>
      <c r="G131" s="200" cm="1">
        <f t="array" ref="G131">Common_InputFunctions.Utility_DisplayArrayInTable(Fertiliser_SourceData.Fertiliser_Products_Data2(), FertiliserProducts[[#Headers],[Company]],31)</f>
        <v>1.2549999999999999</v>
      </c>
      <c r="H131" s="200" t="str" cm="1">
        <f t="array" ref="H131">Common_InputFunctions.Utility_DisplayArrayInTable(Fertiliser_SourceData.Fertiliser_Products_Data2(), FertiliserProducts[[#Headers],[Company]],31)</f>
        <v/>
      </c>
      <c r="I131" s="200" t="str" cm="1">
        <f t="array" ref="I131">Common_InputFunctions.Utility_DisplayArrayInTable(Fertiliser_SourceData.Fertiliser_Products_Data2(), FertiliserProducts[[#Headers],[Company]],31)</f>
        <v/>
      </c>
      <c r="J131" s="200" t="str" cm="1">
        <f t="array" ref="J131">Common_InputFunctions.Utility_DisplayArrayInTable(Fertiliser_SourceData.Fertiliser_Products_Data2(), FertiliserProducts[[#Headers],[Company]],31)</f>
        <v/>
      </c>
      <c r="K131" s="200" t="str" cm="1">
        <f t="array" ref="K131">Common_InputFunctions.Utility_DisplayArrayInTable(Fertiliser_SourceData.Fertiliser_Products_Data2(), FertiliserProducts[[#Headers],[Company]],31)</f>
        <v/>
      </c>
      <c r="L131" s="200" t="str" cm="1">
        <f t="array" ref="L131">Common_InputFunctions.Utility_DisplayArrayInTable(Fertiliser_SourceData.Fertiliser_Products_Data2(), FertiliserProducts[[#Headers],[Company]],31)</f>
        <v/>
      </c>
      <c r="M131" s="200" cm="1">
        <f t="array" ref="M131">Common_InputFunctions.Utility_DisplayArrayInTable(Fertiliser_SourceData.Fertiliser_Products_Data2(), FertiliserProducts[[#Headers],[Company]],31)</f>
        <v>0.1</v>
      </c>
      <c r="N131" s="200" cm="1">
        <f t="array" ref="N131">Common_InputFunctions.Utility_DisplayArrayInTable(Fertiliser_SourceData.Fertiliser_Products_Data2(), FertiliserProducts[[#Headers],[Company]],31)</f>
        <v>4.4000000000000004</v>
      </c>
      <c r="O131" s="200" t="str" cm="1">
        <f t="array" ref="O131">Common_InputFunctions.Utility_DisplayArrayInTable(Fertiliser_SourceData.Fertiliser_Products_Data2(), FertiliserProducts[[#Headers],[Company]],31)</f>
        <v>Sulfur - Generic</v>
      </c>
      <c r="P131" s="200" cm="1">
        <f t="array" ref="P131">Common_InputFunctions.Utility_DisplayArrayInTable(Fertiliser_SourceData.Fertiliser_Products_Data2(), FertiliserProducts[[#Headers],[Company]],31)</f>
        <v>4.3999999999999997E-2</v>
      </c>
      <c r="Q131" s="200" t="str" cm="1">
        <f t="array" ref="Q131">Common_InputFunctions.Utility_DisplayArrayInTable(Fertiliser_SourceData.Fertiliser_Products_Data2(), FertiliserProducts[[#Headers],[Company]],31)</f>
        <v>Zinc</v>
      </c>
      <c r="R131" s="200" cm="1">
        <f t="array" ref="R131">Common_InputFunctions.Utility_DisplayArrayInTable(Fertiliser_SourceData.Fertiliser_Products_Data2(), FertiliserProducts[[#Headers],[Company]],31)</f>
        <v>2.1999999999999999E-2</v>
      </c>
      <c r="S131" s="200" t="str" cm="1">
        <f t="array" ref="S131">Common_InputFunctions.Utility_DisplayArrayInTable(Fertiliser_SourceData.Fertiliser_Products_Data2(), FertiliserProducts[[#Headers],[Company]],31)</f>
        <v>Iron</v>
      </c>
      <c r="T131" s="200" cm="1">
        <f t="array" ref="T131">Common_InputFunctions.Utility_DisplayArrayInTable(Fertiliser_SourceData.Fertiliser_Products_Data2(), FertiliserProducts[[#Headers],[Company]],31)</f>
        <v>2.1999999999999999E-2</v>
      </c>
      <c r="U131" s="200" t="str" cm="1">
        <f t="array" ref="U131">Common_InputFunctions.Utility_DisplayArrayInTable(Fertiliser_SourceData.Fertiliser_Products_Data2(), FertiliserProducts[[#Headers],[Company]],31)</f>
        <v>Manganese</v>
      </c>
      <c r="V131" s="200" cm="1">
        <f t="array" ref="V131">Common_InputFunctions.Utility_DisplayArrayInTable(Fertiliser_SourceData.Fertiliser_Products_Data2(), FertiliserProducts[[#Headers],[Company]],31)</f>
        <v>1.6E-2</v>
      </c>
      <c r="W131" s="200" t="str" cm="1">
        <f t="array" ref="W131">Common_InputFunctions.Utility_DisplayArrayInTable(Fertiliser_SourceData.Fertiliser_Products_Data2(), FertiliserProducts[[#Headers],[Company]],31)</f>
        <v>Boron</v>
      </c>
      <c r="X131" s="200" cm="1">
        <f t="array" ref="X131">Common_InputFunctions.Utility_DisplayArrayInTable(Fertiliser_SourceData.Fertiliser_Products_Data2(), FertiliserProducts[[#Headers],[Company]],31)</f>
        <v>8.0000000000000002E-3</v>
      </c>
      <c r="Y131" s="200" t="str" cm="1">
        <f t="array" ref="Y131">Common_InputFunctions.Utility_DisplayArrayInTable(Fertiliser_SourceData.Fertiliser_Products_Data2(), FertiliserProducts[[#Headers],[Company]],31)</f>
        <v>Magnesium</v>
      </c>
      <c r="Z131" s="200" cm="1">
        <f t="array" ref="Z131">Common_InputFunctions.Utility_DisplayArrayInTable(Fertiliser_SourceData.Fertiliser_Products_Data2(), FertiliserProducts[[#Headers],[Company]],31)</f>
        <v>7.0000000000000001E-3</v>
      </c>
      <c r="AA131" s="200" t="str" cm="1">
        <f t="array" ref="AA131">Common_InputFunctions.Utility_DisplayArrayInTable(Fertiliser_SourceData.Fertiliser_Products_Data2(), FertiliserProducts[[#Headers],[Company]],31)</f>
        <v>Fulvic acid (organic)</v>
      </c>
      <c r="AB131" s="200" cm="1">
        <f t="array" ref="AB131">Common_InputFunctions.Utility_DisplayArrayInTable(Fertiliser_SourceData.Fertiliser_Products_Data2(), FertiliserProducts[[#Headers],[Company]],31)</f>
        <v>5.0000000000000001E-3</v>
      </c>
      <c r="AC131" s="200" t="str" cm="1">
        <f t="array" ref="AC131">Common_InputFunctions.Utility_DisplayArrayInTable(Fertiliser_SourceData.Fertiliser_Products_Data2(), FertiliserProducts[[#Headers],[Company]],31)</f>
        <v>Copper</v>
      </c>
      <c r="AD131" s="200" cm="1">
        <f t="array" ref="AD131">Common_InputFunctions.Utility_DisplayArrayInTable(Fertiliser_SourceData.Fertiliser_Products_Data2(), FertiliserProducts[[#Headers],[Company]],31)</f>
        <v>3.0000000000000001E-3</v>
      </c>
      <c r="AE131" s="200" t="str" cm="1">
        <f t="array" ref="AE131">Common_InputFunctions.Utility_DisplayArrayInTable(Fertiliser_SourceData.Fertiliser_Products_Data2(), FertiliserProducts[[#Headers],[Company]],31)</f>
        <v>Potassium - Generic</v>
      </c>
      <c r="AF131" s="200" cm="1">
        <f t="array" ref="AF131">Common_InputFunctions.Utility_DisplayArrayInTable(Fertiliser_SourceData.Fertiliser_Products_Data2(), FertiliserProducts[[#Headers],[Company]],31)</f>
        <v>1E-3</v>
      </c>
      <c r="AG131" s="200" t="str" cm="1">
        <f t="array" ref="AG131">Common_InputFunctions.Utility_DisplayArrayInTable(Fertiliser_SourceData.Fertiliser_Products_Data2(), FertiliserProducts[[#Headers],[Company]],31)</f>
        <v>Molybdenum</v>
      </c>
      <c r="AH131" s="200"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200" t="str" cm="1">
        <f t="array" ref="D132">Common_InputFunctions.Utility_DisplayArrayInTable(Fertiliser_SourceData.Fertiliser_Products_Data2(), FertiliserProducts[[#Headers],[Company]],31)</f>
        <v>Switch Ag</v>
      </c>
      <c r="E132" s="200" t="str" cm="1">
        <f t="array" ref="E132">Common_InputFunctions.Utility_DisplayArrayInTable(Fertiliser_SourceData.Fertiliser_Products_Data2(), FertiliserProducts[[#Headers],[Company]],31)</f>
        <v>PastureMAXX</v>
      </c>
      <c r="F132" s="200" t="str" cm="1">
        <f t="array" ref="F132">Common_InputFunctions.Utility_DisplayArrayInTable(Fertiliser_SourceData.Fertiliser_Products_Data2(), FertiliserProducts[[#Headers],[Company]],31)</f>
        <v>L</v>
      </c>
      <c r="G132" s="200" cm="1">
        <f t="array" ref="G132">Common_InputFunctions.Utility_DisplayArrayInTable(Fertiliser_SourceData.Fertiliser_Products_Data2(), FertiliserProducts[[#Headers],[Company]],31)</f>
        <v>1.23</v>
      </c>
      <c r="H132" s="200" t="str" cm="1">
        <f t="array" ref="H132">Common_InputFunctions.Utility_DisplayArrayInTable(Fertiliser_SourceData.Fertiliser_Products_Data2(), FertiliserProducts[[#Headers],[Company]],31)</f>
        <v/>
      </c>
      <c r="I132" s="200" t="str" cm="1">
        <f t="array" ref="I132">Common_InputFunctions.Utility_DisplayArrayInTable(Fertiliser_SourceData.Fertiliser_Products_Data2(), FertiliserProducts[[#Headers],[Company]],31)</f>
        <v/>
      </c>
      <c r="J132" s="200" t="str" cm="1">
        <f t="array" ref="J132">Common_InputFunctions.Utility_DisplayArrayInTable(Fertiliser_SourceData.Fertiliser_Products_Data2(), FertiliserProducts[[#Headers],[Company]],31)</f>
        <v/>
      </c>
      <c r="K132" s="200" cm="1">
        <f t="array" ref="K132">Common_InputFunctions.Utility_DisplayArrayInTable(Fertiliser_SourceData.Fertiliser_Products_Data2(), FertiliserProducts[[#Headers],[Company]],31)</f>
        <v>9.7100000000000009</v>
      </c>
      <c r="L132" s="200" t="str" cm="1">
        <f t="array" ref="L132">Common_InputFunctions.Utility_DisplayArrayInTable(Fertiliser_SourceData.Fertiliser_Products_Data2(), FertiliserProducts[[#Headers],[Company]],31)</f>
        <v/>
      </c>
      <c r="M132" s="200" cm="1">
        <f t="array" ref="M132">Common_InputFunctions.Utility_DisplayArrayInTable(Fertiliser_SourceData.Fertiliser_Products_Data2(), FertiliserProducts[[#Headers],[Company]],31)</f>
        <v>3.25</v>
      </c>
      <c r="N132" s="200" cm="1">
        <f t="array" ref="N132">Common_InputFunctions.Utility_DisplayArrayInTable(Fertiliser_SourceData.Fertiliser_Products_Data2(), FertiliserProducts[[#Headers],[Company]],31)</f>
        <v>2.11</v>
      </c>
      <c r="O132" s="200" t="str" cm="1">
        <f t="array" ref="O132">Common_InputFunctions.Utility_DisplayArrayInTable(Fertiliser_SourceData.Fertiliser_Products_Data2(), FertiliserProducts[[#Headers],[Company]],31)</f>
        <v>Nitrogen - Generic</v>
      </c>
      <c r="P132" s="200" cm="1">
        <f t="array" ref="P132">Common_InputFunctions.Utility_DisplayArrayInTable(Fertiliser_SourceData.Fertiliser_Products_Data2(), FertiliserProducts[[#Headers],[Company]],31)</f>
        <v>9.7100000000000006E-2</v>
      </c>
      <c r="Q132" s="200" t="str" cm="1">
        <f t="array" ref="Q132">Common_InputFunctions.Utility_DisplayArrayInTable(Fertiliser_SourceData.Fertiliser_Products_Data2(), FertiliserProducts[[#Headers],[Company]],31)</f>
        <v>Potassium - Generic</v>
      </c>
      <c r="R132" s="200" cm="1">
        <f t="array" ref="R132">Common_InputFunctions.Utility_DisplayArrayInTable(Fertiliser_SourceData.Fertiliser_Products_Data2(), FertiliserProducts[[#Headers],[Company]],31)</f>
        <v>3.2500000000000001E-2</v>
      </c>
      <c r="S132" s="200" t="str" cm="1">
        <f t="array" ref="S132">Common_InputFunctions.Utility_DisplayArrayInTable(Fertiliser_SourceData.Fertiliser_Products_Data2(), FertiliserProducts[[#Headers],[Company]],31)</f>
        <v>Sulfur - Generic</v>
      </c>
      <c r="T132" s="200" cm="1">
        <f t="array" ref="T132">Common_InputFunctions.Utility_DisplayArrayInTable(Fertiliser_SourceData.Fertiliser_Products_Data2(), FertiliserProducts[[#Headers],[Company]],31)</f>
        <v>2.1100000000000001E-2</v>
      </c>
      <c r="U132" s="200" t="str" cm="1">
        <f t="array" ref="U132">Common_InputFunctions.Utility_DisplayArrayInTable(Fertiliser_SourceData.Fertiliser_Products_Data2(), FertiliserProducts[[#Headers],[Company]],31)</f>
        <v>Zinc</v>
      </c>
      <c r="V132" s="200" cm="1">
        <f t="array" ref="V132">Common_InputFunctions.Utility_DisplayArrayInTable(Fertiliser_SourceData.Fertiliser_Products_Data2(), FertiliserProducts[[#Headers],[Company]],31)</f>
        <v>1.4999999999999999E-2</v>
      </c>
      <c r="W132" s="200" t="str" cm="1">
        <f t="array" ref="W132">Common_InputFunctions.Utility_DisplayArrayInTable(Fertiliser_SourceData.Fertiliser_Products_Data2(), FertiliserProducts[[#Headers],[Company]],31)</f>
        <v>Iron</v>
      </c>
      <c r="X132" s="200" cm="1">
        <f t="array" ref="X132">Common_InputFunctions.Utility_DisplayArrayInTable(Fertiliser_SourceData.Fertiliser_Products_Data2(), FertiliserProducts[[#Headers],[Company]],31)</f>
        <v>1.11E-2</v>
      </c>
      <c r="Y132" s="200" t="str" cm="1">
        <f t="array" ref="Y132">Common_InputFunctions.Utility_DisplayArrayInTable(Fertiliser_SourceData.Fertiliser_Products_Data2(), FertiliserProducts[[#Headers],[Company]],31)</f>
        <v>Manganese</v>
      </c>
      <c r="Z132" s="200" cm="1">
        <f t="array" ref="Z132">Common_InputFunctions.Utility_DisplayArrayInTable(Fertiliser_SourceData.Fertiliser_Products_Data2(), FertiliserProducts[[#Headers],[Company]],31)</f>
        <v>1.15E-2</v>
      </c>
      <c r="AA132" s="200" t="str" cm="1">
        <f t="array" ref="AA132">Common_InputFunctions.Utility_DisplayArrayInTable(Fertiliser_SourceData.Fertiliser_Products_Data2(), FertiliserProducts[[#Headers],[Company]],31)</f>
        <v>Magnesium</v>
      </c>
      <c r="AB132" s="200" cm="1">
        <f t="array" ref="AB132">Common_InputFunctions.Utility_DisplayArrayInTable(Fertiliser_SourceData.Fertiliser_Products_Data2(), FertiliserProducts[[#Headers],[Company]],31)</f>
        <v>4.4999999999999997E-3</v>
      </c>
      <c r="AC132" s="200" t="str" cm="1">
        <f t="array" ref="AC132">Common_InputFunctions.Utility_DisplayArrayInTable(Fertiliser_SourceData.Fertiliser_Products_Data2(), FertiliserProducts[[#Headers],[Company]],31)</f>
        <v>Boron</v>
      </c>
      <c r="AD132" s="200" cm="1">
        <f t="array" ref="AD132">Common_InputFunctions.Utility_DisplayArrayInTable(Fertiliser_SourceData.Fertiliser_Products_Data2(), FertiliserProducts[[#Headers],[Company]],31)</f>
        <v>2E-3</v>
      </c>
      <c r="AE132" s="200" t="str" cm="1">
        <f t="array" ref="AE132">Common_InputFunctions.Utility_DisplayArrayInTable(Fertiliser_SourceData.Fertiliser_Products_Data2(), FertiliserProducts[[#Headers],[Company]],31)</f>
        <v/>
      </c>
      <c r="AF132" s="200" t="str" cm="1">
        <f t="array" ref="AF132">Common_InputFunctions.Utility_DisplayArrayInTable(Fertiliser_SourceData.Fertiliser_Products_Data2(), FertiliserProducts[[#Headers],[Company]],31)</f>
        <v/>
      </c>
      <c r="AG132" s="200" t="str" cm="1">
        <f t="array" ref="AG132">Common_InputFunctions.Utility_DisplayArrayInTable(Fertiliser_SourceData.Fertiliser_Products_Data2(), FertiliserProducts[[#Headers],[Company]],31)</f>
        <v/>
      </c>
      <c r="AH132" s="200"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200" t="str" cm="1">
        <f t="array" ref="D133">Common_InputFunctions.Utility_DisplayArrayInTable(Fertiliser_SourceData.Fertiliser_Products_Data2(), FertiliserProducts[[#Headers],[Company]],31)</f>
        <v>Campbells fertilisers Australia</v>
      </c>
      <c r="E133" s="200" t="str" cm="1">
        <f t="array" ref="E133">Common_InputFunctions.Utility_DisplayArrayInTable(Fertiliser_SourceData.Fertiliser_Products_Data2(), FertiliserProducts[[#Headers],[Company]],31)</f>
        <v>Platinum Nergetic</v>
      </c>
      <c r="F133" s="200" t="str" cm="1">
        <f t="array" ref="F133">Common_InputFunctions.Utility_DisplayArrayInTable(Fertiliser_SourceData.Fertiliser_Products_Data2(), FertiliserProducts[[#Headers],[Company]],31)</f>
        <v>kg</v>
      </c>
      <c r="G133" s="200" cm="1">
        <f t="array" ref="G133">Common_InputFunctions.Utility_DisplayArrayInTable(Fertiliser_SourceData.Fertiliser_Products_Data2(), FertiliserProducts[[#Headers],[Company]],31)</f>
        <v>1</v>
      </c>
      <c r="H133" s="200" t="str" cm="1">
        <f t="array" ref="H133">Common_InputFunctions.Utility_DisplayArrayInTable(Fertiliser_SourceData.Fertiliser_Products_Data2(), FertiliserProducts[[#Headers],[Company]],31)</f>
        <v/>
      </c>
      <c r="I133" s="200" t="str" cm="1">
        <f t="array" ref="I133">Common_InputFunctions.Utility_DisplayArrayInTable(Fertiliser_SourceData.Fertiliser_Products_Data2(), FertiliserProducts[[#Headers],[Company]],31)</f>
        <v/>
      </c>
      <c r="J133" s="200" t="str" cm="1">
        <f t="array" ref="J133">Common_InputFunctions.Utility_DisplayArrayInTable(Fertiliser_SourceData.Fertiliser_Products_Data2(), FertiliserProducts[[#Headers],[Company]],31)</f>
        <v/>
      </c>
      <c r="K133" s="200" cm="1">
        <f t="array" ref="K133">Common_InputFunctions.Utility_DisplayArrayInTable(Fertiliser_SourceData.Fertiliser_Products_Data2(), FertiliserProducts[[#Headers],[Company]],31)</f>
        <v>10</v>
      </c>
      <c r="L133" s="200" cm="1">
        <f t="array" ref="L133">Common_InputFunctions.Utility_DisplayArrayInTable(Fertiliser_SourceData.Fertiliser_Products_Data2(), FertiliserProducts[[#Headers],[Company]],31)</f>
        <v>10.9</v>
      </c>
      <c r="M133" s="200" cm="1">
        <f t="array" ref="M133">Common_InputFunctions.Utility_DisplayArrayInTable(Fertiliser_SourceData.Fertiliser_Products_Data2(), FertiliserProducts[[#Headers],[Company]],31)</f>
        <v>10</v>
      </c>
      <c r="N133" s="200" cm="1">
        <f t="array" ref="N133">Common_InputFunctions.Utility_DisplayArrayInTable(Fertiliser_SourceData.Fertiliser_Products_Data2(), FertiliserProducts[[#Headers],[Company]],31)</f>
        <v>4.34</v>
      </c>
      <c r="O133" s="200" t="str" cm="1">
        <f t="array" ref="O133">Common_InputFunctions.Utility_DisplayArrayInTable(Fertiliser_SourceData.Fertiliser_Products_Data2(), FertiliserProducts[[#Headers],[Company]],31)</f>
        <v>Monoammonium phosphate (MAP)</v>
      </c>
      <c r="P133" s="200" cm="1">
        <f t="array" ref="P133">Common_InputFunctions.Utility_DisplayArrayInTable(Fertiliser_SourceData.Fertiliser_Products_Data2(), FertiliserProducts[[#Headers],[Company]],31)</f>
        <v>0.4178</v>
      </c>
      <c r="Q133" s="200" t="str" cm="1">
        <f t="array" ref="Q133">Common_InputFunctions.Utility_DisplayArrayInTable(Fertiliser_SourceData.Fertiliser_Products_Data2(), FertiliserProducts[[#Headers],[Company]],31)</f>
        <v>Ammonium nitrate (AN)</v>
      </c>
      <c r="R133" s="200" cm="1">
        <f t="array" ref="R133">Common_InputFunctions.Utility_DisplayArrayInTable(Fertiliser_SourceData.Fertiliser_Products_Data2(), FertiliserProducts[[#Headers],[Company]],31)</f>
        <v>0.17280000000000001</v>
      </c>
      <c r="S133" s="200" t="str" cm="1">
        <f t="array" ref="S133">Common_InputFunctions.Utility_DisplayArrayInTable(Fertiliser_SourceData.Fertiliser_Products_Data2(), FertiliserProducts[[#Headers],[Company]],31)</f>
        <v>Potassium sulphate</v>
      </c>
      <c r="T133" s="200" cm="1">
        <f t="array" ref="T133">Common_InputFunctions.Utility_DisplayArrayInTable(Fertiliser_SourceData.Fertiliser_Products_Data2(), FertiliserProducts[[#Headers],[Company]],31)</f>
        <v>0.24096400000000001</v>
      </c>
      <c r="U133" s="200" t="str" cm="1">
        <f t="array" ref="U133">Common_InputFunctions.Utility_DisplayArrayInTable(Fertiliser_SourceData.Fertiliser_Products_Data2(), FertiliserProducts[[#Headers],[Company]],31)</f>
        <v>Double superphosphate</v>
      </c>
      <c r="V133" s="200" cm="1">
        <f t="array" ref="V133">Common_InputFunctions.Utility_DisplayArrayInTable(Fertiliser_SourceData.Fertiliser_Products_Data2(), FertiliserProducts[[#Headers],[Company]],31)</f>
        <v>0.1</v>
      </c>
      <c r="W133" s="200" t="str" cm="1">
        <f t="array" ref="W133">Common_InputFunctions.Utility_DisplayArrayInTable(Fertiliser_SourceData.Fertiliser_Products_Data2(), FertiliserProducts[[#Headers],[Company]],31)</f>
        <v>Magnesium</v>
      </c>
      <c r="X133" s="200" cm="1">
        <f t="array" ref="X133">Common_InputFunctions.Utility_DisplayArrayInTable(Fertiliser_SourceData.Fertiliser_Products_Data2(), FertiliserProducts[[#Headers],[Company]],31)</f>
        <v>1.2E-2</v>
      </c>
      <c r="Y133" s="200" t="str" cm="1">
        <f t="array" ref="Y133">Common_InputFunctions.Utility_DisplayArrayInTable(Fertiliser_SourceData.Fertiliser_Products_Data2(), FertiliserProducts[[#Headers],[Company]],31)</f>
        <v>Zinc</v>
      </c>
      <c r="Z133" s="200" cm="1">
        <f t="array" ref="Z133">Common_InputFunctions.Utility_DisplayArrayInTable(Fertiliser_SourceData.Fertiliser_Products_Data2(), FertiliserProducts[[#Headers],[Company]],31)</f>
        <v>3.5999999999999999E-3</v>
      </c>
      <c r="AA133" s="200" t="str" cm="1">
        <f t="array" ref="AA133">Common_InputFunctions.Utility_DisplayArrayInTable(Fertiliser_SourceData.Fertiliser_Products_Data2(), FertiliserProducts[[#Headers],[Company]],31)</f>
        <v>Boron</v>
      </c>
      <c r="AB133" s="200" cm="1">
        <f t="array" ref="AB133">Common_InputFunctions.Utility_DisplayArrayInTable(Fertiliser_SourceData.Fertiliser_Products_Data2(), FertiliserProducts[[#Headers],[Company]],31)</f>
        <v>1E-3</v>
      </c>
      <c r="AC133" s="200" t="str" cm="1">
        <f t="array" ref="AC133">Common_InputFunctions.Utility_DisplayArrayInTable(Fertiliser_SourceData.Fertiliser_Products_Data2(), FertiliserProducts[[#Headers],[Company]],31)</f>
        <v>Glaze Extend G3 Flexi</v>
      </c>
      <c r="AD133" s="200" cm="1">
        <f t="array" ref="AD133">Common_InputFunctions.Utility_DisplayArrayInTable(Fertiliser_SourceData.Fertiliser_Products_Data2(), FertiliserProducts[[#Headers],[Company]],31)</f>
        <v>5.1900000000000002E-2</v>
      </c>
      <c r="AE133" s="200" t="str" cm="1">
        <f t="array" ref="AE133">Common_InputFunctions.Utility_DisplayArrayInTable(Fertiliser_SourceData.Fertiliser_Products_Data2(), FertiliserProducts[[#Headers],[Company]],31)</f>
        <v/>
      </c>
      <c r="AF133" s="200" t="str" cm="1">
        <f t="array" ref="AF133">Common_InputFunctions.Utility_DisplayArrayInTable(Fertiliser_SourceData.Fertiliser_Products_Data2(), FertiliserProducts[[#Headers],[Company]],31)</f>
        <v/>
      </c>
      <c r="AG133" s="200" t="str" cm="1">
        <f t="array" ref="AG133">Common_InputFunctions.Utility_DisplayArrayInTable(Fertiliser_SourceData.Fertiliser_Products_Data2(), FertiliserProducts[[#Headers],[Company]],31)</f>
        <v/>
      </c>
      <c r="AH133" s="200"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200" t="str" cm="1">
        <f t="array" ref="D134">Common_InputFunctions.Utility_DisplayArrayInTable(Fertiliser_SourceData.Fertiliser_Products_Data2(), FertiliserProducts[[#Headers],[Company]],31)</f>
        <v>Impact Fertilisers</v>
      </c>
      <c r="E134" s="200" t="str" cm="1">
        <f t="array" ref="E134">Common_InputFunctions.Utility_DisplayArrayInTable(Fertiliser_SourceData.Fertiliser_Products_Data2(), FertiliserProducts[[#Headers],[Company]],31)</f>
        <v>Sulphate of ammonia (SOA)</v>
      </c>
      <c r="F134" s="200" t="str" cm="1">
        <f t="array" ref="F134">Common_InputFunctions.Utility_DisplayArrayInTable(Fertiliser_SourceData.Fertiliser_Products_Data2(), FertiliserProducts[[#Headers],[Company]],31)</f>
        <v>kg</v>
      </c>
      <c r="G134" s="200" cm="1">
        <f t="array" ref="G134">Common_InputFunctions.Utility_DisplayArrayInTable(Fertiliser_SourceData.Fertiliser_Products_Data2(), FertiliserProducts[[#Headers],[Company]],31)</f>
        <v>1</v>
      </c>
      <c r="H134" s="200" t="str" cm="1">
        <f t="array" ref="H134">Common_InputFunctions.Utility_DisplayArrayInTable(Fertiliser_SourceData.Fertiliser_Products_Data2(), FertiliserProducts[[#Headers],[Company]],31)</f>
        <v/>
      </c>
      <c r="I134" s="200" t="str" cm="1">
        <f t="array" ref="I134">Common_InputFunctions.Utility_DisplayArrayInTable(Fertiliser_SourceData.Fertiliser_Products_Data2(), FertiliserProducts[[#Headers],[Company]],31)</f>
        <v/>
      </c>
      <c r="J134" s="200" t="str" cm="1">
        <f t="array" ref="J134">Common_InputFunctions.Utility_DisplayArrayInTable(Fertiliser_SourceData.Fertiliser_Products_Data2(), FertiliserProducts[[#Headers],[Company]],31)</f>
        <v/>
      </c>
      <c r="K134" s="200" cm="1">
        <f t="array" ref="K134">Common_InputFunctions.Utility_DisplayArrayInTable(Fertiliser_SourceData.Fertiliser_Products_Data2(), FertiliserProducts[[#Headers],[Company]],31)</f>
        <v>21</v>
      </c>
      <c r="L134" s="200" t="str" cm="1">
        <f t="array" ref="L134">Common_InputFunctions.Utility_DisplayArrayInTable(Fertiliser_SourceData.Fertiliser_Products_Data2(), FertiliserProducts[[#Headers],[Company]],31)</f>
        <v/>
      </c>
      <c r="M134" s="200" t="str" cm="1">
        <f t="array" ref="M134">Common_InputFunctions.Utility_DisplayArrayInTable(Fertiliser_SourceData.Fertiliser_Products_Data2(), FertiliserProducts[[#Headers],[Company]],31)</f>
        <v/>
      </c>
      <c r="N134" s="200" cm="1">
        <f t="array" ref="N134">Common_InputFunctions.Utility_DisplayArrayInTable(Fertiliser_SourceData.Fertiliser_Products_Data2(), FertiliserProducts[[#Headers],[Company]],31)</f>
        <v>24</v>
      </c>
      <c r="O134" s="200" t="str" cm="1">
        <f t="array" ref="O134">Common_InputFunctions.Utility_DisplayArrayInTable(Fertiliser_SourceData.Fertiliser_Products_Data2(), FertiliserProducts[[#Headers],[Company]],31)</f>
        <v>Sulphate of ammonia (SOA)</v>
      </c>
      <c r="P134" s="200" cm="1">
        <f t="array" ref="P134">Common_InputFunctions.Utility_DisplayArrayInTable(Fertiliser_SourceData.Fertiliser_Products_Data2(), FertiliserProducts[[#Headers],[Company]],31)</f>
        <v>1</v>
      </c>
      <c r="Q134" s="200" t="str" cm="1">
        <f t="array" ref="Q134">Common_InputFunctions.Utility_DisplayArrayInTable(Fertiliser_SourceData.Fertiliser_Products_Data2(), FertiliserProducts[[#Headers],[Company]],31)</f>
        <v/>
      </c>
      <c r="R134" s="200" t="str" cm="1">
        <f t="array" ref="R134">Common_InputFunctions.Utility_DisplayArrayInTable(Fertiliser_SourceData.Fertiliser_Products_Data2(), FertiliserProducts[[#Headers],[Company]],31)</f>
        <v/>
      </c>
      <c r="S134" s="200" t="str" cm="1">
        <f t="array" ref="S134">Common_InputFunctions.Utility_DisplayArrayInTable(Fertiliser_SourceData.Fertiliser_Products_Data2(), FertiliserProducts[[#Headers],[Company]],31)</f>
        <v/>
      </c>
      <c r="T134" s="200" t="str" cm="1">
        <f t="array" ref="T134">Common_InputFunctions.Utility_DisplayArrayInTable(Fertiliser_SourceData.Fertiliser_Products_Data2(), FertiliserProducts[[#Headers],[Company]],31)</f>
        <v/>
      </c>
      <c r="U134" s="200" t="str" cm="1">
        <f t="array" ref="U134">Common_InputFunctions.Utility_DisplayArrayInTable(Fertiliser_SourceData.Fertiliser_Products_Data2(), FertiliserProducts[[#Headers],[Company]],31)</f>
        <v/>
      </c>
      <c r="V134" s="200" t="str" cm="1">
        <f t="array" ref="V134">Common_InputFunctions.Utility_DisplayArrayInTable(Fertiliser_SourceData.Fertiliser_Products_Data2(), FertiliserProducts[[#Headers],[Company]],31)</f>
        <v/>
      </c>
      <c r="W134" s="200" t="str" cm="1">
        <f t="array" ref="W134">Common_InputFunctions.Utility_DisplayArrayInTable(Fertiliser_SourceData.Fertiliser_Products_Data2(), FertiliserProducts[[#Headers],[Company]],31)</f>
        <v/>
      </c>
      <c r="X134" s="200" t="str" cm="1">
        <f t="array" ref="X134">Common_InputFunctions.Utility_DisplayArrayInTable(Fertiliser_SourceData.Fertiliser_Products_Data2(), FertiliserProducts[[#Headers],[Company]],31)</f>
        <v/>
      </c>
      <c r="Y134" s="200" t="str" cm="1">
        <f t="array" ref="Y134">Common_InputFunctions.Utility_DisplayArrayInTable(Fertiliser_SourceData.Fertiliser_Products_Data2(), FertiliserProducts[[#Headers],[Company]],31)</f>
        <v/>
      </c>
      <c r="Z134" s="200" t="str" cm="1">
        <f t="array" ref="Z134">Common_InputFunctions.Utility_DisplayArrayInTable(Fertiliser_SourceData.Fertiliser_Products_Data2(), FertiliserProducts[[#Headers],[Company]],31)</f>
        <v/>
      </c>
      <c r="AA134" s="200" t="str" cm="1">
        <f t="array" ref="AA134">Common_InputFunctions.Utility_DisplayArrayInTable(Fertiliser_SourceData.Fertiliser_Products_Data2(), FertiliserProducts[[#Headers],[Company]],31)</f>
        <v/>
      </c>
      <c r="AB134" s="200" t="str" cm="1">
        <f t="array" ref="AB134">Common_InputFunctions.Utility_DisplayArrayInTable(Fertiliser_SourceData.Fertiliser_Products_Data2(), FertiliserProducts[[#Headers],[Company]],31)</f>
        <v/>
      </c>
      <c r="AC134" s="200" t="str" cm="1">
        <f t="array" ref="AC134">Common_InputFunctions.Utility_DisplayArrayInTable(Fertiliser_SourceData.Fertiliser_Products_Data2(), FertiliserProducts[[#Headers],[Company]],31)</f>
        <v/>
      </c>
      <c r="AD134" s="200" t="str" cm="1">
        <f t="array" ref="AD134">Common_InputFunctions.Utility_DisplayArrayInTable(Fertiliser_SourceData.Fertiliser_Products_Data2(), FertiliserProducts[[#Headers],[Company]],31)</f>
        <v/>
      </c>
      <c r="AE134" s="200" t="str" cm="1">
        <f t="array" ref="AE134">Common_InputFunctions.Utility_DisplayArrayInTable(Fertiliser_SourceData.Fertiliser_Products_Data2(), FertiliserProducts[[#Headers],[Company]],31)</f>
        <v/>
      </c>
      <c r="AF134" s="200" t="str" cm="1">
        <f t="array" ref="AF134">Common_InputFunctions.Utility_DisplayArrayInTable(Fertiliser_SourceData.Fertiliser_Products_Data2(), FertiliserProducts[[#Headers],[Company]],31)</f>
        <v/>
      </c>
      <c r="AG134" s="200" t="str" cm="1">
        <f t="array" ref="AG134">Common_InputFunctions.Utility_DisplayArrayInTable(Fertiliser_SourceData.Fertiliser_Products_Data2(), FertiliserProducts[[#Headers],[Company]],31)</f>
        <v/>
      </c>
      <c r="AH134" s="200"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200" t="str" cm="1">
        <f t="array" ref="D135">Common_InputFunctions.Utility_DisplayArrayInTable(Fertiliser_SourceData.Fertiliser_Products_Data2(), FertiliserProducts[[#Headers],[Company]],31)</f>
        <v>Impact Fertilisers</v>
      </c>
      <c r="E135" s="200" t="str" cm="1">
        <f t="array" ref="E135">Common_InputFunctions.Utility_DisplayArrayInTable(Fertiliser_SourceData.Fertiliser_Products_Data2(), FertiliserProducts[[#Headers],[Company]],31)</f>
        <v>Mono-Ammonium Phosphate (MAP)</v>
      </c>
      <c r="F135" s="200" t="str" cm="1">
        <f t="array" ref="F135">Common_InputFunctions.Utility_DisplayArrayInTable(Fertiliser_SourceData.Fertiliser_Products_Data2(), FertiliserProducts[[#Headers],[Company]],31)</f>
        <v>kg</v>
      </c>
      <c r="G135" s="200" cm="1">
        <f t="array" ref="G135">Common_InputFunctions.Utility_DisplayArrayInTable(Fertiliser_SourceData.Fertiliser_Products_Data2(), FertiliserProducts[[#Headers],[Company]],31)</f>
        <v>1</v>
      </c>
      <c r="H135" s="200" t="str" cm="1">
        <f t="array" ref="H135">Common_InputFunctions.Utility_DisplayArrayInTable(Fertiliser_SourceData.Fertiliser_Products_Data2(), FertiliserProducts[[#Headers],[Company]],31)</f>
        <v/>
      </c>
      <c r="I135" s="200" t="str" cm="1">
        <f t="array" ref="I135">Common_InputFunctions.Utility_DisplayArrayInTable(Fertiliser_SourceData.Fertiliser_Products_Data2(), FertiliserProducts[[#Headers],[Company]],31)</f>
        <v/>
      </c>
      <c r="J135" s="200" t="str" cm="1">
        <f t="array" ref="J135">Common_InputFunctions.Utility_DisplayArrayInTable(Fertiliser_SourceData.Fertiliser_Products_Data2(), FertiliserProducts[[#Headers],[Company]],31)</f>
        <v/>
      </c>
      <c r="K135" s="200" cm="1">
        <f t="array" ref="K135">Common_InputFunctions.Utility_DisplayArrayInTable(Fertiliser_SourceData.Fertiliser_Products_Data2(), FertiliserProducts[[#Headers],[Company]],31)</f>
        <v>10</v>
      </c>
      <c r="L135" s="200" cm="1">
        <f t="array" ref="L135">Common_InputFunctions.Utility_DisplayArrayInTable(Fertiliser_SourceData.Fertiliser_Products_Data2(), FertiliserProducts[[#Headers],[Company]],31)</f>
        <v>21.9</v>
      </c>
      <c r="M135" s="200" t="str" cm="1">
        <f t="array" ref="M135">Common_InputFunctions.Utility_DisplayArrayInTable(Fertiliser_SourceData.Fertiliser_Products_Data2(), FertiliserProducts[[#Headers],[Company]],31)</f>
        <v/>
      </c>
      <c r="N135" s="200" cm="1">
        <f t="array" ref="N135">Common_InputFunctions.Utility_DisplayArrayInTable(Fertiliser_SourceData.Fertiliser_Products_Data2(), FertiliserProducts[[#Headers],[Company]],31)</f>
        <v>1.5</v>
      </c>
      <c r="O135" s="200" t="str" cm="1">
        <f t="array" ref="O135">Common_InputFunctions.Utility_DisplayArrayInTable(Fertiliser_SourceData.Fertiliser_Products_Data2(), FertiliserProducts[[#Headers],[Company]],31)</f>
        <v>Monoammonium phosphate (MAP)</v>
      </c>
      <c r="P135" s="200" cm="1">
        <f t="array" ref="P135">Common_InputFunctions.Utility_DisplayArrayInTable(Fertiliser_SourceData.Fertiliser_Products_Data2(), FertiliserProducts[[#Headers],[Company]],31)</f>
        <v>1</v>
      </c>
      <c r="Q135" s="200" t="str" cm="1">
        <f t="array" ref="Q135">Common_InputFunctions.Utility_DisplayArrayInTable(Fertiliser_SourceData.Fertiliser_Products_Data2(), FertiliserProducts[[#Headers],[Company]],31)</f>
        <v/>
      </c>
      <c r="R135" s="200" t="str" cm="1">
        <f t="array" ref="R135">Common_InputFunctions.Utility_DisplayArrayInTable(Fertiliser_SourceData.Fertiliser_Products_Data2(), FertiliserProducts[[#Headers],[Company]],31)</f>
        <v/>
      </c>
      <c r="S135" s="200" t="str" cm="1">
        <f t="array" ref="S135">Common_InputFunctions.Utility_DisplayArrayInTable(Fertiliser_SourceData.Fertiliser_Products_Data2(), FertiliserProducts[[#Headers],[Company]],31)</f>
        <v/>
      </c>
      <c r="T135" s="200" t="str" cm="1">
        <f t="array" ref="T135">Common_InputFunctions.Utility_DisplayArrayInTable(Fertiliser_SourceData.Fertiliser_Products_Data2(), FertiliserProducts[[#Headers],[Company]],31)</f>
        <v/>
      </c>
      <c r="U135" s="200" t="str" cm="1">
        <f t="array" ref="U135">Common_InputFunctions.Utility_DisplayArrayInTable(Fertiliser_SourceData.Fertiliser_Products_Data2(), FertiliserProducts[[#Headers],[Company]],31)</f>
        <v/>
      </c>
      <c r="V135" s="200" t="str" cm="1">
        <f t="array" ref="V135">Common_InputFunctions.Utility_DisplayArrayInTable(Fertiliser_SourceData.Fertiliser_Products_Data2(), FertiliserProducts[[#Headers],[Company]],31)</f>
        <v/>
      </c>
      <c r="W135" s="200" t="str" cm="1">
        <f t="array" ref="W135">Common_InputFunctions.Utility_DisplayArrayInTable(Fertiliser_SourceData.Fertiliser_Products_Data2(), FertiliserProducts[[#Headers],[Company]],31)</f>
        <v/>
      </c>
      <c r="X135" s="200" t="str" cm="1">
        <f t="array" ref="X135">Common_InputFunctions.Utility_DisplayArrayInTable(Fertiliser_SourceData.Fertiliser_Products_Data2(), FertiliserProducts[[#Headers],[Company]],31)</f>
        <v/>
      </c>
      <c r="Y135" s="200" t="str" cm="1">
        <f t="array" ref="Y135">Common_InputFunctions.Utility_DisplayArrayInTable(Fertiliser_SourceData.Fertiliser_Products_Data2(), FertiliserProducts[[#Headers],[Company]],31)</f>
        <v/>
      </c>
      <c r="Z135" s="200" t="str" cm="1">
        <f t="array" ref="Z135">Common_InputFunctions.Utility_DisplayArrayInTable(Fertiliser_SourceData.Fertiliser_Products_Data2(), FertiliserProducts[[#Headers],[Company]],31)</f>
        <v/>
      </c>
      <c r="AA135" s="200" t="str" cm="1">
        <f t="array" ref="AA135">Common_InputFunctions.Utility_DisplayArrayInTable(Fertiliser_SourceData.Fertiliser_Products_Data2(), FertiliserProducts[[#Headers],[Company]],31)</f>
        <v/>
      </c>
      <c r="AB135" s="200" t="str" cm="1">
        <f t="array" ref="AB135">Common_InputFunctions.Utility_DisplayArrayInTable(Fertiliser_SourceData.Fertiliser_Products_Data2(), FertiliserProducts[[#Headers],[Company]],31)</f>
        <v/>
      </c>
      <c r="AC135" s="200" t="str" cm="1">
        <f t="array" ref="AC135">Common_InputFunctions.Utility_DisplayArrayInTable(Fertiliser_SourceData.Fertiliser_Products_Data2(), FertiliserProducts[[#Headers],[Company]],31)</f>
        <v/>
      </c>
      <c r="AD135" s="200" t="str" cm="1">
        <f t="array" ref="AD135">Common_InputFunctions.Utility_DisplayArrayInTable(Fertiliser_SourceData.Fertiliser_Products_Data2(), FertiliserProducts[[#Headers],[Company]],31)</f>
        <v/>
      </c>
      <c r="AE135" s="200" t="str" cm="1">
        <f t="array" ref="AE135">Common_InputFunctions.Utility_DisplayArrayInTable(Fertiliser_SourceData.Fertiliser_Products_Data2(), FertiliserProducts[[#Headers],[Company]],31)</f>
        <v/>
      </c>
      <c r="AF135" s="200" t="str" cm="1">
        <f t="array" ref="AF135">Common_InputFunctions.Utility_DisplayArrayInTable(Fertiliser_SourceData.Fertiliser_Products_Data2(), FertiliserProducts[[#Headers],[Company]],31)</f>
        <v/>
      </c>
      <c r="AG135" s="200" t="str" cm="1">
        <f t="array" ref="AG135">Common_InputFunctions.Utility_DisplayArrayInTable(Fertiliser_SourceData.Fertiliser_Products_Data2(), FertiliserProducts[[#Headers],[Company]],31)</f>
        <v/>
      </c>
      <c r="AH135" s="200"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200" t="str" cm="1">
        <f t="array" ref="D136">Common_InputFunctions.Utility_DisplayArrayInTable(Fertiliser_SourceData.Fertiliser_Products_Data2(), FertiliserProducts[[#Headers],[Company]],31)</f>
        <v>Impact Fertilisers</v>
      </c>
      <c r="E136" s="200" t="str" cm="1">
        <f t="array" ref="E136">Common_InputFunctions.Utility_DisplayArrayInTable(Fertiliser_SourceData.Fertiliser_Products_Data2(), FertiliserProducts[[#Headers],[Company]],31)</f>
        <v>Urea</v>
      </c>
      <c r="F136" s="200" t="str" cm="1">
        <f t="array" ref="F136">Common_InputFunctions.Utility_DisplayArrayInTable(Fertiliser_SourceData.Fertiliser_Products_Data2(), FertiliserProducts[[#Headers],[Company]],31)</f>
        <v>kg</v>
      </c>
      <c r="G136" s="200" cm="1">
        <f t="array" ref="G136">Common_InputFunctions.Utility_DisplayArrayInTable(Fertiliser_SourceData.Fertiliser_Products_Data2(), FertiliserProducts[[#Headers],[Company]],31)</f>
        <v>1</v>
      </c>
      <c r="H136" s="200" t="str" cm="1">
        <f t="array" ref="H136">Common_InputFunctions.Utility_DisplayArrayInTable(Fertiliser_SourceData.Fertiliser_Products_Data2(), FertiliserProducts[[#Headers],[Company]],31)</f>
        <v/>
      </c>
      <c r="I136" s="200" t="str" cm="1">
        <f t="array" ref="I136">Common_InputFunctions.Utility_DisplayArrayInTable(Fertiliser_SourceData.Fertiliser_Products_Data2(), FertiliserProducts[[#Headers],[Company]],31)</f>
        <v/>
      </c>
      <c r="J136" s="200" t="str" cm="1">
        <f t="array" ref="J136">Common_InputFunctions.Utility_DisplayArrayInTable(Fertiliser_SourceData.Fertiliser_Products_Data2(), FertiliserProducts[[#Headers],[Company]],31)</f>
        <v/>
      </c>
      <c r="K136" s="200" cm="1">
        <f t="array" ref="K136">Common_InputFunctions.Utility_DisplayArrayInTable(Fertiliser_SourceData.Fertiliser_Products_Data2(), FertiliserProducts[[#Headers],[Company]],31)</f>
        <v>46</v>
      </c>
      <c r="L136" s="200" t="str" cm="1">
        <f t="array" ref="L136">Common_InputFunctions.Utility_DisplayArrayInTable(Fertiliser_SourceData.Fertiliser_Products_Data2(), FertiliserProducts[[#Headers],[Company]],31)</f>
        <v/>
      </c>
      <c r="M136" s="200" t="str" cm="1">
        <f t="array" ref="M136">Common_InputFunctions.Utility_DisplayArrayInTable(Fertiliser_SourceData.Fertiliser_Products_Data2(), FertiliserProducts[[#Headers],[Company]],31)</f>
        <v/>
      </c>
      <c r="N136" s="200" t="str" cm="1">
        <f t="array" ref="N136">Common_InputFunctions.Utility_DisplayArrayInTable(Fertiliser_SourceData.Fertiliser_Products_Data2(), FertiliserProducts[[#Headers],[Company]],31)</f>
        <v/>
      </c>
      <c r="O136" s="200" t="str" cm="1">
        <f t="array" ref="O136">Common_InputFunctions.Utility_DisplayArrayInTable(Fertiliser_SourceData.Fertiliser_Products_Data2(), FertiliserProducts[[#Headers],[Company]],31)</f>
        <v>Urea</v>
      </c>
      <c r="P136" s="200" cm="1">
        <f t="array" ref="P136">Common_InputFunctions.Utility_DisplayArrayInTable(Fertiliser_SourceData.Fertiliser_Products_Data2(), FertiliserProducts[[#Headers],[Company]],31)</f>
        <v>1</v>
      </c>
      <c r="Q136" s="200" t="str" cm="1">
        <f t="array" ref="Q136">Common_InputFunctions.Utility_DisplayArrayInTable(Fertiliser_SourceData.Fertiliser_Products_Data2(), FertiliserProducts[[#Headers],[Company]],31)</f>
        <v/>
      </c>
      <c r="R136" s="200" t="str" cm="1">
        <f t="array" ref="R136">Common_InputFunctions.Utility_DisplayArrayInTable(Fertiliser_SourceData.Fertiliser_Products_Data2(), FertiliserProducts[[#Headers],[Company]],31)</f>
        <v/>
      </c>
      <c r="S136" s="200" t="str" cm="1">
        <f t="array" ref="S136">Common_InputFunctions.Utility_DisplayArrayInTable(Fertiliser_SourceData.Fertiliser_Products_Data2(), FertiliserProducts[[#Headers],[Company]],31)</f>
        <v/>
      </c>
      <c r="T136" s="200" t="str" cm="1">
        <f t="array" ref="T136">Common_InputFunctions.Utility_DisplayArrayInTable(Fertiliser_SourceData.Fertiliser_Products_Data2(), FertiliserProducts[[#Headers],[Company]],31)</f>
        <v/>
      </c>
      <c r="U136" s="200" t="str" cm="1">
        <f t="array" ref="U136">Common_InputFunctions.Utility_DisplayArrayInTable(Fertiliser_SourceData.Fertiliser_Products_Data2(), FertiliserProducts[[#Headers],[Company]],31)</f>
        <v/>
      </c>
      <c r="V136" s="200" t="str" cm="1">
        <f t="array" ref="V136">Common_InputFunctions.Utility_DisplayArrayInTable(Fertiliser_SourceData.Fertiliser_Products_Data2(), FertiliserProducts[[#Headers],[Company]],31)</f>
        <v/>
      </c>
      <c r="W136" s="200" t="str" cm="1">
        <f t="array" ref="W136">Common_InputFunctions.Utility_DisplayArrayInTable(Fertiliser_SourceData.Fertiliser_Products_Data2(), FertiliserProducts[[#Headers],[Company]],31)</f>
        <v/>
      </c>
      <c r="X136" s="200" t="str" cm="1">
        <f t="array" ref="X136">Common_InputFunctions.Utility_DisplayArrayInTable(Fertiliser_SourceData.Fertiliser_Products_Data2(), FertiliserProducts[[#Headers],[Company]],31)</f>
        <v/>
      </c>
      <c r="Y136" s="200" t="str" cm="1">
        <f t="array" ref="Y136">Common_InputFunctions.Utility_DisplayArrayInTable(Fertiliser_SourceData.Fertiliser_Products_Data2(), FertiliserProducts[[#Headers],[Company]],31)</f>
        <v/>
      </c>
      <c r="Z136" s="200" t="str" cm="1">
        <f t="array" ref="Z136">Common_InputFunctions.Utility_DisplayArrayInTable(Fertiliser_SourceData.Fertiliser_Products_Data2(), FertiliserProducts[[#Headers],[Company]],31)</f>
        <v/>
      </c>
      <c r="AA136" s="200" t="str" cm="1">
        <f t="array" ref="AA136">Common_InputFunctions.Utility_DisplayArrayInTable(Fertiliser_SourceData.Fertiliser_Products_Data2(), FertiliserProducts[[#Headers],[Company]],31)</f>
        <v/>
      </c>
      <c r="AB136" s="200" t="str" cm="1">
        <f t="array" ref="AB136">Common_InputFunctions.Utility_DisplayArrayInTable(Fertiliser_SourceData.Fertiliser_Products_Data2(), FertiliserProducts[[#Headers],[Company]],31)</f>
        <v/>
      </c>
      <c r="AC136" s="200" t="str" cm="1">
        <f t="array" ref="AC136">Common_InputFunctions.Utility_DisplayArrayInTable(Fertiliser_SourceData.Fertiliser_Products_Data2(), FertiliserProducts[[#Headers],[Company]],31)</f>
        <v/>
      </c>
      <c r="AD136" s="200" t="str" cm="1">
        <f t="array" ref="AD136">Common_InputFunctions.Utility_DisplayArrayInTable(Fertiliser_SourceData.Fertiliser_Products_Data2(), FertiliserProducts[[#Headers],[Company]],31)</f>
        <v/>
      </c>
      <c r="AE136" s="200" t="str" cm="1">
        <f t="array" ref="AE136">Common_InputFunctions.Utility_DisplayArrayInTable(Fertiliser_SourceData.Fertiliser_Products_Data2(), FertiliserProducts[[#Headers],[Company]],31)</f>
        <v/>
      </c>
      <c r="AF136" s="200" t="str" cm="1">
        <f t="array" ref="AF136">Common_InputFunctions.Utility_DisplayArrayInTable(Fertiliser_SourceData.Fertiliser_Products_Data2(), FertiliserProducts[[#Headers],[Company]],31)</f>
        <v/>
      </c>
      <c r="AG136" s="200" t="str" cm="1">
        <f t="array" ref="AG136">Common_InputFunctions.Utility_DisplayArrayInTable(Fertiliser_SourceData.Fertiliser_Products_Data2(), FertiliserProducts[[#Headers],[Company]],31)</f>
        <v/>
      </c>
      <c r="AH136" s="200"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200" t="str" cm="1">
        <f t="array" ref="D137">Common_InputFunctions.Utility_DisplayArrayInTable(Fertiliser_SourceData.Fertiliser_Products_Data2(), FertiliserProducts[[#Headers],[Company]],31)</f>
        <v>Koch Fertiliser Australia</v>
      </c>
      <c r="E137" s="200" t="str" cm="1">
        <f t="array" ref="E137">Common_InputFunctions.Utility_DisplayArrayInTable(Fertiliser_SourceData.Fertiliser_Products_Data2(), FertiliserProducts[[#Headers],[Company]],31)</f>
        <v>Muriate of potash (MOP)</v>
      </c>
      <c r="F137" s="200" t="str" cm="1">
        <f t="array" ref="F137">Common_InputFunctions.Utility_DisplayArrayInTable(Fertiliser_SourceData.Fertiliser_Products_Data2(), FertiliserProducts[[#Headers],[Company]],31)</f>
        <v>kg</v>
      </c>
      <c r="G137" s="200" cm="1">
        <f t="array" ref="G137">Common_InputFunctions.Utility_DisplayArrayInTable(Fertiliser_SourceData.Fertiliser_Products_Data2(), FertiliserProducts[[#Headers],[Company]],31)</f>
        <v>1</v>
      </c>
      <c r="H137" s="200" t="str" cm="1">
        <f t="array" ref="H137">Common_InputFunctions.Utility_DisplayArrayInTable(Fertiliser_SourceData.Fertiliser_Products_Data2(), FertiliserProducts[[#Headers],[Company]],31)</f>
        <v/>
      </c>
      <c r="I137" s="200" t="str" cm="1">
        <f t="array" ref="I137">Common_InputFunctions.Utility_DisplayArrayInTable(Fertiliser_SourceData.Fertiliser_Products_Data2(), FertiliserProducts[[#Headers],[Company]],31)</f>
        <v/>
      </c>
      <c r="J137" s="200" t="str" cm="1">
        <f t="array" ref="J137">Common_InputFunctions.Utility_DisplayArrayInTable(Fertiliser_SourceData.Fertiliser_Products_Data2(), FertiliserProducts[[#Headers],[Company]],31)</f>
        <v/>
      </c>
      <c r="K137" s="200" t="str" cm="1">
        <f t="array" ref="K137">Common_InputFunctions.Utility_DisplayArrayInTable(Fertiliser_SourceData.Fertiliser_Products_Data2(), FertiliserProducts[[#Headers],[Company]],31)</f>
        <v/>
      </c>
      <c r="L137" s="200" t="str" cm="1">
        <f t="array" ref="L137">Common_InputFunctions.Utility_DisplayArrayInTable(Fertiliser_SourceData.Fertiliser_Products_Data2(), FertiliserProducts[[#Headers],[Company]],31)</f>
        <v/>
      </c>
      <c r="M137" s="200" cm="1">
        <f t="array" ref="M137">Common_InputFunctions.Utility_DisplayArrayInTable(Fertiliser_SourceData.Fertiliser_Products_Data2(), FertiliserProducts[[#Headers],[Company]],31)</f>
        <v>50</v>
      </c>
      <c r="N137" s="200" t="str" cm="1">
        <f t="array" ref="N137">Common_InputFunctions.Utility_DisplayArrayInTable(Fertiliser_SourceData.Fertiliser_Products_Data2(), FertiliserProducts[[#Headers],[Company]],31)</f>
        <v/>
      </c>
      <c r="O137" s="200" t="str" cm="1">
        <f t="array" ref="O137">Common_InputFunctions.Utility_DisplayArrayInTable(Fertiliser_SourceData.Fertiliser_Products_Data2(), FertiliserProducts[[#Headers],[Company]],31)</f>
        <v>Muriate of potash (MOP)</v>
      </c>
      <c r="P137" s="200" cm="1">
        <f t="array" ref="P137">Common_InputFunctions.Utility_DisplayArrayInTable(Fertiliser_SourceData.Fertiliser_Products_Data2(), FertiliserProducts[[#Headers],[Company]],31)</f>
        <v>1</v>
      </c>
      <c r="Q137" s="200" t="str" cm="1">
        <f t="array" ref="Q137">Common_InputFunctions.Utility_DisplayArrayInTable(Fertiliser_SourceData.Fertiliser_Products_Data2(), FertiliserProducts[[#Headers],[Company]],31)</f>
        <v/>
      </c>
      <c r="R137" s="200" t="str" cm="1">
        <f t="array" ref="R137">Common_InputFunctions.Utility_DisplayArrayInTable(Fertiliser_SourceData.Fertiliser_Products_Data2(), FertiliserProducts[[#Headers],[Company]],31)</f>
        <v/>
      </c>
      <c r="S137" s="200" t="str" cm="1">
        <f t="array" ref="S137">Common_InputFunctions.Utility_DisplayArrayInTable(Fertiliser_SourceData.Fertiliser_Products_Data2(), FertiliserProducts[[#Headers],[Company]],31)</f>
        <v/>
      </c>
      <c r="T137" s="200" t="str" cm="1">
        <f t="array" ref="T137">Common_InputFunctions.Utility_DisplayArrayInTable(Fertiliser_SourceData.Fertiliser_Products_Data2(), FertiliserProducts[[#Headers],[Company]],31)</f>
        <v/>
      </c>
      <c r="U137" s="200" t="str" cm="1">
        <f t="array" ref="U137">Common_InputFunctions.Utility_DisplayArrayInTable(Fertiliser_SourceData.Fertiliser_Products_Data2(), FertiliserProducts[[#Headers],[Company]],31)</f>
        <v/>
      </c>
      <c r="V137" s="200" t="str" cm="1">
        <f t="array" ref="V137">Common_InputFunctions.Utility_DisplayArrayInTable(Fertiliser_SourceData.Fertiliser_Products_Data2(), FertiliserProducts[[#Headers],[Company]],31)</f>
        <v/>
      </c>
      <c r="W137" s="200" t="str" cm="1">
        <f t="array" ref="W137">Common_InputFunctions.Utility_DisplayArrayInTable(Fertiliser_SourceData.Fertiliser_Products_Data2(), FertiliserProducts[[#Headers],[Company]],31)</f>
        <v/>
      </c>
      <c r="X137" s="200" t="str" cm="1">
        <f t="array" ref="X137">Common_InputFunctions.Utility_DisplayArrayInTable(Fertiliser_SourceData.Fertiliser_Products_Data2(), FertiliserProducts[[#Headers],[Company]],31)</f>
        <v/>
      </c>
      <c r="Y137" s="200" t="str" cm="1">
        <f t="array" ref="Y137">Common_InputFunctions.Utility_DisplayArrayInTable(Fertiliser_SourceData.Fertiliser_Products_Data2(), FertiliserProducts[[#Headers],[Company]],31)</f>
        <v/>
      </c>
      <c r="Z137" s="200" t="str" cm="1">
        <f t="array" ref="Z137">Common_InputFunctions.Utility_DisplayArrayInTable(Fertiliser_SourceData.Fertiliser_Products_Data2(), FertiliserProducts[[#Headers],[Company]],31)</f>
        <v/>
      </c>
      <c r="AA137" s="200" t="str" cm="1">
        <f t="array" ref="AA137">Common_InputFunctions.Utility_DisplayArrayInTable(Fertiliser_SourceData.Fertiliser_Products_Data2(), FertiliserProducts[[#Headers],[Company]],31)</f>
        <v/>
      </c>
      <c r="AB137" s="200" t="str" cm="1">
        <f t="array" ref="AB137">Common_InputFunctions.Utility_DisplayArrayInTable(Fertiliser_SourceData.Fertiliser_Products_Data2(), FertiliserProducts[[#Headers],[Company]],31)</f>
        <v/>
      </c>
      <c r="AC137" s="200" t="str" cm="1">
        <f t="array" ref="AC137">Common_InputFunctions.Utility_DisplayArrayInTable(Fertiliser_SourceData.Fertiliser_Products_Data2(), FertiliserProducts[[#Headers],[Company]],31)</f>
        <v/>
      </c>
      <c r="AD137" s="200" t="str" cm="1">
        <f t="array" ref="AD137">Common_InputFunctions.Utility_DisplayArrayInTable(Fertiliser_SourceData.Fertiliser_Products_Data2(), FertiliserProducts[[#Headers],[Company]],31)</f>
        <v/>
      </c>
      <c r="AE137" s="200" t="str" cm="1">
        <f t="array" ref="AE137">Common_InputFunctions.Utility_DisplayArrayInTable(Fertiliser_SourceData.Fertiliser_Products_Data2(), FertiliserProducts[[#Headers],[Company]],31)</f>
        <v/>
      </c>
      <c r="AF137" s="200" t="str" cm="1">
        <f t="array" ref="AF137">Common_InputFunctions.Utility_DisplayArrayInTable(Fertiliser_SourceData.Fertiliser_Products_Data2(), FertiliserProducts[[#Headers],[Company]],31)</f>
        <v/>
      </c>
      <c r="AG137" s="200" t="str" cm="1">
        <f t="array" ref="AG137">Common_InputFunctions.Utility_DisplayArrayInTable(Fertiliser_SourceData.Fertiliser_Products_Data2(), FertiliserProducts[[#Headers],[Company]],31)</f>
        <v/>
      </c>
      <c r="AH137" s="200"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200" t="str" cm="1">
        <f t="array" ref="D138">Common_InputFunctions.Utility_DisplayArrayInTable(Fertiliser_SourceData.Fertiliser_Products_Data2(), FertiliserProducts[[#Headers],[Company]],31)</f>
        <v>Risso-Chemical</v>
      </c>
      <c r="E138" s="200" t="str" cm="1">
        <f t="array" ref="E138">Common_InputFunctions.Utility_DisplayArrayInTable(Fertiliser_SourceData.Fertiliser_Products_Data2(), FertiliserProducts[[#Headers],[Company]],31)</f>
        <v>Urea Ammonium nitrate (UAN 32-0-0)</v>
      </c>
      <c r="F138" s="200" t="str" cm="1">
        <f t="array" ref="F138">Common_InputFunctions.Utility_DisplayArrayInTable(Fertiliser_SourceData.Fertiliser_Products_Data2(), FertiliserProducts[[#Headers],[Company]],31)</f>
        <v>L</v>
      </c>
      <c r="G138" s="200" cm="1">
        <f t="array" ref="G138">Common_InputFunctions.Utility_DisplayArrayInTable(Fertiliser_SourceData.Fertiliser_Products_Data2(), FertiliserProducts[[#Headers],[Company]],31)</f>
        <v>1.32</v>
      </c>
      <c r="H138" s="200" t="str" cm="1">
        <f t="array" ref="H138">Common_InputFunctions.Utility_DisplayArrayInTable(Fertiliser_SourceData.Fertiliser_Products_Data2(), FertiliserProducts[[#Headers],[Company]],31)</f>
        <v/>
      </c>
      <c r="I138" s="200" t="str" cm="1">
        <f t="array" ref="I138">Common_InputFunctions.Utility_DisplayArrayInTable(Fertiliser_SourceData.Fertiliser_Products_Data2(), FertiliserProducts[[#Headers],[Company]],31)</f>
        <v>China</v>
      </c>
      <c r="J138" s="200" t="str" cm="1">
        <f t="array" ref="J138">Common_InputFunctions.Utility_DisplayArrayInTable(Fertiliser_SourceData.Fertiliser_Products_Data2(), FertiliserProducts[[#Headers],[Company]],31)</f>
        <v>China</v>
      </c>
      <c r="K138" s="200" cm="1">
        <f t="array" ref="K138">Common_InputFunctions.Utility_DisplayArrayInTable(Fertiliser_SourceData.Fertiliser_Products_Data2(), FertiliserProducts[[#Headers],[Company]],31)</f>
        <v>32</v>
      </c>
      <c r="L138" s="200" t="str" cm="1">
        <f t="array" ref="L138">Common_InputFunctions.Utility_DisplayArrayInTable(Fertiliser_SourceData.Fertiliser_Products_Data2(), FertiliserProducts[[#Headers],[Company]],31)</f>
        <v/>
      </c>
      <c r="M138" s="200" t="str" cm="1">
        <f t="array" ref="M138">Common_InputFunctions.Utility_DisplayArrayInTable(Fertiliser_SourceData.Fertiliser_Products_Data2(), FertiliserProducts[[#Headers],[Company]],31)</f>
        <v/>
      </c>
      <c r="N138" s="200" t="str" cm="1">
        <f t="array" ref="N138">Common_InputFunctions.Utility_DisplayArrayInTable(Fertiliser_SourceData.Fertiliser_Products_Data2(), FertiliserProducts[[#Headers],[Company]],31)</f>
        <v/>
      </c>
      <c r="O138" s="200" t="str" cm="1">
        <f t="array" ref="O138">Common_InputFunctions.Utility_DisplayArrayInTable(Fertiliser_SourceData.Fertiliser_Products_Data2(), FertiliserProducts[[#Headers],[Company]],31)</f>
        <v>Urea-ammonium nitrate (UAN)</v>
      </c>
      <c r="P138" s="200" cm="1">
        <f t="array" ref="P138">Common_InputFunctions.Utility_DisplayArrayInTable(Fertiliser_SourceData.Fertiliser_Products_Data2(), FertiliserProducts[[#Headers],[Company]],31)</f>
        <v>1</v>
      </c>
      <c r="Q138" s="200" t="str" cm="1">
        <f t="array" ref="Q138">Common_InputFunctions.Utility_DisplayArrayInTable(Fertiliser_SourceData.Fertiliser_Products_Data2(), FertiliserProducts[[#Headers],[Company]],31)</f>
        <v/>
      </c>
      <c r="R138" s="200" t="str" cm="1">
        <f t="array" ref="R138">Common_InputFunctions.Utility_DisplayArrayInTable(Fertiliser_SourceData.Fertiliser_Products_Data2(), FertiliserProducts[[#Headers],[Company]],31)</f>
        <v/>
      </c>
      <c r="S138" s="200" t="str" cm="1">
        <f t="array" ref="S138">Common_InputFunctions.Utility_DisplayArrayInTable(Fertiliser_SourceData.Fertiliser_Products_Data2(), FertiliserProducts[[#Headers],[Company]],31)</f>
        <v/>
      </c>
      <c r="T138" s="200" t="str" cm="1">
        <f t="array" ref="T138">Common_InputFunctions.Utility_DisplayArrayInTable(Fertiliser_SourceData.Fertiliser_Products_Data2(), FertiliserProducts[[#Headers],[Company]],31)</f>
        <v/>
      </c>
      <c r="U138" s="200" t="str" cm="1">
        <f t="array" ref="U138">Common_InputFunctions.Utility_DisplayArrayInTable(Fertiliser_SourceData.Fertiliser_Products_Data2(), FertiliserProducts[[#Headers],[Company]],31)</f>
        <v/>
      </c>
      <c r="V138" s="200" t="str" cm="1">
        <f t="array" ref="V138">Common_InputFunctions.Utility_DisplayArrayInTable(Fertiliser_SourceData.Fertiliser_Products_Data2(), FertiliserProducts[[#Headers],[Company]],31)</f>
        <v/>
      </c>
      <c r="W138" s="200" t="str" cm="1">
        <f t="array" ref="W138">Common_InputFunctions.Utility_DisplayArrayInTable(Fertiliser_SourceData.Fertiliser_Products_Data2(), FertiliserProducts[[#Headers],[Company]],31)</f>
        <v/>
      </c>
      <c r="X138" s="200" t="str" cm="1">
        <f t="array" ref="X138">Common_InputFunctions.Utility_DisplayArrayInTable(Fertiliser_SourceData.Fertiliser_Products_Data2(), FertiliserProducts[[#Headers],[Company]],31)</f>
        <v/>
      </c>
      <c r="Y138" s="200" t="str" cm="1">
        <f t="array" ref="Y138">Common_InputFunctions.Utility_DisplayArrayInTable(Fertiliser_SourceData.Fertiliser_Products_Data2(), FertiliserProducts[[#Headers],[Company]],31)</f>
        <v/>
      </c>
      <c r="Z138" s="200" t="str" cm="1">
        <f t="array" ref="Z138">Common_InputFunctions.Utility_DisplayArrayInTable(Fertiliser_SourceData.Fertiliser_Products_Data2(), FertiliserProducts[[#Headers],[Company]],31)</f>
        <v/>
      </c>
      <c r="AA138" s="200" t="str" cm="1">
        <f t="array" ref="AA138">Common_InputFunctions.Utility_DisplayArrayInTable(Fertiliser_SourceData.Fertiliser_Products_Data2(), FertiliserProducts[[#Headers],[Company]],31)</f>
        <v/>
      </c>
      <c r="AB138" s="200" t="str" cm="1">
        <f t="array" ref="AB138">Common_InputFunctions.Utility_DisplayArrayInTable(Fertiliser_SourceData.Fertiliser_Products_Data2(), FertiliserProducts[[#Headers],[Company]],31)</f>
        <v/>
      </c>
      <c r="AC138" s="200" t="str" cm="1">
        <f t="array" ref="AC138">Common_InputFunctions.Utility_DisplayArrayInTable(Fertiliser_SourceData.Fertiliser_Products_Data2(), FertiliserProducts[[#Headers],[Company]],31)</f>
        <v/>
      </c>
      <c r="AD138" s="200" t="str" cm="1">
        <f t="array" ref="AD138">Common_InputFunctions.Utility_DisplayArrayInTable(Fertiliser_SourceData.Fertiliser_Products_Data2(), FertiliserProducts[[#Headers],[Company]],31)</f>
        <v/>
      </c>
      <c r="AE138" s="200" t="str" cm="1">
        <f t="array" ref="AE138">Common_InputFunctions.Utility_DisplayArrayInTable(Fertiliser_SourceData.Fertiliser_Products_Data2(), FertiliserProducts[[#Headers],[Company]],31)</f>
        <v/>
      </c>
      <c r="AF138" s="200" t="str" cm="1">
        <f t="array" ref="AF138">Common_InputFunctions.Utility_DisplayArrayInTable(Fertiliser_SourceData.Fertiliser_Products_Data2(), FertiliserProducts[[#Headers],[Company]],31)</f>
        <v/>
      </c>
      <c r="AG138" s="200" t="str" cm="1">
        <f t="array" ref="AG138">Common_InputFunctions.Utility_DisplayArrayInTable(Fertiliser_SourceData.Fertiliser_Products_Data2(), FertiliserProducts[[#Headers],[Company]],31)</f>
        <v/>
      </c>
      <c r="AH138" s="200"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200" t="str" cm="1">
        <f t="array" ref="D139">Common_InputFunctions.Utility_DisplayArrayInTable(Fertiliser_SourceData.Fertiliser_Products_Data2(), FertiliserProducts[[#Headers],[Company]],31)</f>
        <v>Risso-Chemical</v>
      </c>
      <c r="E139" s="200" t="str" cm="1">
        <f t="array" ref="E139">Common_InputFunctions.Utility_DisplayArrayInTable(Fertiliser_SourceData.Fertiliser_Products_Data2(), FertiliserProducts[[#Headers],[Company]],31)</f>
        <v>Polypeptide Urea</v>
      </c>
      <c r="F139" s="200" t="str" cm="1">
        <f t="array" ref="F139">Common_InputFunctions.Utility_DisplayArrayInTable(Fertiliser_SourceData.Fertiliser_Products_Data2(), FertiliserProducts[[#Headers],[Company]],31)</f>
        <v>kg</v>
      </c>
      <c r="G139" s="200" cm="1">
        <f t="array" ref="G139">Common_InputFunctions.Utility_DisplayArrayInTable(Fertiliser_SourceData.Fertiliser_Products_Data2(), FertiliserProducts[[#Headers],[Company]],31)</f>
        <v>1</v>
      </c>
      <c r="H139" s="200" t="str" cm="1">
        <f t="array" ref="H139">Common_InputFunctions.Utility_DisplayArrayInTable(Fertiliser_SourceData.Fertiliser_Products_Data2(), FertiliserProducts[[#Headers],[Company]],31)</f>
        <v/>
      </c>
      <c r="I139" s="200" t="str" cm="1">
        <f t="array" ref="I139">Common_InputFunctions.Utility_DisplayArrayInTable(Fertiliser_SourceData.Fertiliser_Products_Data2(), FertiliserProducts[[#Headers],[Company]],31)</f>
        <v>China</v>
      </c>
      <c r="J139" s="200" t="str" cm="1">
        <f t="array" ref="J139">Common_InputFunctions.Utility_DisplayArrayInTable(Fertiliser_SourceData.Fertiliser_Products_Data2(), FertiliserProducts[[#Headers],[Company]],31)</f>
        <v/>
      </c>
      <c r="K139" s="200" cm="1">
        <f t="array" ref="K139">Common_InputFunctions.Utility_DisplayArrayInTable(Fertiliser_SourceData.Fertiliser_Products_Data2(), FertiliserProducts[[#Headers],[Company]],31)</f>
        <v>46</v>
      </c>
      <c r="L139" s="200" t="str" cm="1">
        <f t="array" ref="L139">Common_InputFunctions.Utility_DisplayArrayInTable(Fertiliser_SourceData.Fertiliser_Products_Data2(), FertiliserProducts[[#Headers],[Company]],31)</f>
        <v/>
      </c>
      <c r="M139" s="200" t="str" cm="1">
        <f t="array" ref="M139">Common_InputFunctions.Utility_DisplayArrayInTable(Fertiliser_SourceData.Fertiliser_Products_Data2(), FertiliserProducts[[#Headers],[Company]],31)</f>
        <v/>
      </c>
      <c r="N139" s="200" t="str" cm="1">
        <f t="array" ref="N139">Common_InputFunctions.Utility_DisplayArrayInTable(Fertiliser_SourceData.Fertiliser_Products_Data2(), FertiliserProducts[[#Headers],[Company]],31)</f>
        <v/>
      </c>
      <c r="O139" s="200" t="str" cm="1">
        <f t="array" ref="O139">Common_InputFunctions.Utility_DisplayArrayInTable(Fertiliser_SourceData.Fertiliser_Products_Data2(), FertiliserProducts[[#Headers],[Company]],31)</f>
        <v>Urea</v>
      </c>
      <c r="P139" s="200" cm="1">
        <f t="array" ref="P139">Common_InputFunctions.Utility_DisplayArrayInTable(Fertiliser_SourceData.Fertiliser_Products_Data2(), FertiliserProducts[[#Headers],[Company]],31)</f>
        <v>1</v>
      </c>
      <c r="Q139" s="200" t="str" cm="1">
        <f t="array" ref="Q139">Common_InputFunctions.Utility_DisplayArrayInTable(Fertiliser_SourceData.Fertiliser_Products_Data2(), FertiliserProducts[[#Headers],[Company]],31)</f>
        <v>Polypeptide (amino acids)</v>
      </c>
      <c r="R139" s="200" cm="1">
        <f t="array" ref="R139">Common_InputFunctions.Utility_DisplayArrayInTable(Fertiliser_SourceData.Fertiliser_Products_Data2(), FertiliserProducts[[#Headers],[Company]],31)</f>
        <v>0</v>
      </c>
      <c r="S139" s="200" t="str" cm="1">
        <f t="array" ref="S139">Common_InputFunctions.Utility_DisplayArrayInTable(Fertiliser_SourceData.Fertiliser_Products_Data2(), FertiliserProducts[[#Headers],[Company]],31)</f>
        <v/>
      </c>
      <c r="T139" s="200" t="str" cm="1">
        <f t="array" ref="T139">Common_InputFunctions.Utility_DisplayArrayInTable(Fertiliser_SourceData.Fertiliser_Products_Data2(), FertiliserProducts[[#Headers],[Company]],31)</f>
        <v/>
      </c>
      <c r="U139" s="200" t="str" cm="1">
        <f t="array" ref="U139">Common_InputFunctions.Utility_DisplayArrayInTable(Fertiliser_SourceData.Fertiliser_Products_Data2(), FertiliserProducts[[#Headers],[Company]],31)</f>
        <v/>
      </c>
      <c r="V139" s="200" t="str" cm="1">
        <f t="array" ref="V139">Common_InputFunctions.Utility_DisplayArrayInTable(Fertiliser_SourceData.Fertiliser_Products_Data2(), FertiliserProducts[[#Headers],[Company]],31)</f>
        <v/>
      </c>
      <c r="W139" s="200" t="str" cm="1">
        <f t="array" ref="W139">Common_InputFunctions.Utility_DisplayArrayInTable(Fertiliser_SourceData.Fertiliser_Products_Data2(), FertiliserProducts[[#Headers],[Company]],31)</f>
        <v/>
      </c>
      <c r="X139" s="200" t="str" cm="1">
        <f t="array" ref="X139">Common_InputFunctions.Utility_DisplayArrayInTable(Fertiliser_SourceData.Fertiliser_Products_Data2(), FertiliserProducts[[#Headers],[Company]],31)</f>
        <v/>
      </c>
      <c r="Y139" s="200" t="str" cm="1">
        <f t="array" ref="Y139">Common_InputFunctions.Utility_DisplayArrayInTable(Fertiliser_SourceData.Fertiliser_Products_Data2(), FertiliserProducts[[#Headers],[Company]],31)</f>
        <v/>
      </c>
      <c r="Z139" s="200" t="str" cm="1">
        <f t="array" ref="Z139">Common_InputFunctions.Utility_DisplayArrayInTable(Fertiliser_SourceData.Fertiliser_Products_Data2(), FertiliserProducts[[#Headers],[Company]],31)</f>
        <v/>
      </c>
      <c r="AA139" s="200" t="str" cm="1">
        <f t="array" ref="AA139">Common_InputFunctions.Utility_DisplayArrayInTable(Fertiliser_SourceData.Fertiliser_Products_Data2(), FertiliserProducts[[#Headers],[Company]],31)</f>
        <v/>
      </c>
      <c r="AB139" s="200" t="str" cm="1">
        <f t="array" ref="AB139">Common_InputFunctions.Utility_DisplayArrayInTable(Fertiliser_SourceData.Fertiliser_Products_Data2(), FertiliserProducts[[#Headers],[Company]],31)</f>
        <v/>
      </c>
      <c r="AC139" s="200" t="str" cm="1">
        <f t="array" ref="AC139">Common_InputFunctions.Utility_DisplayArrayInTable(Fertiliser_SourceData.Fertiliser_Products_Data2(), FertiliserProducts[[#Headers],[Company]],31)</f>
        <v/>
      </c>
      <c r="AD139" s="200" t="str" cm="1">
        <f t="array" ref="AD139">Common_InputFunctions.Utility_DisplayArrayInTable(Fertiliser_SourceData.Fertiliser_Products_Data2(), FertiliserProducts[[#Headers],[Company]],31)</f>
        <v/>
      </c>
      <c r="AE139" s="200" t="str" cm="1">
        <f t="array" ref="AE139">Common_InputFunctions.Utility_DisplayArrayInTable(Fertiliser_SourceData.Fertiliser_Products_Data2(), FertiliserProducts[[#Headers],[Company]],31)</f>
        <v/>
      </c>
      <c r="AF139" s="200" t="str" cm="1">
        <f t="array" ref="AF139">Common_InputFunctions.Utility_DisplayArrayInTable(Fertiliser_SourceData.Fertiliser_Products_Data2(), FertiliserProducts[[#Headers],[Company]],31)</f>
        <v/>
      </c>
      <c r="AG139" s="200" t="str" cm="1">
        <f t="array" ref="AG139">Common_InputFunctions.Utility_DisplayArrayInTable(Fertiliser_SourceData.Fertiliser_Products_Data2(), FertiliserProducts[[#Headers],[Company]],31)</f>
        <v/>
      </c>
      <c r="AH139" s="200"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200" t="str" cm="1">
        <f t="array" ref="D140">Common_InputFunctions.Utility_DisplayArrayInTable(Fertiliser_SourceData.Fertiliser_Products_Data2(), FertiliserProducts[[#Headers],[Company]],31)</f>
        <v>Yara Australia</v>
      </c>
      <c r="E140" s="200" t="str" cm="1">
        <f t="array" ref="E140">Common_InputFunctions.Utility_DisplayArrayInTable(Fertiliser_SourceData.Fertiliser_Products_Data2(), FertiliserProducts[[#Headers],[Company]],31)</f>
        <v>YaraTera CALCINIT</v>
      </c>
      <c r="F140" s="200" t="str" cm="1">
        <f t="array" ref="F140">Common_InputFunctions.Utility_DisplayArrayInTable(Fertiliser_SourceData.Fertiliser_Products_Data2(), FertiliserProducts[[#Headers],[Company]],31)</f>
        <v>kg</v>
      </c>
      <c r="G140" s="200" cm="1">
        <f t="array" ref="G140">Common_InputFunctions.Utility_DisplayArrayInTable(Fertiliser_SourceData.Fertiliser_Products_Data2(), FertiliserProducts[[#Headers],[Company]],31)</f>
        <v>1</v>
      </c>
      <c r="H140" s="200" t="str" cm="1">
        <f t="array" ref="H140">Common_InputFunctions.Utility_DisplayArrayInTable(Fertiliser_SourceData.Fertiliser_Products_Data2(), FertiliserProducts[[#Headers],[Company]],31)</f>
        <v/>
      </c>
      <c r="I140" s="200" t="str" cm="1">
        <f t="array" ref="I140">Common_InputFunctions.Utility_DisplayArrayInTable(Fertiliser_SourceData.Fertiliser_Products_Data2(), FertiliserProducts[[#Headers],[Company]],31)</f>
        <v/>
      </c>
      <c r="J140" s="200" t="str" cm="1">
        <f t="array" ref="J140">Common_InputFunctions.Utility_DisplayArrayInTable(Fertiliser_SourceData.Fertiliser_Products_Data2(), FertiliserProducts[[#Headers],[Company]],31)</f>
        <v/>
      </c>
      <c r="K140" s="200" cm="1">
        <f t="array" ref="K140">Common_InputFunctions.Utility_DisplayArrayInTable(Fertiliser_SourceData.Fertiliser_Products_Data2(), FertiliserProducts[[#Headers],[Company]],31)</f>
        <v>15.5</v>
      </c>
      <c r="L140" s="200" t="str" cm="1">
        <f t="array" ref="L140">Common_InputFunctions.Utility_DisplayArrayInTable(Fertiliser_SourceData.Fertiliser_Products_Data2(), FertiliserProducts[[#Headers],[Company]],31)</f>
        <v/>
      </c>
      <c r="M140" s="200" t="str" cm="1">
        <f t="array" ref="M140">Common_InputFunctions.Utility_DisplayArrayInTable(Fertiliser_SourceData.Fertiliser_Products_Data2(), FertiliserProducts[[#Headers],[Company]],31)</f>
        <v/>
      </c>
      <c r="N140" s="200" t="str" cm="1">
        <f t="array" ref="N140">Common_InputFunctions.Utility_DisplayArrayInTable(Fertiliser_SourceData.Fertiliser_Products_Data2(), FertiliserProducts[[#Headers],[Company]],31)</f>
        <v/>
      </c>
      <c r="O140" s="200" t="str" cm="1">
        <f t="array" ref="O140">Common_InputFunctions.Utility_DisplayArrayInTable(Fertiliser_SourceData.Fertiliser_Products_Data2(), FertiliserProducts[[#Headers],[Company]],31)</f>
        <v>Calcium nitrate</v>
      </c>
      <c r="P140" s="200" cm="1">
        <f t="array" ref="P140">Common_InputFunctions.Utility_DisplayArrayInTable(Fertiliser_SourceData.Fertiliser_Products_Data2(), FertiliserProducts[[#Headers],[Company]],31)</f>
        <v>1</v>
      </c>
      <c r="Q140" s="200" t="str" cm="1">
        <f t="array" ref="Q140">Common_InputFunctions.Utility_DisplayArrayInTable(Fertiliser_SourceData.Fertiliser_Products_Data2(), FertiliserProducts[[#Headers],[Company]],31)</f>
        <v/>
      </c>
      <c r="R140" s="200" t="str" cm="1">
        <f t="array" ref="R140">Common_InputFunctions.Utility_DisplayArrayInTable(Fertiliser_SourceData.Fertiliser_Products_Data2(), FertiliserProducts[[#Headers],[Company]],31)</f>
        <v/>
      </c>
      <c r="S140" s="200" t="str" cm="1">
        <f t="array" ref="S140">Common_InputFunctions.Utility_DisplayArrayInTable(Fertiliser_SourceData.Fertiliser_Products_Data2(), FertiliserProducts[[#Headers],[Company]],31)</f>
        <v/>
      </c>
      <c r="T140" s="200" t="str" cm="1">
        <f t="array" ref="T140">Common_InputFunctions.Utility_DisplayArrayInTable(Fertiliser_SourceData.Fertiliser_Products_Data2(), FertiliserProducts[[#Headers],[Company]],31)</f>
        <v/>
      </c>
      <c r="U140" s="200" t="str" cm="1">
        <f t="array" ref="U140">Common_InputFunctions.Utility_DisplayArrayInTable(Fertiliser_SourceData.Fertiliser_Products_Data2(), FertiliserProducts[[#Headers],[Company]],31)</f>
        <v/>
      </c>
      <c r="V140" s="200" t="str" cm="1">
        <f t="array" ref="V140">Common_InputFunctions.Utility_DisplayArrayInTable(Fertiliser_SourceData.Fertiliser_Products_Data2(), FertiliserProducts[[#Headers],[Company]],31)</f>
        <v/>
      </c>
      <c r="W140" s="200" t="str" cm="1">
        <f t="array" ref="W140">Common_InputFunctions.Utility_DisplayArrayInTable(Fertiliser_SourceData.Fertiliser_Products_Data2(), FertiliserProducts[[#Headers],[Company]],31)</f>
        <v/>
      </c>
      <c r="X140" s="200" t="str" cm="1">
        <f t="array" ref="X140">Common_InputFunctions.Utility_DisplayArrayInTable(Fertiliser_SourceData.Fertiliser_Products_Data2(), FertiliserProducts[[#Headers],[Company]],31)</f>
        <v/>
      </c>
      <c r="Y140" s="200" t="str" cm="1">
        <f t="array" ref="Y140">Common_InputFunctions.Utility_DisplayArrayInTable(Fertiliser_SourceData.Fertiliser_Products_Data2(), FertiliserProducts[[#Headers],[Company]],31)</f>
        <v/>
      </c>
      <c r="Z140" s="200" t="str" cm="1">
        <f t="array" ref="Z140">Common_InputFunctions.Utility_DisplayArrayInTable(Fertiliser_SourceData.Fertiliser_Products_Data2(), FertiliserProducts[[#Headers],[Company]],31)</f>
        <v/>
      </c>
      <c r="AA140" s="200" t="str" cm="1">
        <f t="array" ref="AA140">Common_InputFunctions.Utility_DisplayArrayInTable(Fertiliser_SourceData.Fertiliser_Products_Data2(), FertiliserProducts[[#Headers],[Company]],31)</f>
        <v/>
      </c>
      <c r="AB140" s="200" t="str" cm="1">
        <f t="array" ref="AB140">Common_InputFunctions.Utility_DisplayArrayInTable(Fertiliser_SourceData.Fertiliser_Products_Data2(), FertiliserProducts[[#Headers],[Company]],31)</f>
        <v/>
      </c>
      <c r="AC140" s="200" t="str" cm="1">
        <f t="array" ref="AC140">Common_InputFunctions.Utility_DisplayArrayInTable(Fertiliser_SourceData.Fertiliser_Products_Data2(), FertiliserProducts[[#Headers],[Company]],31)</f>
        <v/>
      </c>
      <c r="AD140" s="200" t="str" cm="1">
        <f t="array" ref="AD140">Common_InputFunctions.Utility_DisplayArrayInTable(Fertiliser_SourceData.Fertiliser_Products_Data2(), FertiliserProducts[[#Headers],[Company]],31)</f>
        <v/>
      </c>
      <c r="AE140" s="200" t="str" cm="1">
        <f t="array" ref="AE140">Common_InputFunctions.Utility_DisplayArrayInTable(Fertiliser_SourceData.Fertiliser_Products_Data2(), FertiliserProducts[[#Headers],[Company]],31)</f>
        <v/>
      </c>
      <c r="AF140" s="200" t="str" cm="1">
        <f t="array" ref="AF140">Common_InputFunctions.Utility_DisplayArrayInTable(Fertiliser_SourceData.Fertiliser_Products_Data2(), FertiliserProducts[[#Headers],[Company]],31)</f>
        <v/>
      </c>
      <c r="AG140" s="200" t="str" cm="1">
        <f t="array" ref="AG140">Common_InputFunctions.Utility_DisplayArrayInTable(Fertiliser_SourceData.Fertiliser_Products_Data2(), FertiliserProducts[[#Headers],[Company]],31)</f>
        <v/>
      </c>
      <c r="AH140" s="200"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200" t="str" cm="1">
        <f t="array" ref="D141">Common_InputFunctions.Utility_DisplayArrayInTable(Fertiliser_SourceData.Fertiliser_Products_Data2(), FertiliserProducts[[#Headers],[Company]],31)</f>
        <v>Yara Australia</v>
      </c>
      <c r="E141" s="200" t="str" cm="1">
        <f t="array" ref="E141">Common_InputFunctions.Utility_DisplayArrayInTable(Fertiliser_SourceData.Fertiliser_Products_Data2(), FertiliserProducts[[#Headers],[Company]],31)</f>
        <v>YaraLiva NITRABOR</v>
      </c>
      <c r="F141" s="200" t="str" cm="1">
        <f t="array" ref="F141">Common_InputFunctions.Utility_DisplayArrayInTable(Fertiliser_SourceData.Fertiliser_Products_Data2(), FertiliserProducts[[#Headers],[Company]],31)</f>
        <v>kg</v>
      </c>
      <c r="G141" s="200" cm="1">
        <f t="array" ref="G141">Common_InputFunctions.Utility_DisplayArrayInTable(Fertiliser_SourceData.Fertiliser_Products_Data2(), FertiliserProducts[[#Headers],[Company]],31)</f>
        <v>1</v>
      </c>
      <c r="H141" s="200" t="str" cm="1">
        <f t="array" ref="H141">Common_InputFunctions.Utility_DisplayArrayInTable(Fertiliser_SourceData.Fertiliser_Products_Data2(), FertiliserProducts[[#Headers],[Company]],31)</f>
        <v/>
      </c>
      <c r="I141" s="200" t="str" cm="1">
        <f t="array" ref="I141">Common_InputFunctions.Utility_DisplayArrayInTable(Fertiliser_SourceData.Fertiliser_Products_Data2(), FertiliserProducts[[#Headers],[Company]],31)</f>
        <v/>
      </c>
      <c r="J141" s="200" t="str" cm="1">
        <f t="array" ref="J141">Common_InputFunctions.Utility_DisplayArrayInTable(Fertiliser_SourceData.Fertiliser_Products_Data2(), FertiliserProducts[[#Headers],[Company]],31)</f>
        <v/>
      </c>
      <c r="K141" s="200" cm="1">
        <f t="array" ref="K141">Common_InputFunctions.Utility_DisplayArrayInTable(Fertiliser_SourceData.Fertiliser_Products_Data2(), FertiliserProducts[[#Headers],[Company]],31)</f>
        <v>15.4</v>
      </c>
      <c r="L141" s="200" t="str" cm="1">
        <f t="array" ref="L141">Common_InputFunctions.Utility_DisplayArrayInTable(Fertiliser_SourceData.Fertiliser_Products_Data2(), FertiliserProducts[[#Headers],[Company]],31)</f>
        <v/>
      </c>
      <c r="M141" s="200" t="str" cm="1">
        <f t="array" ref="M141">Common_InputFunctions.Utility_DisplayArrayInTable(Fertiliser_SourceData.Fertiliser_Products_Data2(), FertiliserProducts[[#Headers],[Company]],31)</f>
        <v/>
      </c>
      <c r="N141" s="200" t="str" cm="1">
        <f t="array" ref="N141">Common_InputFunctions.Utility_DisplayArrayInTable(Fertiliser_SourceData.Fertiliser_Products_Data2(), FertiliserProducts[[#Headers],[Company]],31)</f>
        <v/>
      </c>
      <c r="O141" s="200" t="str" cm="1">
        <f t="array" ref="O141">Common_InputFunctions.Utility_DisplayArrayInTable(Fertiliser_SourceData.Fertiliser_Products_Data2(), FertiliserProducts[[#Headers],[Company]],31)</f>
        <v>Calcium nitrate</v>
      </c>
      <c r="P141" s="200" cm="1">
        <f t="array" ref="P141">Common_InputFunctions.Utility_DisplayArrayInTable(Fertiliser_SourceData.Fertiliser_Products_Data2(), FertiliserProducts[[#Headers],[Company]],31)</f>
        <v>0.99354799999999999</v>
      </c>
      <c r="Q141" s="200" t="str" cm="1">
        <f t="array" ref="Q141">Common_InputFunctions.Utility_DisplayArrayInTable(Fertiliser_SourceData.Fertiliser_Products_Data2(), FertiliserProducts[[#Headers],[Company]],31)</f>
        <v>Boron</v>
      </c>
      <c r="R141" s="200" cm="1">
        <f t="array" ref="R141">Common_InputFunctions.Utility_DisplayArrayInTable(Fertiliser_SourceData.Fertiliser_Products_Data2(), FertiliserProducts[[#Headers],[Company]],31)</f>
        <v>3.0000000000000001E-3</v>
      </c>
      <c r="S141" s="200" t="str" cm="1">
        <f t="array" ref="S141">Common_InputFunctions.Utility_DisplayArrayInTable(Fertiliser_SourceData.Fertiliser_Products_Data2(), FertiliserProducts[[#Headers],[Company]],31)</f>
        <v/>
      </c>
      <c r="T141" s="200" t="str" cm="1">
        <f t="array" ref="T141">Common_InputFunctions.Utility_DisplayArrayInTable(Fertiliser_SourceData.Fertiliser_Products_Data2(), FertiliserProducts[[#Headers],[Company]],31)</f>
        <v/>
      </c>
      <c r="U141" s="200" t="str" cm="1">
        <f t="array" ref="U141">Common_InputFunctions.Utility_DisplayArrayInTable(Fertiliser_SourceData.Fertiliser_Products_Data2(), FertiliserProducts[[#Headers],[Company]],31)</f>
        <v/>
      </c>
      <c r="V141" s="200" t="str" cm="1">
        <f t="array" ref="V141">Common_InputFunctions.Utility_DisplayArrayInTable(Fertiliser_SourceData.Fertiliser_Products_Data2(), FertiliserProducts[[#Headers],[Company]],31)</f>
        <v/>
      </c>
      <c r="W141" s="200" t="str" cm="1">
        <f t="array" ref="W141">Common_InputFunctions.Utility_DisplayArrayInTable(Fertiliser_SourceData.Fertiliser_Products_Data2(), FertiliserProducts[[#Headers],[Company]],31)</f>
        <v/>
      </c>
      <c r="X141" s="200" t="str" cm="1">
        <f t="array" ref="X141">Common_InputFunctions.Utility_DisplayArrayInTable(Fertiliser_SourceData.Fertiliser_Products_Data2(), FertiliserProducts[[#Headers],[Company]],31)</f>
        <v/>
      </c>
      <c r="Y141" s="200" t="str" cm="1">
        <f t="array" ref="Y141">Common_InputFunctions.Utility_DisplayArrayInTable(Fertiliser_SourceData.Fertiliser_Products_Data2(), FertiliserProducts[[#Headers],[Company]],31)</f>
        <v/>
      </c>
      <c r="Z141" s="200" t="str" cm="1">
        <f t="array" ref="Z141">Common_InputFunctions.Utility_DisplayArrayInTable(Fertiliser_SourceData.Fertiliser_Products_Data2(), FertiliserProducts[[#Headers],[Company]],31)</f>
        <v/>
      </c>
      <c r="AA141" s="200" t="str" cm="1">
        <f t="array" ref="AA141">Common_InputFunctions.Utility_DisplayArrayInTable(Fertiliser_SourceData.Fertiliser_Products_Data2(), FertiliserProducts[[#Headers],[Company]],31)</f>
        <v/>
      </c>
      <c r="AB141" s="200" t="str" cm="1">
        <f t="array" ref="AB141">Common_InputFunctions.Utility_DisplayArrayInTable(Fertiliser_SourceData.Fertiliser_Products_Data2(), FertiliserProducts[[#Headers],[Company]],31)</f>
        <v/>
      </c>
      <c r="AC141" s="200" t="str" cm="1">
        <f t="array" ref="AC141">Common_InputFunctions.Utility_DisplayArrayInTable(Fertiliser_SourceData.Fertiliser_Products_Data2(), FertiliserProducts[[#Headers],[Company]],31)</f>
        <v/>
      </c>
      <c r="AD141" s="200" t="str" cm="1">
        <f t="array" ref="AD141">Common_InputFunctions.Utility_DisplayArrayInTable(Fertiliser_SourceData.Fertiliser_Products_Data2(), FertiliserProducts[[#Headers],[Company]],31)</f>
        <v/>
      </c>
      <c r="AE141" s="200" t="str" cm="1">
        <f t="array" ref="AE141">Common_InputFunctions.Utility_DisplayArrayInTable(Fertiliser_SourceData.Fertiliser_Products_Data2(), FertiliserProducts[[#Headers],[Company]],31)</f>
        <v/>
      </c>
      <c r="AF141" s="200" t="str" cm="1">
        <f t="array" ref="AF141">Common_InputFunctions.Utility_DisplayArrayInTable(Fertiliser_SourceData.Fertiliser_Products_Data2(), FertiliserProducts[[#Headers],[Company]],31)</f>
        <v/>
      </c>
      <c r="AG141" s="200" t="str" cm="1">
        <f t="array" ref="AG141">Common_InputFunctions.Utility_DisplayArrayInTable(Fertiliser_SourceData.Fertiliser_Products_Data2(), FertiliserProducts[[#Headers],[Company]],31)</f>
        <v/>
      </c>
      <c r="AH141" s="200"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200" t="str" cm="1">
        <f t="array" ref="D142">Common_InputFunctions.Utility_DisplayArrayInTable(Fertiliser_SourceData.Fertiliser_Products_Data2(), FertiliserProducts[[#Headers],[Company]],31)</f>
        <v>Yara Australia</v>
      </c>
      <c r="E142" s="200" t="str" cm="1">
        <f t="array" ref="E142">Common_InputFunctions.Utility_DisplayArrayInTable(Fertiliser_SourceData.Fertiliser_Products_Data2(), FertiliserProducts[[#Headers],[Company]],31)</f>
        <v>YaraMila COMPLEX</v>
      </c>
      <c r="F142" s="200" t="str" cm="1">
        <f t="array" ref="F142">Common_InputFunctions.Utility_DisplayArrayInTable(Fertiliser_SourceData.Fertiliser_Products_Data2(), FertiliserProducts[[#Headers],[Company]],31)</f>
        <v>kg</v>
      </c>
      <c r="G142" s="200" cm="1">
        <f t="array" ref="G142">Common_InputFunctions.Utility_DisplayArrayInTable(Fertiliser_SourceData.Fertiliser_Products_Data2(), FertiliserProducts[[#Headers],[Company]],31)</f>
        <v>1</v>
      </c>
      <c r="H142" s="200" t="str" cm="1">
        <f t="array" ref="H142">Common_InputFunctions.Utility_DisplayArrayInTable(Fertiliser_SourceData.Fertiliser_Products_Data2(), FertiliserProducts[[#Headers],[Company]],31)</f>
        <v/>
      </c>
      <c r="I142" s="200" t="str" cm="1">
        <f t="array" ref="I142">Common_InputFunctions.Utility_DisplayArrayInTable(Fertiliser_SourceData.Fertiliser_Products_Data2(), FertiliserProducts[[#Headers],[Company]],31)</f>
        <v/>
      </c>
      <c r="J142" s="200" t="str" cm="1">
        <f t="array" ref="J142">Common_InputFunctions.Utility_DisplayArrayInTable(Fertiliser_SourceData.Fertiliser_Products_Data2(), FertiliserProducts[[#Headers],[Company]],31)</f>
        <v/>
      </c>
      <c r="K142" s="200" cm="1">
        <f t="array" ref="K142">Common_InputFunctions.Utility_DisplayArrayInTable(Fertiliser_SourceData.Fertiliser_Products_Data2(), FertiliserProducts[[#Headers],[Company]],31)</f>
        <v>12</v>
      </c>
      <c r="L142" s="200" cm="1">
        <f t="array" ref="L142">Common_InputFunctions.Utility_DisplayArrayInTable(Fertiliser_SourceData.Fertiliser_Products_Data2(), FertiliserProducts[[#Headers],[Company]],31)</f>
        <v>5</v>
      </c>
      <c r="M142" s="200" cm="1">
        <f t="array" ref="M142">Common_InputFunctions.Utility_DisplayArrayInTable(Fertiliser_SourceData.Fertiliser_Products_Data2(), FertiliserProducts[[#Headers],[Company]],31)</f>
        <v>15</v>
      </c>
      <c r="N142" s="200" cm="1">
        <f t="array" ref="N142">Common_InputFunctions.Utility_DisplayArrayInTable(Fertiliser_SourceData.Fertiliser_Products_Data2(), FertiliserProducts[[#Headers],[Company]],31)</f>
        <v>8</v>
      </c>
      <c r="O142" s="200" t="str" cm="1">
        <f t="array" ref="O142">Common_InputFunctions.Utility_DisplayArrayInTable(Fertiliser_SourceData.Fertiliser_Products_Data2(), FertiliserProducts[[#Headers],[Company]],31)</f>
        <v>Nitrogen - Nitrate</v>
      </c>
      <c r="P142" s="200" cm="1">
        <f t="array" ref="P142">Common_InputFunctions.Utility_DisplayArrayInTable(Fertiliser_SourceData.Fertiliser_Products_Data2(), FertiliserProducts[[#Headers],[Company]],31)</f>
        <v>0.05</v>
      </c>
      <c r="Q142" s="200" t="str" cm="1">
        <f t="array" ref="Q142">Common_InputFunctions.Utility_DisplayArrayInTable(Fertiliser_SourceData.Fertiliser_Products_Data2(), FertiliserProducts[[#Headers],[Company]],31)</f>
        <v>Nitrogen - Ammoniacal</v>
      </c>
      <c r="R142" s="200" cm="1">
        <f t="array" ref="R142">Common_InputFunctions.Utility_DisplayArrayInTable(Fertiliser_SourceData.Fertiliser_Products_Data2(), FertiliserProducts[[#Headers],[Company]],31)</f>
        <v>7.0000000000000007E-2</v>
      </c>
      <c r="S142" s="200" t="str" cm="1">
        <f t="array" ref="S142">Common_InputFunctions.Utility_DisplayArrayInTable(Fertiliser_SourceData.Fertiliser_Products_Data2(), FertiliserProducts[[#Headers],[Company]],31)</f>
        <v>Phosphorus - Generic</v>
      </c>
      <c r="T142" s="200" cm="1">
        <f t="array" ref="T142">Common_InputFunctions.Utility_DisplayArrayInTable(Fertiliser_SourceData.Fertiliser_Products_Data2(), FertiliserProducts[[#Headers],[Company]],31)</f>
        <v>0.05</v>
      </c>
      <c r="U142" s="200" t="str" cm="1">
        <f t="array" ref="U142">Common_InputFunctions.Utility_DisplayArrayInTable(Fertiliser_SourceData.Fertiliser_Products_Data2(), FertiliserProducts[[#Headers],[Company]],31)</f>
        <v>Potassium - Generic</v>
      </c>
      <c r="V142" s="200" cm="1">
        <f t="array" ref="V142">Common_InputFunctions.Utility_DisplayArrayInTable(Fertiliser_SourceData.Fertiliser_Products_Data2(), FertiliserProducts[[#Headers],[Company]],31)</f>
        <v>0.15</v>
      </c>
      <c r="W142" s="200" t="str" cm="1">
        <f t="array" ref="W142">Common_InputFunctions.Utility_DisplayArrayInTable(Fertiliser_SourceData.Fertiliser_Products_Data2(), FertiliserProducts[[#Headers],[Company]],31)</f>
        <v>Sulfur - Generic</v>
      </c>
      <c r="X142" s="200" cm="1">
        <f t="array" ref="X142">Common_InputFunctions.Utility_DisplayArrayInTable(Fertiliser_SourceData.Fertiliser_Products_Data2(), FertiliserProducts[[#Headers],[Company]],31)</f>
        <v>0.08</v>
      </c>
      <c r="Y142" s="200" t="str" cm="1">
        <f t="array" ref="Y142">Common_InputFunctions.Utility_DisplayArrayInTable(Fertiliser_SourceData.Fertiliser_Products_Data2(), FertiliserProducts[[#Headers],[Company]],31)</f>
        <v>Magnesium</v>
      </c>
      <c r="Z142" s="200" cm="1">
        <f t="array" ref="Z142">Common_InputFunctions.Utility_DisplayArrayInTable(Fertiliser_SourceData.Fertiliser_Products_Data2(), FertiliserProducts[[#Headers],[Company]],31)</f>
        <v>1.6E-2</v>
      </c>
      <c r="AA142" s="200" t="str" cm="1">
        <f t="array" ref="AA142">Common_InputFunctions.Utility_DisplayArrayInTable(Fertiliser_SourceData.Fertiliser_Products_Data2(), FertiliserProducts[[#Headers],[Company]],31)</f>
        <v>Zinc</v>
      </c>
      <c r="AB142" s="200" cm="1">
        <f t="array" ref="AB142">Common_InputFunctions.Utility_DisplayArrayInTable(Fertiliser_SourceData.Fertiliser_Products_Data2(), FertiliserProducts[[#Headers],[Company]],31)</f>
        <v>2.0000000000000001E-4</v>
      </c>
      <c r="AC142" s="200" t="str" cm="1">
        <f t="array" ref="AC142">Common_InputFunctions.Utility_DisplayArrayInTable(Fertiliser_SourceData.Fertiliser_Products_Data2(), FertiliserProducts[[#Headers],[Company]],31)</f>
        <v>Boron</v>
      </c>
      <c r="AD142" s="200" cm="1">
        <f t="array" ref="AD142">Common_InputFunctions.Utility_DisplayArrayInTable(Fertiliser_SourceData.Fertiliser_Products_Data2(), FertiliserProducts[[#Headers],[Company]],31)</f>
        <v>1.4999999999999999E-4</v>
      </c>
      <c r="AE142" s="200" t="str" cm="1">
        <f t="array" ref="AE142">Common_InputFunctions.Utility_DisplayArrayInTable(Fertiliser_SourceData.Fertiliser_Products_Data2(), FertiliserProducts[[#Headers],[Company]],31)</f>
        <v/>
      </c>
      <c r="AF142" s="200" t="str" cm="1">
        <f t="array" ref="AF142">Common_InputFunctions.Utility_DisplayArrayInTable(Fertiliser_SourceData.Fertiliser_Products_Data2(), FertiliserProducts[[#Headers],[Company]],31)</f>
        <v/>
      </c>
      <c r="AG142" s="200" t="str" cm="1">
        <f t="array" ref="AG142">Common_InputFunctions.Utility_DisplayArrayInTable(Fertiliser_SourceData.Fertiliser_Products_Data2(), FertiliserProducts[[#Headers],[Company]],31)</f>
        <v/>
      </c>
      <c r="AH142" s="200"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200" t="str" cm="1">
        <f t="array" ref="D143">Common_InputFunctions.Utility_DisplayArrayInTable(Fertiliser_SourceData.Fertiliser_Products_Data2(), FertiliserProducts[[#Headers],[Company]],31)</f>
        <v>Yara Australia</v>
      </c>
      <c r="E143" s="200" t="str" cm="1">
        <f t="array" ref="E143">Common_InputFunctions.Utility_DisplayArrayInTable(Fertiliser_SourceData.Fertiliser_Products_Data2(), FertiliserProducts[[#Headers],[Company]],31)</f>
        <v>YaraRega 9-0-30 (14)</v>
      </c>
      <c r="F143" s="200" t="str" cm="1">
        <f t="array" ref="F143">Common_InputFunctions.Utility_DisplayArrayInTable(Fertiliser_SourceData.Fertiliser_Products_Data2(), FertiliserProducts[[#Headers],[Company]],31)</f>
        <v>kg</v>
      </c>
      <c r="G143" s="200" cm="1">
        <f t="array" ref="G143">Common_InputFunctions.Utility_DisplayArrayInTable(Fertiliser_SourceData.Fertiliser_Products_Data2(), FertiliserProducts[[#Headers],[Company]],31)</f>
        <v>1</v>
      </c>
      <c r="H143" s="200" t="str" cm="1">
        <f t="array" ref="H143">Common_InputFunctions.Utility_DisplayArrayInTable(Fertiliser_SourceData.Fertiliser_Products_Data2(), FertiliserProducts[[#Headers],[Company]],31)</f>
        <v/>
      </c>
      <c r="I143" s="200" t="str" cm="1">
        <f t="array" ref="I143">Common_InputFunctions.Utility_DisplayArrayInTable(Fertiliser_SourceData.Fertiliser_Products_Data2(), FertiliserProducts[[#Headers],[Company]],31)</f>
        <v/>
      </c>
      <c r="J143" s="200" t="str" cm="1">
        <f t="array" ref="J143">Common_InputFunctions.Utility_DisplayArrayInTable(Fertiliser_SourceData.Fertiliser_Products_Data2(), FertiliserProducts[[#Headers],[Company]],31)</f>
        <v/>
      </c>
      <c r="K143" s="200" cm="1">
        <f t="array" ref="K143">Common_InputFunctions.Utility_DisplayArrayInTable(Fertiliser_SourceData.Fertiliser_Products_Data2(), FertiliserProducts[[#Headers],[Company]],31)</f>
        <v>9</v>
      </c>
      <c r="L143" s="200" t="str" cm="1">
        <f t="array" ref="L143">Common_InputFunctions.Utility_DisplayArrayInTable(Fertiliser_SourceData.Fertiliser_Products_Data2(), FertiliserProducts[[#Headers],[Company]],31)</f>
        <v/>
      </c>
      <c r="M143" s="200" cm="1">
        <f t="array" ref="M143">Common_InputFunctions.Utility_DisplayArrayInTable(Fertiliser_SourceData.Fertiliser_Products_Data2(), FertiliserProducts[[#Headers],[Company]],31)</f>
        <v>30</v>
      </c>
      <c r="N143" s="200" cm="1">
        <f t="array" ref="N143">Common_InputFunctions.Utility_DisplayArrayInTable(Fertiliser_SourceData.Fertiliser_Products_Data2(), FertiliserProducts[[#Headers],[Company]],31)</f>
        <v>14</v>
      </c>
      <c r="O143" s="200" t="str" cm="1">
        <f t="array" ref="O143">Common_InputFunctions.Utility_DisplayArrayInTable(Fertiliser_SourceData.Fertiliser_Products_Data2(), FertiliserProducts[[#Headers],[Company]],31)</f>
        <v>Potassium - Generic</v>
      </c>
      <c r="P143" s="200" cm="1">
        <f t="array" ref="P143">Common_InputFunctions.Utility_DisplayArrayInTable(Fertiliser_SourceData.Fertiliser_Products_Data2(), FertiliserProducts[[#Headers],[Company]],31)</f>
        <v>0.3</v>
      </c>
      <c r="Q143" s="200" t="str" cm="1">
        <f t="array" ref="Q143">Common_InputFunctions.Utility_DisplayArrayInTable(Fertiliser_SourceData.Fertiliser_Products_Data2(), FertiliserProducts[[#Headers],[Company]],31)</f>
        <v>Sulfur - Generic</v>
      </c>
      <c r="R143" s="200" cm="1">
        <f t="array" ref="R143">Common_InputFunctions.Utility_DisplayArrayInTable(Fertiliser_SourceData.Fertiliser_Products_Data2(), FertiliserProducts[[#Headers],[Company]],31)</f>
        <v>0.14000000000000001</v>
      </c>
      <c r="S143" s="200" t="str" cm="1">
        <f t="array" ref="S143">Common_InputFunctions.Utility_DisplayArrayInTable(Fertiliser_SourceData.Fertiliser_Products_Data2(), FertiliserProducts[[#Headers],[Company]],31)</f>
        <v>Nitrogen - Nitrate</v>
      </c>
      <c r="T143" s="200" cm="1">
        <f t="array" ref="T143">Common_InputFunctions.Utility_DisplayArrayInTable(Fertiliser_SourceData.Fertiliser_Products_Data2(), FertiliserProducts[[#Headers],[Company]],31)</f>
        <v>4.4999999999999998E-2</v>
      </c>
      <c r="U143" s="200" t="str" cm="1">
        <f t="array" ref="U143">Common_InputFunctions.Utility_DisplayArrayInTable(Fertiliser_SourceData.Fertiliser_Products_Data2(), FertiliserProducts[[#Headers],[Company]],31)</f>
        <v>Nitrogen - Ammoniacal</v>
      </c>
      <c r="V143" s="200" cm="1">
        <f t="array" ref="V143">Common_InputFunctions.Utility_DisplayArrayInTable(Fertiliser_SourceData.Fertiliser_Products_Data2(), FertiliserProducts[[#Headers],[Company]],31)</f>
        <v>4.4999999999999998E-2</v>
      </c>
      <c r="W143" s="200" t="str" cm="1">
        <f t="array" ref="W143">Common_InputFunctions.Utility_DisplayArrayInTable(Fertiliser_SourceData.Fertiliser_Products_Data2(), FertiliserProducts[[#Headers],[Company]],31)</f>
        <v/>
      </c>
      <c r="X143" s="200" t="str" cm="1">
        <f t="array" ref="X143">Common_InputFunctions.Utility_DisplayArrayInTable(Fertiliser_SourceData.Fertiliser_Products_Data2(), FertiliserProducts[[#Headers],[Company]],31)</f>
        <v/>
      </c>
      <c r="Y143" s="200" t="str" cm="1">
        <f t="array" ref="Y143">Common_InputFunctions.Utility_DisplayArrayInTable(Fertiliser_SourceData.Fertiliser_Products_Data2(), FertiliserProducts[[#Headers],[Company]],31)</f>
        <v/>
      </c>
      <c r="Z143" s="200" t="str" cm="1">
        <f t="array" ref="Z143">Common_InputFunctions.Utility_DisplayArrayInTable(Fertiliser_SourceData.Fertiliser_Products_Data2(), FertiliserProducts[[#Headers],[Company]],31)</f>
        <v/>
      </c>
      <c r="AA143" s="200" t="str" cm="1">
        <f t="array" ref="AA143">Common_InputFunctions.Utility_DisplayArrayInTable(Fertiliser_SourceData.Fertiliser_Products_Data2(), FertiliserProducts[[#Headers],[Company]],31)</f>
        <v/>
      </c>
      <c r="AB143" s="200" t="str" cm="1">
        <f t="array" ref="AB143">Common_InputFunctions.Utility_DisplayArrayInTable(Fertiliser_SourceData.Fertiliser_Products_Data2(), FertiliserProducts[[#Headers],[Company]],31)</f>
        <v/>
      </c>
      <c r="AC143" s="200" t="str" cm="1">
        <f t="array" ref="AC143">Common_InputFunctions.Utility_DisplayArrayInTable(Fertiliser_SourceData.Fertiliser_Products_Data2(), FertiliserProducts[[#Headers],[Company]],31)</f>
        <v/>
      </c>
      <c r="AD143" s="200" t="str" cm="1">
        <f t="array" ref="AD143">Common_InputFunctions.Utility_DisplayArrayInTable(Fertiliser_SourceData.Fertiliser_Products_Data2(), FertiliserProducts[[#Headers],[Company]],31)</f>
        <v/>
      </c>
      <c r="AE143" s="200" t="str" cm="1">
        <f t="array" ref="AE143">Common_InputFunctions.Utility_DisplayArrayInTable(Fertiliser_SourceData.Fertiliser_Products_Data2(), FertiliserProducts[[#Headers],[Company]],31)</f>
        <v/>
      </c>
      <c r="AF143" s="200" t="str" cm="1">
        <f t="array" ref="AF143">Common_InputFunctions.Utility_DisplayArrayInTable(Fertiliser_SourceData.Fertiliser_Products_Data2(), FertiliserProducts[[#Headers],[Company]],31)</f>
        <v/>
      </c>
      <c r="AG143" s="200" t="str" cm="1">
        <f t="array" ref="AG143">Common_InputFunctions.Utility_DisplayArrayInTable(Fertiliser_SourceData.Fertiliser_Products_Data2(), FertiliserProducts[[#Headers],[Company]],31)</f>
        <v/>
      </c>
      <c r="AH143" s="200"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200" t="str" cm="1">
        <f t="array" ref="D144">Common_InputFunctions.Utility_DisplayArrayInTable(Fertiliser_SourceData.Fertiliser_Products_Data2(), FertiliserProducts[[#Headers],[Company]],31)</f>
        <v>Yara Australia</v>
      </c>
      <c r="E144" s="200" t="str" cm="1">
        <f t="array" ref="E144">Common_InputFunctions.Utility_DisplayArrayInTable(Fertiliser_SourceData.Fertiliser_Products_Data2(), FertiliserProducts[[#Headers],[Company]],31)</f>
        <v>YaraRega 13-2-21</v>
      </c>
      <c r="F144" s="200" t="str" cm="1">
        <f t="array" ref="F144">Common_InputFunctions.Utility_DisplayArrayInTable(Fertiliser_SourceData.Fertiliser_Products_Data2(), FertiliserProducts[[#Headers],[Company]],31)</f>
        <v>kg</v>
      </c>
      <c r="G144" s="200" cm="1">
        <f t="array" ref="G144">Common_InputFunctions.Utility_DisplayArrayInTable(Fertiliser_SourceData.Fertiliser_Products_Data2(), FertiliserProducts[[#Headers],[Company]],31)</f>
        <v>1</v>
      </c>
      <c r="H144" s="200" t="str" cm="1">
        <f t="array" ref="H144">Common_InputFunctions.Utility_DisplayArrayInTable(Fertiliser_SourceData.Fertiliser_Products_Data2(), FertiliserProducts[[#Headers],[Company]],31)</f>
        <v/>
      </c>
      <c r="I144" s="200" t="str" cm="1">
        <f t="array" ref="I144">Common_InputFunctions.Utility_DisplayArrayInTable(Fertiliser_SourceData.Fertiliser_Products_Data2(), FertiliserProducts[[#Headers],[Company]],31)</f>
        <v/>
      </c>
      <c r="J144" s="200" t="str" cm="1">
        <f t="array" ref="J144">Common_InputFunctions.Utility_DisplayArrayInTable(Fertiliser_SourceData.Fertiliser_Products_Data2(), FertiliserProducts[[#Headers],[Company]],31)</f>
        <v/>
      </c>
      <c r="K144" s="200" cm="1">
        <f t="array" ref="K144">Common_InputFunctions.Utility_DisplayArrayInTable(Fertiliser_SourceData.Fertiliser_Products_Data2(), FertiliserProducts[[#Headers],[Company]],31)</f>
        <v>13</v>
      </c>
      <c r="L144" s="200" cm="1">
        <f t="array" ref="L144">Common_InputFunctions.Utility_DisplayArrayInTable(Fertiliser_SourceData.Fertiliser_Products_Data2(), FertiliserProducts[[#Headers],[Company]],31)</f>
        <v>1.75</v>
      </c>
      <c r="M144" s="200" cm="1">
        <f t="array" ref="M144">Common_InputFunctions.Utility_DisplayArrayInTable(Fertiliser_SourceData.Fertiliser_Products_Data2(), FertiliserProducts[[#Headers],[Company]],31)</f>
        <v>21</v>
      </c>
      <c r="N144" s="200" cm="1">
        <f t="array" ref="N144">Common_InputFunctions.Utility_DisplayArrayInTable(Fertiliser_SourceData.Fertiliser_Products_Data2(), FertiliserProducts[[#Headers],[Company]],31)</f>
        <v>10.8</v>
      </c>
      <c r="O144" s="200" t="str" cm="1">
        <f t="array" ref="O144">Common_InputFunctions.Utility_DisplayArrayInTable(Fertiliser_SourceData.Fertiliser_Products_Data2(), FertiliserProducts[[#Headers],[Company]],31)</f>
        <v>Potassium - Generic</v>
      </c>
      <c r="P144" s="200" cm="1">
        <f t="array" ref="P144">Common_InputFunctions.Utility_DisplayArrayInTable(Fertiliser_SourceData.Fertiliser_Products_Data2(), FertiliserProducts[[#Headers],[Company]],31)</f>
        <v>0.21</v>
      </c>
      <c r="Q144" s="200" t="str" cm="1">
        <f t="array" ref="Q144">Common_InputFunctions.Utility_DisplayArrayInTable(Fertiliser_SourceData.Fertiliser_Products_Data2(), FertiliserProducts[[#Headers],[Company]],31)</f>
        <v>Sulfur - Generic</v>
      </c>
      <c r="R144" s="200" cm="1">
        <f t="array" ref="R144">Common_InputFunctions.Utility_DisplayArrayInTable(Fertiliser_SourceData.Fertiliser_Products_Data2(), FertiliserProducts[[#Headers],[Company]],31)</f>
        <v>0.108</v>
      </c>
      <c r="S144" s="200" t="str" cm="1">
        <f t="array" ref="S144">Common_InputFunctions.Utility_DisplayArrayInTable(Fertiliser_SourceData.Fertiliser_Products_Data2(), FertiliserProducts[[#Headers],[Company]],31)</f>
        <v>Nitrogen - Ammoniacal</v>
      </c>
      <c r="T144" s="200" cm="1">
        <f t="array" ref="T144">Common_InputFunctions.Utility_DisplayArrayInTable(Fertiliser_SourceData.Fertiliser_Products_Data2(), FertiliserProducts[[#Headers],[Company]],31)</f>
        <v>7.6999999999999999E-2</v>
      </c>
      <c r="U144" s="200" t="str" cm="1">
        <f t="array" ref="U144">Common_InputFunctions.Utility_DisplayArrayInTable(Fertiliser_SourceData.Fertiliser_Products_Data2(), FertiliserProducts[[#Headers],[Company]],31)</f>
        <v>Nitrogen - Nitrate</v>
      </c>
      <c r="V144" s="200" cm="1">
        <f t="array" ref="V144">Common_InputFunctions.Utility_DisplayArrayInTable(Fertiliser_SourceData.Fertiliser_Products_Data2(), FertiliserProducts[[#Headers],[Company]],31)</f>
        <v>5.2999999999999999E-2</v>
      </c>
      <c r="W144" s="200" t="str" cm="1">
        <f t="array" ref="W144">Common_InputFunctions.Utility_DisplayArrayInTable(Fertiliser_SourceData.Fertiliser_Products_Data2(), FertiliserProducts[[#Headers],[Company]],31)</f>
        <v>Phosphorus - Generic</v>
      </c>
      <c r="X144" s="200" cm="1">
        <f t="array" ref="X144">Common_InputFunctions.Utility_DisplayArrayInTable(Fertiliser_SourceData.Fertiliser_Products_Data2(), FertiliserProducts[[#Headers],[Company]],31)</f>
        <v>1.7500000000000002E-2</v>
      </c>
      <c r="Y144" s="200" t="str" cm="1">
        <f t="array" ref="Y144">Common_InputFunctions.Utility_DisplayArrayInTable(Fertiliser_SourceData.Fertiliser_Products_Data2(), FertiliserProducts[[#Headers],[Company]],31)</f>
        <v>Magnesium</v>
      </c>
      <c r="Z144" s="200" cm="1">
        <f t="array" ref="Z144">Common_InputFunctions.Utility_DisplayArrayInTable(Fertiliser_SourceData.Fertiliser_Products_Data2(), FertiliserProducts[[#Headers],[Company]],31)</f>
        <v>4.0000000000000001E-3</v>
      </c>
      <c r="AA144" s="200" t="str" cm="1">
        <f t="array" ref="AA144">Common_InputFunctions.Utility_DisplayArrayInTable(Fertiliser_SourceData.Fertiliser_Products_Data2(), FertiliserProducts[[#Headers],[Company]],31)</f>
        <v>Zinc</v>
      </c>
      <c r="AB144" s="200" cm="1">
        <f t="array" ref="AB144">Common_InputFunctions.Utility_DisplayArrayInTable(Fertiliser_SourceData.Fertiliser_Products_Data2(), FertiliserProducts[[#Headers],[Company]],31)</f>
        <v>8.0000000000000004E-4</v>
      </c>
      <c r="AC144" s="200" t="str" cm="1">
        <f t="array" ref="AC144">Common_InputFunctions.Utility_DisplayArrayInTable(Fertiliser_SourceData.Fertiliser_Products_Data2(), FertiliserProducts[[#Headers],[Company]],31)</f>
        <v>Boron</v>
      </c>
      <c r="AD144" s="200" cm="1">
        <f t="array" ref="AD144">Common_InputFunctions.Utility_DisplayArrayInTable(Fertiliser_SourceData.Fertiliser_Products_Data2(), FertiliserProducts[[#Headers],[Company]],31)</f>
        <v>8.0000000000000004E-4</v>
      </c>
      <c r="AE144" s="200" t="str" cm="1">
        <f t="array" ref="AE144">Common_InputFunctions.Utility_DisplayArrayInTable(Fertiliser_SourceData.Fertiliser_Products_Data2(), FertiliserProducts[[#Headers],[Company]],31)</f>
        <v/>
      </c>
      <c r="AF144" s="200" t="str" cm="1">
        <f t="array" ref="AF144">Common_InputFunctions.Utility_DisplayArrayInTable(Fertiliser_SourceData.Fertiliser_Products_Data2(), FertiliserProducts[[#Headers],[Company]],31)</f>
        <v/>
      </c>
      <c r="AG144" s="200" t="str" cm="1">
        <f t="array" ref="AG144">Common_InputFunctions.Utility_DisplayArrayInTable(Fertiliser_SourceData.Fertiliser_Products_Data2(), FertiliserProducts[[#Headers],[Company]],31)</f>
        <v/>
      </c>
      <c r="AH144" s="200"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200" t="str" cm="1">
        <f t="array" ref="D145">Common_InputFunctions.Utility_DisplayArrayInTable(Fertiliser_SourceData.Fertiliser_Products_Data2(), FertiliserProducts[[#Headers],[Company]],31)</f>
        <v>Yara Australia</v>
      </c>
      <c r="E145" s="200" t="str" cm="1">
        <f t="array" ref="E145">Common_InputFunctions.Utility_DisplayArrayInTable(Fertiliser_SourceData.Fertiliser_Products_Data2(), FertiliserProducts[[#Headers],[Company]],31)</f>
        <v>YaraRega 15-7-13 (7S)</v>
      </c>
      <c r="F145" s="200" t="str" cm="1">
        <f t="array" ref="F145">Common_InputFunctions.Utility_DisplayArrayInTable(Fertiliser_SourceData.Fertiliser_Products_Data2(), FertiliserProducts[[#Headers],[Company]],31)</f>
        <v>kg</v>
      </c>
      <c r="G145" s="200" cm="1">
        <f t="array" ref="G145">Common_InputFunctions.Utility_DisplayArrayInTable(Fertiliser_SourceData.Fertiliser_Products_Data2(), FertiliserProducts[[#Headers],[Company]],31)</f>
        <v>1</v>
      </c>
      <c r="H145" s="200" t="str" cm="1">
        <f t="array" ref="H145">Common_InputFunctions.Utility_DisplayArrayInTable(Fertiliser_SourceData.Fertiliser_Products_Data2(), FertiliserProducts[[#Headers],[Company]],31)</f>
        <v/>
      </c>
      <c r="I145" s="200" t="str" cm="1">
        <f t="array" ref="I145">Common_InputFunctions.Utility_DisplayArrayInTable(Fertiliser_SourceData.Fertiliser_Products_Data2(), FertiliserProducts[[#Headers],[Company]],31)</f>
        <v/>
      </c>
      <c r="J145" s="200" t="str" cm="1">
        <f t="array" ref="J145">Common_InputFunctions.Utility_DisplayArrayInTable(Fertiliser_SourceData.Fertiliser_Products_Data2(), FertiliserProducts[[#Headers],[Company]],31)</f>
        <v/>
      </c>
      <c r="K145" s="200" cm="1">
        <f t="array" ref="K145">Common_InputFunctions.Utility_DisplayArrayInTable(Fertiliser_SourceData.Fertiliser_Products_Data2(), FertiliserProducts[[#Headers],[Company]],31)</f>
        <v>15</v>
      </c>
      <c r="L145" s="200" cm="1">
        <f t="array" ref="L145">Common_InputFunctions.Utility_DisplayArrayInTable(Fertiliser_SourceData.Fertiliser_Products_Data2(), FertiliserProducts[[#Headers],[Company]],31)</f>
        <v>6.5</v>
      </c>
      <c r="M145" s="200" cm="1">
        <f t="array" ref="M145">Common_InputFunctions.Utility_DisplayArrayInTable(Fertiliser_SourceData.Fertiliser_Products_Data2(), FertiliserProducts[[#Headers],[Company]],31)</f>
        <v>12.5</v>
      </c>
      <c r="N145" s="200" cm="1">
        <f t="array" ref="N145">Common_InputFunctions.Utility_DisplayArrayInTable(Fertiliser_SourceData.Fertiliser_Products_Data2(), FertiliserProducts[[#Headers],[Company]],31)</f>
        <v>7.2</v>
      </c>
      <c r="O145" s="200" t="str" cm="1">
        <f t="array" ref="O145">Common_InputFunctions.Utility_DisplayArrayInTable(Fertiliser_SourceData.Fertiliser_Products_Data2(), FertiliserProducts[[#Headers],[Company]],31)</f>
        <v>Nitrogen - Nitrate</v>
      </c>
      <c r="P145" s="200" cm="1">
        <f t="array" ref="P145">Common_InputFunctions.Utility_DisplayArrayInTable(Fertiliser_SourceData.Fertiliser_Products_Data2(), FertiliserProducts[[#Headers],[Company]],31)</f>
        <v>9.5000000000000001E-2</v>
      </c>
      <c r="Q145" s="200" t="str" cm="1">
        <f t="array" ref="Q145">Common_InputFunctions.Utility_DisplayArrayInTable(Fertiliser_SourceData.Fertiliser_Products_Data2(), FertiliserProducts[[#Headers],[Company]],31)</f>
        <v>Potassium - Generic</v>
      </c>
      <c r="R145" s="200" cm="1">
        <f t="array" ref="R145">Common_InputFunctions.Utility_DisplayArrayInTable(Fertiliser_SourceData.Fertiliser_Products_Data2(), FertiliserProducts[[#Headers],[Company]],31)</f>
        <v>0.125</v>
      </c>
      <c r="S145" s="200" t="str" cm="1">
        <f t="array" ref="S145">Common_InputFunctions.Utility_DisplayArrayInTable(Fertiliser_SourceData.Fertiliser_Products_Data2(), FertiliserProducts[[#Headers],[Company]],31)</f>
        <v>Sulfur - Generic</v>
      </c>
      <c r="T145" s="200" cm="1">
        <f t="array" ref="T145">Common_InputFunctions.Utility_DisplayArrayInTable(Fertiliser_SourceData.Fertiliser_Products_Data2(), FertiliserProducts[[#Headers],[Company]],31)</f>
        <v>7.1999999999999995E-2</v>
      </c>
      <c r="U145" s="200" t="str" cm="1">
        <f t="array" ref="U145">Common_InputFunctions.Utility_DisplayArrayInTable(Fertiliser_SourceData.Fertiliser_Products_Data2(), FertiliserProducts[[#Headers],[Company]],31)</f>
        <v>Phosphorus - Generic</v>
      </c>
      <c r="V145" s="200" cm="1">
        <f t="array" ref="V145">Common_InputFunctions.Utility_DisplayArrayInTable(Fertiliser_SourceData.Fertiliser_Products_Data2(), FertiliserProducts[[#Headers],[Company]],31)</f>
        <v>6.5000000000000002E-2</v>
      </c>
      <c r="W145" s="200" t="str" cm="1">
        <f t="array" ref="W145">Common_InputFunctions.Utility_DisplayArrayInTable(Fertiliser_SourceData.Fertiliser_Products_Data2(), FertiliserProducts[[#Headers],[Company]],31)</f>
        <v>Nitrogen - Ammoniacal</v>
      </c>
      <c r="X145" s="200" cm="1">
        <f t="array" ref="X145">Common_InputFunctions.Utility_DisplayArrayInTable(Fertiliser_SourceData.Fertiliser_Products_Data2(), FertiliserProducts[[#Headers],[Company]],31)</f>
        <v>5.5E-2</v>
      </c>
      <c r="Y145" s="200" t="str" cm="1">
        <f t="array" ref="Y145">Common_InputFunctions.Utility_DisplayArrayInTable(Fertiliser_SourceData.Fertiliser_Products_Data2(), FertiliserProducts[[#Headers],[Company]],31)</f>
        <v>Magnesium</v>
      </c>
      <c r="Z145" s="200" cm="1">
        <f t="array" ref="Z145">Common_InputFunctions.Utility_DisplayArrayInTable(Fertiliser_SourceData.Fertiliser_Products_Data2(), FertiliserProducts[[#Headers],[Company]],31)</f>
        <v>6.6E-3</v>
      </c>
      <c r="AA145" s="200" t="str" cm="1">
        <f t="array" ref="AA145">Common_InputFunctions.Utility_DisplayArrayInTable(Fertiliser_SourceData.Fertiliser_Products_Data2(), FertiliserProducts[[#Headers],[Company]],31)</f>
        <v>Boron</v>
      </c>
      <c r="AB145" s="200" cm="1">
        <f t="array" ref="AB145">Common_InputFunctions.Utility_DisplayArrayInTable(Fertiliser_SourceData.Fertiliser_Products_Data2(), FertiliserProducts[[#Headers],[Company]],31)</f>
        <v>1E-3</v>
      </c>
      <c r="AC145" s="200" t="str" cm="1">
        <f t="array" ref="AC145">Common_InputFunctions.Utility_DisplayArrayInTable(Fertiliser_SourceData.Fertiliser_Products_Data2(), FertiliserProducts[[#Headers],[Company]],31)</f>
        <v>Zinc</v>
      </c>
      <c r="AD145" s="200" cm="1">
        <f t="array" ref="AD145">Common_InputFunctions.Utility_DisplayArrayInTable(Fertiliser_SourceData.Fertiliser_Products_Data2(), FertiliserProducts[[#Headers],[Company]],31)</f>
        <v>5.9999999999999995E-4</v>
      </c>
      <c r="AE145" s="200" t="str" cm="1">
        <f t="array" ref="AE145">Common_InputFunctions.Utility_DisplayArrayInTable(Fertiliser_SourceData.Fertiliser_Products_Data2(), FertiliserProducts[[#Headers],[Company]],31)</f>
        <v/>
      </c>
      <c r="AF145" s="200" t="str" cm="1">
        <f t="array" ref="AF145">Common_InputFunctions.Utility_DisplayArrayInTable(Fertiliser_SourceData.Fertiliser_Products_Data2(), FertiliserProducts[[#Headers],[Company]],31)</f>
        <v/>
      </c>
      <c r="AG145" s="200" t="str" cm="1">
        <f t="array" ref="AG145">Common_InputFunctions.Utility_DisplayArrayInTable(Fertiliser_SourceData.Fertiliser_Products_Data2(), FertiliserProducts[[#Headers],[Company]],31)</f>
        <v/>
      </c>
      <c r="AH145" s="200"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200" t="str" cm="1">
        <f t="array" ref="D146">Common_InputFunctions.Utility_DisplayArrayInTable(Fertiliser_SourceData.Fertiliser_Products_Data2(), FertiliserProducts[[#Headers],[Company]],31)</f>
        <v>Yara Australia</v>
      </c>
      <c r="E146" s="200" t="str" cm="1">
        <f t="array" ref="E146">Common_InputFunctions.Utility_DisplayArrayInTable(Fertiliser_SourceData.Fertiliser_Products_Data2(), FertiliserProducts[[#Headers],[Company]],31)</f>
        <v>YaraTera CALCINIT B</v>
      </c>
      <c r="F146" s="200" t="str" cm="1">
        <f t="array" ref="F146">Common_InputFunctions.Utility_DisplayArrayInTable(Fertiliser_SourceData.Fertiliser_Products_Data2(), FertiliserProducts[[#Headers],[Company]],31)</f>
        <v>kg</v>
      </c>
      <c r="G146" s="200" cm="1">
        <f t="array" ref="G146">Common_InputFunctions.Utility_DisplayArrayInTable(Fertiliser_SourceData.Fertiliser_Products_Data2(), FertiliserProducts[[#Headers],[Company]],31)</f>
        <v>1</v>
      </c>
      <c r="H146" s="200" t="str" cm="1">
        <f t="array" ref="H146">Common_InputFunctions.Utility_DisplayArrayInTable(Fertiliser_SourceData.Fertiliser_Products_Data2(), FertiliserProducts[[#Headers],[Company]],31)</f>
        <v/>
      </c>
      <c r="I146" s="200" t="str" cm="1">
        <f t="array" ref="I146">Common_InputFunctions.Utility_DisplayArrayInTable(Fertiliser_SourceData.Fertiliser_Products_Data2(), FertiliserProducts[[#Headers],[Company]],31)</f>
        <v/>
      </c>
      <c r="J146" s="200" t="str" cm="1">
        <f t="array" ref="J146">Common_InputFunctions.Utility_DisplayArrayInTable(Fertiliser_SourceData.Fertiliser_Products_Data2(), FertiliserProducts[[#Headers],[Company]],31)</f>
        <v/>
      </c>
      <c r="K146" s="200" cm="1">
        <f t="array" ref="K146">Common_InputFunctions.Utility_DisplayArrayInTable(Fertiliser_SourceData.Fertiliser_Products_Data2(), FertiliserProducts[[#Headers],[Company]],31)</f>
        <v>15.5</v>
      </c>
      <c r="L146" s="200" t="str" cm="1">
        <f t="array" ref="L146">Common_InputFunctions.Utility_DisplayArrayInTable(Fertiliser_SourceData.Fertiliser_Products_Data2(), FertiliserProducts[[#Headers],[Company]],31)</f>
        <v/>
      </c>
      <c r="M146" s="200" t="str" cm="1">
        <f t="array" ref="M146">Common_InputFunctions.Utility_DisplayArrayInTable(Fertiliser_SourceData.Fertiliser_Products_Data2(), FertiliserProducts[[#Headers],[Company]],31)</f>
        <v/>
      </c>
      <c r="N146" s="200" t="str" cm="1">
        <f t="array" ref="N146">Common_InputFunctions.Utility_DisplayArrayInTable(Fertiliser_SourceData.Fertiliser_Products_Data2(), FertiliserProducts[[#Headers],[Company]],31)</f>
        <v/>
      </c>
      <c r="O146" s="200" t="str" cm="1">
        <f t="array" ref="O146">Common_InputFunctions.Utility_DisplayArrayInTable(Fertiliser_SourceData.Fertiliser_Products_Data2(), FertiliserProducts[[#Headers],[Company]],31)</f>
        <v>Calcium nitrate</v>
      </c>
      <c r="P146" s="200" cm="1">
        <f t="array" ref="P146">Common_InputFunctions.Utility_DisplayArrayInTable(Fertiliser_SourceData.Fertiliser_Products_Data2(), FertiliserProducts[[#Headers],[Company]],31)</f>
        <v>1</v>
      </c>
      <c r="Q146" s="200" t="str" cm="1">
        <f t="array" ref="Q146">Common_InputFunctions.Utility_DisplayArrayInTable(Fertiliser_SourceData.Fertiliser_Products_Data2(), FertiliserProducts[[#Headers],[Company]],31)</f>
        <v>Boron</v>
      </c>
      <c r="R146" s="200" cm="1">
        <f t="array" ref="R146">Common_InputFunctions.Utility_DisplayArrayInTable(Fertiliser_SourceData.Fertiliser_Products_Data2(), FertiliserProducts[[#Headers],[Company]],31)</f>
        <v>1E-3</v>
      </c>
      <c r="S146" s="200" t="str" cm="1">
        <f t="array" ref="S146">Common_InputFunctions.Utility_DisplayArrayInTable(Fertiliser_SourceData.Fertiliser_Products_Data2(), FertiliserProducts[[#Headers],[Company]],31)</f>
        <v/>
      </c>
      <c r="T146" s="200" t="str" cm="1">
        <f t="array" ref="T146">Common_InputFunctions.Utility_DisplayArrayInTable(Fertiliser_SourceData.Fertiliser_Products_Data2(), FertiliserProducts[[#Headers],[Company]],31)</f>
        <v/>
      </c>
      <c r="U146" s="200" t="str" cm="1">
        <f t="array" ref="U146">Common_InputFunctions.Utility_DisplayArrayInTable(Fertiliser_SourceData.Fertiliser_Products_Data2(), FertiliserProducts[[#Headers],[Company]],31)</f>
        <v/>
      </c>
      <c r="V146" s="200" t="str" cm="1">
        <f t="array" ref="V146">Common_InputFunctions.Utility_DisplayArrayInTable(Fertiliser_SourceData.Fertiliser_Products_Data2(), FertiliserProducts[[#Headers],[Company]],31)</f>
        <v/>
      </c>
      <c r="W146" s="200" t="str" cm="1">
        <f t="array" ref="W146">Common_InputFunctions.Utility_DisplayArrayInTable(Fertiliser_SourceData.Fertiliser_Products_Data2(), FertiliserProducts[[#Headers],[Company]],31)</f>
        <v/>
      </c>
      <c r="X146" s="200" t="str" cm="1">
        <f t="array" ref="X146">Common_InputFunctions.Utility_DisplayArrayInTable(Fertiliser_SourceData.Fertiliser_Products_Data2(), FertiliserProducts[[#Headers],[Company]],31)</f>
        <v/>
      </c>
      <c r="Y146" s="200" t="str" cm="1">
        <f t="array" ref="Y146">Common_InputFunctions.Utility_DisplayArrayInTable(Fertiliser_SourceData.Fertiliser_Products_Data2(), FertiliserProducts[[#Headers],[Company]],31)</f>
        <v/>
      </c>
      <c r="Z146" s="200" t="str" cm="1">
        <f t="array" ref="Z146">Common_InputFunctions.Utility_DisplayArrayInTable(Fertiliser_SourceData.Fertiliser_Products_Data2(), FertiliserProducts[[#Headers],[Company]],31)</f>
        <v/>
      </c>
      <c r="AA146" s="200" t="str" cm="1">
        <f t="array" ref="AA146">Common_InputFunctions.Utility_DisplayArrayInTable(Fertiliser_SourceData.Fertiliser_Products_Data2(), FertiliserProducts[[#Headers],[Company]],31)</f>
        <v/>
      </c>
      <c r="AB146" s="200" t="str" cm="1">
        <f t="array" ref="AB146">Common_InputFunctions.Utility_DisplayArrayInTable(Fertiliser_SourceData.Fertiliser_Products_Data2(), FertiliserProducts[[#Headers],[Company]],31)</f>
        <v/>
      </c>
      <c r="AC146" s="200" t="str" cm="1">
        <f t="array" ref="AC146">Common_InputFunctions.Utility_DisplayArrayInTable(Fertiliser_SourceData.Fertiliser_Products_Data2(), FertiliserProducts[[#Headers],[Company]],31)</f>
        <v/>
      </c>
      <c r="AD146" s="200" t="str" cm="1">
        <f t="array" ref="AD146">Common_InputFunctions.Utility_DisplayArrayInTable(Fertiliser_SourceData.Fertiliser_Products_Data2(), FertiliserProducts[[#Headers],[Company]],31)</f>
        <v/>
      </c>
      <c r="AE146" s="200" t="str" cm="1">
        <f t="array" ref="AE146">Common_InputFunctions.Utility_DisplayArrayInTable(Fertiliser_SourceData.Fertiliser_Products_Data2(), FertiliserProducts[[#Headers],[Company]],31)</f>
        <v/>
      </c>
      <c r="AF146" s="200" t="str" cm="1">
        <f t="array" ref="AF146">Common_InputFunctions.Utility_DisplayArrayInTable(Fertiliser_SourceData.Fertiliser_Products_Data2(), FertiliserProducts[[#Headers],[Company]],31)</f>
        <v/>
      </c>
      <c r="AG146" s="200" t="str" cm="1">
        <f t="array" ref="AG146">Common_InputFunctions.Utility_DisplayArrayInTable(Fertiliser_SourceData.Fertiliser_Products_Data2(), FertiliserProducts[[#Headers],[Company]],31)</f>
        <v/>
      </c>
      <c r="AH146" s="200"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200" t="str" cm="1">
        <f t="array" ref="D147">Common_InputFunctions.Utility_DisplayArrayInTable(Fertiliser_SourceData.Fertiliser_Products_Data2(), FertiliserProducts[[#Headers],[Company]],31)</f>
        <v>Yara Australia</v>
      </c>
      <c r="E147" s="200" t="str" cm="1">
        <f t="array" ref="E147">Common_InputFunctions.Utility_DisplayArrayInTable(Fertiliser_SourceData.Fertiliser_Products_Data2(), FertiliserProducts[[#Headers],[Company]],31)</f>
        <v>YaraTera KRISTA MAP</v>
      </c>
      <c r="F147" s="200" t="str" cm="1">
        <f t="array" ref="F147">Common_InputFunctions.Utility_DisplayArrayInTable(Fertiliser_SourceData.Fertiliser_Products_Data2(), FertiliserProducts[[#Headers],[Company]],31)</f>
        <v>kg</v>
      </c>
      <c r="G147" s="200" cm="1">
        <f t="array" ref="G147">Common_InputFunctions.Utility_DisplayArrayInTable(Fertiliser_SourceData.Fertiliser_Products_Data2(), FertiliserProducts[[#Headers],[Company]],31)</f>
        <v>1</v>
      </c>
      <c r="H147" s="200" t="str" cm="1">
        <f t="array" ref="H147">Common_InputFunctions.Utility_DisplayArrayInTable(Fertiliser_SourceData.Fertiliser_Products_Data2(), FertiliserProducts[[#Headers],[Company]],31)</f>
        <v/>
      </c>
      <c r="I147" s="200" t="str" cm="1">
        <f t="array" ref="I147">Common_InputFunctions.Utility_DisplayArrayInTable(Fertiliser_SourceData.Fertiliser_Products_Data2(), FertiliserProducts[[#Headers],[Company]],31)</f>
        <v/>
      </c>
      <c r="J147" s="200" t="str" cm="1">
        <f t="array" ref="J147">Common_InputFunctions.Utility_DisplayArrayInTable(Fertiliser_SourceData.Fertiliser_Products_Data2(), FertiliserProducts[[#Headers],[Company]],31)</f>
        <v/>
      </c>
      <c r="K147" s="200" cm="1">
        <f t="array" ref="K147">Common_InputFunctions.Utility_DisplayArrayInTable(Fertiliser_SourceData.Fertiliser_Products_Data2(), FertiliserProducts[[#Headers],[Company]],31)</f>
        <v>10</v>
      </c>
      <c r="L147" s="200" cm="1">
        <f t="array" ref="L147">Common_InputFunctions.Utility_DisplayArrayInTable(Fertiliser_SourceData.Fertiliser_Products_Data2(), FertiliserProducts[[#Headers],[Company]],31)</f>
        <v>21.9</v>
      </c>
      <c r="M147" s="200" t="str" cm="1">
        <f t="array" ref="M147">Common_InputFunctions.Utility_DisplayArrayInTable(Fertiliser_SourceData.Fertiliser_Products_Data2(), FertiliserProducts[[#Headers],[Company]],31)</f>
        <v/>
      </c>
      <c r="N147" s="200" t="str" cm="1">
        <f t="array" ref="N147">Common_InputFunctions.Utility_DisplayArrayInTable(Fertiliser_SourceData.Fertiliser_Products_Data2(), FertiliserProducts[[#Headers],[Company]],31)</f>
        <v/>
      </c>
      <c r="O147" s="200" t="str" cm="1">
        <f t="array" ref="O147">Common_InputFunctions.Utility_DisplayArrayInTable(Fertiliser_SourceData.Fertiliser_Products_Data2(), FertiliserProducts[[#Headers],[Company]],31)</f>
        <v>Monoammonium phosphate (MAP)</v>
      </c>
      <c r="P147" s="200" cm="1">
        <f t="array" ref="P147">Common_InputFunctions.Utility_DisplayArrayInTable(Fertiliser_SourceData.Fertiliser_Products_Data2(), FertiliserProducts[[#Headers],[Company]],31)</f>
        <v>1</v>
      </c>
      <c r="Q147" s="200" t="str" cm="1">
        <f t="array" ref="Q147">Common_InputFunctions.Utility_DisplayArrayInTable(Fertiliser_SourceData.Fertiliser_Products_Data2(), FertiliserProducts[[#Headers],[Company]],31)</f>
        <v/>
      </c>
      <c r="R147" s="200" t="str" cm="1">
        <f t="array" ref="R147">Common_InputFunctions.Utility_DisplayArrayInTable(Fertiliser_SourceData.Fertiliser_Products_Data2(), FertiliserProducts[[#Headers],[Company]],31)</f>
        <v/>
      </c>
      <c r="S147" s="200" t="str" cm="1">
        <f t="array" ref="S147">Common_InputFunctions.Utility_DisplayArrayInTable(Fertiliser_SourceData.Fertiliser_Products_Data2(), FertiliserProducts[[#Headers],[Company]],31)</f>
        <v/>
      </c>
      <c r="T147" s="200" t="str" cm="1">
        <f t="array" ref="T147">Common_InputFunctions.Utility_DisplayArrayInTable(Fertiliser_SourceData.Fertiliser_Products_Data2(), FertiliserProducts[[#Headers],[Company]],31)</f>
        <v/>
      </c>
      <c r="U147" s="200" t="str" cm="1">
        <f t="array" ref="U147">Common_InputFunctions.Utility_DisplayArrayInTable(Fertiliser_SourceData.Fertiliser_Products_Data2(), FertiliserProducts[[#Headers],[Company]],31)</f>
        <v/>
      </c>
      <c r="V147" s="200" t="str" cm="1">
        <f t="array" ref="V147">Common_InputFunctions.Utility_DisplayArrayInTable(Fertiliser_SourceData.Fertiliser_Products_Data2(), FertiliserProducts[[#Headers],[Company]],31)</f>
        <v/>
      </c>
      <c r="W147" s="200" t="str" cm="1">
        <f t="array" ref="W147">Common_InputFunctions.Utility_DisplayArrayInTable(Fertiliser_SourceData.Fertiliser_Products_Data2(), FertiliserProducts[[#Headers],[Company]],31)</f>
        <v/>
      </c>
      <c r="X147" s="200" t="str" cm="1">
        <f t="array" ref="X147">Common_InputFunctions.Utility_DisplayArrayInTable(Fertiliser_SourceData.Fertiliser_Products_Data2(), FertiliserProducts[[#Headers],[Company]],31)</f>
        <v/>
      </c>
      <c r="Y147" s="200" t="str" cm="1">
        <f t="array" ref="Y147">Common_InputFunctions.Utility_DisplayArrayInTable(Fertiliser_SourceData.Fertiliser_Products_Data2(), FertiliserProducts[[#Headers],[Company]],31)</f>
        <v/>
      </c>
      <c r="Z147" s="200" t="str" cm="1">
        <f t="array" ref="Z147">Common_InputFunctions.Utility_DisplayArrayInTable(Fertiliser_SourceData.Fertiliser_Products_Data2(), FertiliserProducts[[#Headers],[Company]],31)</f>
        <v/>
      </c>
      <c r="AA147" s="200" t="str" cm="1">
        <f t="array" ref="AA147">Common_InputFunctions.Utility_DisplayArrayInTable(Fertiliser_SourceData.Fertiliser_Products_Data2(), FertiliserProducts[[#Headers],[Company]],31)</f>
        <v/>
      </c>
      <c r="AB147" s="200" t="str" cm="1">
        <f t="array" ref="AB147">Common_InputFunctions.Utility_DisplayArrayInTable(Fertiliser_SourceData.Fertiliser_Products_Data2(), FertiliserProducts[[#Headers],[Company]],31)</f>
        <v/>
      </c>
      <c r="AC147" s="200" t="str" cm="1">
        <f t="array" ref="AC147">Common_InputFunctions.Utility_DisplayArrayInTable(Fertiliser_SourceData.Fertiliser_Products_Data2(), FertiliserProducts[[#Headers],[Company]],31)</f>
        <v/>
      </c>
      <c r="AD147" s="200" t="str" cm="1">
        <f t="array" ref="AD147">Common_InputFunctions.Utility_DisplayArrayInTable(Fertiliser_SourceData.Fertiliser_Products_Data2(), FertiliserProducts[[#Headers],[Company]],31)</f>
        <v/>
      </c>
      <c r="AE147" s="200" t="str" cm="1">
        <f t="array" ref="AE147">Common_InputFunctions.Utility_DisplayArrayInTable(Fertiliser_SourceData.Fertiliser_Products_Data2(), FertiliserProducts[[#Headers],[Company]],31)</f>
        <v/>
      </c>
      <c r="AF147" s="200" t="str" cm="1">
        <f t="array" ref="AF147">Common_InputFunctions.Utility_DisplayArrayInTable(Fertiliser_SourceData.Fertiliser_Products_Data2(), FertiliserProducts[[#Headers],[Company]],31)</f>
        <v/>
      </c>
      <c r="AG147" s="200" t="str" cm="1">
        <f t="array" ref="AG147">Common_InputFunctions.Utility_DisplayArrayInTable(Fertiliser_SourceData.Fertiliser_Products_Data2(), FertiliserProducts[[#Headers],[Company]],31)</f>
        <v/>
      </c>
      <c r="AH147" s="200"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200" t="str" cm="1">
        <f t="array" ref="D148">Common_InputFunctions.Utility_DisplayArrayInTable(Fertiliser_SourceData.Fertiliser_Products_Data2(), FertiliserProducts[[#Headers],[Company]],31)</f>
        <v>Yara Australia</v>
      </c>
      <c r="E148" s="200" t="str" cm="1">
        <f t="array" ref="E148">Common_InputFunctions.Utility_DisplayArrayInTable(Fertiliser_SourceData.Fertiliser_Products_Data2(), FertiliserProducts[[#Headers],[Company]],31)</f>
        <v>YaraTera KRISTALON RED</v>
      </c>
      <c r="F148" s="200" t="str" cm="1">
        <f t="array" ref="F148">Common_InputFunctions.Utility_DisplayArrayInTable(Fertiliser_SourceData.Fertiliser_Products_Data2(), FertiliserProducts[[#Headers],[Company]],31)</f>
        <v>kg</v>
      </c>
      <c r="G148" s="200" cm="1">
        <f t="array" ref="G148">Common_InputFunctions.Utility_DisplayArrayInTable(Fertiliser_SourceData.Fertiliser_Products_Data2(), FertiliserProducts[[#Headers],[Company]],31)</f>
        <v>1</v>
      </c>
      <c r="H148" s="200" t="str" cm="1">
        <f t="array" ref="H148">Common_InputFunctions.Utility_DisplayArrayInTable(Fertiliser_SourceData.Fertiliser_Products_Data2(), FertiliserProducts[[#Headers],[Company]],31)</f>
        <v/>
      </c>
      <c r="I148" s="200" t="str" cm="1">
        <f t="array" ref="I148">Common_InputFunctions.Utility_DisplayArrayInTable(Fertiliser_SourceData.Fertiliser_Products_Data2(), FertiliserProducts[[#Headers],[Company]],31)</f>
        <v/>
      </c>
      <c r="J148" s="200" t="str" cm="1">
        <f t="array" ref="J148">Common_InputFunctions.Utility_DisplayArrayInTable(Fertiliser_SourceData.Fertiliser_Products_Data2(), FertiliserProducts[[#Headers],[Company]],31)</f>
        <v/>
      </c>
      <c r="K148" s="200" cm="1">
        <f t="array" ref="K148">Common_InputFunctions.Utility_DisplayArrayInTable(Fertiliser_SourceData.Fertiliser_Products_Data2(), FertiliserProducts[[#Headers],[Company]],31)</f>
        <v>12</v>
      </c>
      <c r="L148" s="200" cm="1">
        <f t="array" ref="L148">Common_InputFunctions.Utility_DisplayArrayInTable(Fertiliser_SourceData.Fertiliser_Products_Data2(), FertiliserProducts[[#Headers],[Company]],31)</f>
        <v>5.2</v>
      </c>
      <c r="M148" s="200" cm="1">
        <f t="array" ref="M148">Common_InputFunctions.Utility_DisplayArrayInTable(Fertiliser_SourceData.Fertiliser_Products_Data2(), FertiliserProducts[[#Headers],[Company]],31)</f>
        <v>29.9</v>
      </c>
      <c r="N148" s="200" cm="1">
        <f t="array" ref="N148">Common_InputFunctions.Utility_DisplayArrayInTable(Fertiliser_SourceData.Fertiliser_Products_Data2(), FertiliserProducts[[#Headers],[Company]],31)</f>
        <v>1</v>
      </c>
      <c r="O148" s="200" t="str" cm="1">
        <f t="array" ref="O148">Common_InputFunctions.Utility_DisplayArrayInTable(Fertiliser_SourceData.Fertiliser_Products_Data2(), FertiliserProducts[[#Headers],[Company]],31)</f>
        <v>Potassium - Generic</v>
      </c>
      <c r="P148" s="200" cm="1">
        <f t="array" ref="P148">Common_InputFunctions.Utility_DisplayArrayInTable(Fertiliser_SourceData.Fertiliser_Products_Data2(), FertiliserProducts[[#Headers],[Company]],31)</f>
        <v>0.29899999999999999</v>
      </c>
      <c r="Q148" s="200" t="str" cm="1">
        <f t="array" ref="Q148">Common_InputFunctions.Utility_DisplayArrayInTable(Fertiliser_SourceData.Fertiliser_Products_Data2(), FertiliserProducts[[#Headers],[Company]],31)</f>
        <v>Nitrogen - Nitrate</v>
      </c>
      <c r="R148" s="200" cm="1">
        <f t="array" ref="R148">Common_InputFunctions.Utility_DisplayArrayInTable(Fertiliser_SourceData.Fertiliser_Products_Data2(), FertiliserProducts[[#Headers],[Company]],31)</f>
        <v>0.10100000000000001</v>
      </c>
      <c r="S148" s="200" t="str" cm="1">
        <f t="array" ref="S148">Common_InputFunctions.Utility_DisplayArrayInTable(Fertiliser_SourceData.Fertiliser_Products_Data2(), FertiliserProducts[[#Headers],[Company]],31)</f>
        <v>Phosphorus - Generic</v>
      </c>
      <c r="T148" s="200" cm="1">
        <f t="array" ref="T148">Common_InputFunctions.Utility_DisplayArrayInTable(Fertiliser_SourceData.Fertiliser_Products_Data2(), FertiliserProducts[[#Headers],[Company]],31)</f>
        <v>5.1999999999999998E-2</v>
      </c>
      <c r="U148" s="200" t="str" cm="1">
        <f t="array" ref="U148">Common_InputFunctions.Utility_DisplayArrayInTable(Fertiliser_SourceData.Fertiliser_Products_Data2(), FertiliserProducts[[#Headers],[Company]],31)</f>
        <v>Nitrogen - Ammoniacal</v>
      </c>
      <c r="V148" s="200" cm="1">
        <f t="array" ref="V148">Common_InputFunctions.Utility_DisplayArrayInTable(Fertiliser_SourceData.Fertiliser_Products_Data2(), FertiliserProducts[[#Headers],[Company]],31)</f>
        <v>1.9E-2</v>
      </c>
      <c r="W148" s="200" t="str" cm="1">
        <f t="array" ref="W148">Common_InputFunctions.Utility_DisplayArrayInTable(Fertiliser_SourceData.Fertiliser_Products_Data2(), FertiliserProducts[[#Headers],[Company]],31)</f>
        <v>Sulfur - Generic</v>
      </c>
      <c r="X148" s="200" cm="1">
        <f t="array" ref="X148">Common_InputFunctions.Utility_DisplayArrayInTable(Fertiliser_SourceData.Fertiliser_Products_Data2(), FertiliserProducts[[#Headers],[Company]],31)</f>
        <v>0.01</v>
      </c>
      <c r="Y148" s="200" t="str" cm="1">
        <f t="array" ref="Y148">Common_InputFunctions.Utility_DisplayArrayInTable(Fertiliser_SourceData.Fertiliser_Products_Data2(), FertiliserProducts[[#Headers],[Company]],31)</f>
        <v>Magnesium</v>
      </c>
      <c r="Z148" s="200" cm="1">
        <f t="array" ref="Z148">Common_InputFunctions.Utility_DisplayArrayInTable(Fertiliser_SourceData.Fertiliser_Products_Data2(), FertiliserProducts[[#Headers],[Company]],31)</f>
        <v>6.0000000000000001E-3</v>
      </c>
      <c r="AA148" s="200" t="str" cm="1">
        <f t="array" ref="AA148">Common_InputFunctions.Utility_DisplayArrayInTable(Fertiliser_SourceData.Fertiliser_Products_Data2(), FertiliserProducts[[#Headers],[Company]],31)</f>
        <v>Iron</v>
      </c>
      <c r="AB148" s="200" cm="1">
        <f t="array" ref="AB148">Common_InputFunctions.Utility_DisplayArrayInTable(Fertiliser_SourceData.Fertiliser_Products_Data2(), FertiliserProducts[[#Headers],[Company]],31)</f>
        <v>6.9999999999999999E-4</v>
      </c>
      <c r="AC148" s="200" t="str" cm="1">
        <f t="array" ref="AC148">Common_InputFunctions.Utility_DisplayArrayInTable(Fertiliser_SourceData.Fertiliser_Products_Data2(), FertiliserProducts[[#Headers],[Company]],31)</f>
        <v>Manganese</v>
      </c>
      <c r="AD148" s="200" cm="1">
        <f t="array" ref="AD148">Common_InputFunctions.Utility_DisplayArrayInTable(Fertiliser_SourceData.Fertiliser_Products_Data2(), FertiliserProducts[[#Headers],[Company]],31)</f>
        <v>4.0000000000000002E-4</v>
      </c>
      <c r="AE148" s="200" t="str" cm="1">
        <f t="array" ref="AE148">Common_InputFunctions.Utility_DisplayArrayInTable(Fertiliser_SourceData.Fertiliser_Products_Data2(), FertiliserProducts[[#Headers],[Company]],31)</f>
        <v>Zinc</v>
      </c>
      <c r="AF148" s="200" cm="1">
        <f t="array" ref="AF148">Common_InputFunctions.Utility_DisplayArrayInTable(Fertiliser_SourceData.Fertiliser_Products_Data2(), FertiliserProducts[[#Headers],[Company]],31)</f>
        <v>2.5000000000000001E-4</v>
      </c>
      <c r="AG148" s="200" t="str" cm="1">
        <f t="array" ref="AG148">Common_InputFunctions.Utility_DisplayArrayInTable(Fertiliser_SourceData.Fertiliser_Products_Data2(), FertiliserProducts[[#Headers],[Company]],31)</f>
        <v>Boron</v>
      </c>
      <c r="AH148" s="200"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200" t="str" cm="1">
        <f t="array" ref="D149">Common_InputFunctions.Utility_DisplayArrayInTable(Fertiliser_SourceData.Fertiliser_Products_Data2(), FertiliserProducts[[#Headers],[Company]],31)</f>
        <v>Yara Australia</v>
      </c>
      <c r="E149" s="200" t="str" cm="1">
        <f t="array" ref="E149">Common_InputFunctions.Utility_DisplayArrayInTable(Fertiliser_SourceData.Fertiliser_Products_Data2(), FertiliserProducts[[#Headers],[Company]],31)</f>
        <v>YaraTera KRISTALON SPECIAL</v>
      </c>
      <c r="F149" s="200" t="str" cm="1">
        <f t="array" ref="F149">Common_InputFunctions.Utility_DisplayArrayInTable(Fertiliser_SourceData.Fertiliser_Products_Data2(), FertiliserProducts[[#Headers],[Company]],31)</f>
        <v>kg</v>
      </c>
      <c r="G149" s="200" cm="1">
        <f t="array" ref="G149">Common_InputFunctions.Utility_DisplayArrayInTable(Fertiliser_SourceData.Fertiliser_Products_Data2(), FertiliserProducts[[#Headers],[Company]],31)</f>
        <v>1</v>
      </c>
      <c r="H149" s="200" t="str" cm="1">
        <f t="array" ref="H149">Common_InputFunctions.Utility_DisplayArrayInTable(Fertiliser_SourceData.Fertiliser_Products_Data2(), FertiliserProducts[[#Headers],[Company]],31)</f>
        <v/>
      </c>
      <c r="I149" s="200" t="str" cm="1">
        <f t="array" ref="I149">Common_InputFunctions.Utility_DisplayArrayInTable(Fertiliser_SourceData.Fertiliser_Products_Data2(), FertiliserProducts[[#Headers],[Company]],31)</f>
        <v/>
      </c>
      <c r="J149" s="200" t="str" cm="1">
        <f t="array" ref="J149">Common_InputFunctions.Utility_DisplayArrayInTable(Fertiliser_SourceData.Fertiliser_Products_Data2(), FertiliserProducts[[#Headers],[Company]],31)</f>
        <v/>
      </c>
      <c r="K149" s="200" cm="1">
        <f t="array" ref="K149">Common_InputFunctions.Utility_DisplayArrayInTable(Fertiliser_SourceData.Fertiliser_Products_Data2(), FertiliserProducts[[#Headers],[Company]],31)</f>
        <v>18</v>
      </c>
      <c r="L149" s="200" cm="1">
        <f t="array" ref="L149">Common_InputFunctions.Utility_DisplayArrayInTable(Fertiliser_SourceData.Fertiliser_Products_Data2(), FertiliserProducts[[#Headers],[Company]],31)</f>
        <v>7.9</v>
      </c>
      <c r="M149" s="200" cm="1">
        <f t="array" ref="M149">Common_InputFunctions.Utility_DisplayArrayInTable(Fertiliser_SourceData.Fertiliser_Products_Data2(), FertiliserProducts[[#Headers],[Company]],31)</f>
        <v>14.9</v>
      </c>
      <c r="N149" s="200" cm="1">
        <f t="array" ref="N149">Common_InputFunctions.Utility_DisplayArrayInTable(Fertiliser_SourceData.Fertiliser_Products_Data2(), FertiliserProducts[[#Headers],[Company]],31)</f>
        <v>2</v>
      </c>
      <c r="O149" s="200" t="str" cm="1">
        <f t="array" ref="O149">Common_InputFunctions.Utility_DisplayArrayInTable(Fertiliser_SourceData.Fertiliser_Products_Data2(), FertiliserProducts[[#Headers],[Company]],31)</f>
        <v>Potassium - Generic</v>
      </c>
      <c r="P149" s="200" cm="1">
        <f t="array" ref="P149">Common_InputFunctions.Utility_DisplayArrayInTable(Fertiliser_SourceData.Fertiliser_Products_Data2(), FertiliserProducts[[#Headers],[Company]],31)</f>
        <v>0.14899999999999999</v>
      </c>
      <c r="Q149" s="200" t="str" cm="1">
        <f t="array" ref="Q149">Common_InputFunctions.Utility_DisplayArrayInTable(Fertiliser_SourceData.Fertiliser_Products_Data2(), FertiliserProducts[[#Headers],[Company]],31)</f>
        <v>Urea</v>
      </c>
      <c r="R149" s="200" cm="1">
        <f t="array" ref="R149">Common_InputFunctions.Utility_DisplayArrayInTable(Fertiliser_SourceData.Fertiliser_Products_Data2(), FertiliserProducts[[#Headers],[Company]],31)</f>
        <v>0.21304300000000001</v>
      </c>
      <c r="S149" s="200" t="str" cm="1">
        <f t="array" ref="S149">Common_InputFunctions.Utility_DisplayArrayInTable(Fertiliser_SourceData.Fertiliser_Products_Data2(), FertiliserProducts[[#Headers],[Company]],31)</f>
        <v>Phosphorus - Generic</v>
      </c>
      <c r="T149" s="200" cm="1">
        <f t="array" ref="T149">Common_InputFunctions.Utility_DisplayArrayInTable(Fertiliser_SourceData.Fertiliser_Products_Data2(), FertiliserProducts[[#Headers],[Company]],31)</f>
        <v>7.9000000000000001E-2</v>
      </c>
      <c r="U149" s="200" t="str" cm="1">
        <f t="array" ref="U149">Common_InputFunctions.Utility_DisplayArrayInTable(Fertiliser_SourceData.Fertiliser_Products_Data2(), FertiliserProducts[[#Headers],[Company]],31)</f>
        <v>Nitrogen - Nitrate</v>
      </c>
      <c r="V149" s="200" cm="1">
        <f t="array" ref="V149">Common_InputFunctions.Utility_DisplayArrayInTable(Fertiliser_SourceData.Fertiliser_Products_Data2(), FertiliserProducts[[#Headers],[Company]],31)</f>
        <v>4.9000000000000002E-2</v>
      </c>
      <c r="W149" s="200" t="str" cm="1">
        <f t="array" ref="W149">Common_InputFunctions.Utility_DisplayArrayInTable(Fertiliser_SourceData.Fertiliser_Products_Data2(), FertiliserProducts[[#Headers],[Company]],31)</f>
        <v>Nitrogen - Ammoniacal</v>
      </c>
      <c r="X149" s="200" cm="1">
        <f t="array" ref="X149">Common_InputFunctions.Utility_DisplayArrayInTable(Fertiliser_SourceData.Fertiliser_Products_Data2(), FertiliserProducts[[#Headers],[Company]],31)</f>
        <v>3.3000000000000002E-2</v>
      </c>
      <c r="Y149" s="200" t="str" cm="1">
        <f t="array" ref="Y149">Common_InputFunctions.Utility_DisplayArrayInTable(Fertiliser_SourceData.Fertiliser_Products_Data2(), FertiliserProducts[[#Headers],[Company]],31)</f>
        <v>Sulfur - Generic</v>
      </c>
      <c r="Z149" s="200" cm="1">
        <f t="array" ref="Z149">Common_InputFunctions.Utility_DisplayArrayInTable(Fertiliser_SourceData.Fertiliser_Products_Data2(), FertiliserProducts[[#Headers],[Company]],31)</f>
        <v>0.02</v>
      </c>
      <c r="AA149" s="200" t="str" cm="1">
        <f t="array" ref="AA149">Common_InputFunctions.Utility_DisplayArrayInTable(Fertiliser_SourceData.Fertiliser_Products_Data2(), FertiliserProducts[[#Headers],[Company]],31)</f>
        <v>Magnesium</v>
      </c>
      <c r="AB149" s="200" cm="1">
        <f t="array" ref="AB149">Common_InputFunctions.Utility_DisplayArrayInTable(Fertiliser_SourceData.Fertiliser_Products_Data2(), FertiliserProducts[[#Headers],[Company]],31)</f>
        <v>1.7999999999999999E-2</v>
      </c>
      <c r="AC149" s="200" t="str" cm="1">
        <f t="array" ref="AC149">Common_InputFunctions.Utility_DisplayArrayInTable(Fertiliser_SourceData.Fertiliser_Products_Data2(), FertiliserProducts[[#Headers],[Company]],31)</f>
        <v>Iron</v>
      </c>
      <c r="AD149" s="200" cm="1">
        <f t="array" ref="AD149">Common_InputFunctions.Utility_DisplayArrayInTable(Fertiliser_SourceData.Fertiliser_Products_Data2(), FertiliserProducts[[#Headers],[Company]],31)</f>
        <v>6.9999999999999999E-4</v>
      </c>
      <c r="AE149" s="200" t="str" cm="1">
        <f t="array" ref="AE149">Common_InputFunctions.Utility_DisplayArrayInTable(Fertiliser_SourceData.Fertiliser_Products_Data2(), FertiliserProducts[[#Headers],[Company]],31)</f>
        <v>Manganese</v>
      </c>
      <c r="AF149" s="200" cm="1">
        <f t="array" ref="AF149">Common_InputFunctions.Utility_DisplayArrayInTable(Fertiliser_SourceData.Fertiliser_Products_Data2(), FertiliserProducts[[#Headers],[Company]],31)</f>
        <v>4.0000000000000002E-4</v>
      </c>
      <c r="AG149" s="200" t="str" cm="1">
        <f t="array" ref="AG149">Common_InputFunctions.Utility_DisplayArrayInTable(Fertiliser_SourceData.Fertiliser_Products_Data2(), FertiliserProducts[[#Headers],[Company]],31)</f>
        <v>Zinc</v>
      </c>
      <c r="AH149" s="200"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200" t="str" cm="1">
        <f t="array" ref="D150">Common_InputFunctions.Utility_DisplayArrayInTable(Fertiliser_SourceData.Fertiliser_Products_Data3(), FertiliserProducts[[#Headers],[Company]],61)</f>
        <v>Yara Australia</v>
      </c>
      <c r="E150" s="200" t="str" cm="1">
        <f t="array" ref="E150">Common_InputFunctions.Utility_DisplayArrayInTable(Fertiliser_SourceData.Fertiliser_Products_Data3(), FertiliserProducts[[#Headers],[Company]],61)</f>
        <v>YaraMila 21-7-3(4)</v>
      </c>
      <c r="F150" s="200" t="str" cm="1">
        <f t="array" ref="F150">Common_InputFunctions.Utility_DisplayArrayInTable(Fertiliser_SourceData.Fertiliser_Products_Data3(), FertiliserProducts[[#Headers],[Company]],61)</f>
        <v>kg</v>
      </c>
      <c r="G150" s="200" cm="1">
        <f t="array" ref="G150">Common_InputFunctions.Utility_DisplayArrayInTable(Fertiliser_SourceData.Fertiliser_Products_Data3(), FertiliserProducts[[#Headers],[Company]],61)</f>
        <v>1</v>
      </c>
      <c r="H150" s="200" t="str" cm="1">
        <f t="array" ref="H150">Common_InputFunctions.Utility_DisplayArrayInTable(Fertiliser_SourceData.Fertiliser_Products_Data3(), FertiliserProducts[[#Headers],[Company]],61)</f>
        <v/>
      </c>
      <c r="I150" s="200" t="str" cm="1">
        <f t="array" ref="I150">Common_InputFunctions.Utility_DisplayArrayInTable(Fertiliser_SourceData.Fertiliser_Products_Data3(), FertiliserProducts[[#Headers],[Company]],61)</f>
        <v/>
      </c>
      <c r="J150" s="200" t="str" cm="1">
        <f t="array" ref="J150">Common_InputFunctions.Utility_DisplayArrayInTable(Fertiliser_SourceData.Fertiliser_Products_Data3(), FertiliserProducts[[#Headers],[Company]],61)</f>
        <v/>
      </c>
      <c r="K150" s="200" cm="1">
        <f t="array" ref="K150">Common_InputFunctions.Utility_DisplayArrayInTable(Fertiliser_SourceData.Fertiliser_Products_Data3(), FertiliserProducts[[#Headers],[Company]],61)</f>
        <v>21</v>
      </c>
      <c r="L150" s="200" cm="1">
        <f t="array" ref="L150">Common_InputFunctions.Utility_DisplayArrayInTable(Fertiliser_SourceData.Fertiliser_Products_Data3(), FertiliserProducts[[#Headers],[Company]],61)</f>
        <v>7.4</v>
      </c>
      <c r="M150" s="200" cm="1">
        <f t="array" ref="M150">Common_InputFunctions.Utility_DisplayArrayInTable(Fertiliser_SourceData.Fertiliser_Products_Data3(), FertiliserProducts[[#Headers],[Company]],61)</f>
        <v>2.5</v>
      </c>
      <c r="N150" s="200" cm="1">
        <f t="array" ref="N150">Common_InputFunctions.Utility_DisplayArrayInTable(Fertiliser_SourceData.Fertiliser_Products_Data3(), FertiliserProducts[[#Headers],[Company]],61)</f>
        <v>4</v>
      </c>
      <c r="O150" s="200" t="str" cm="1">
        <f t="array" ref="O150">Common_InputFunctions.Utility_DisplayArrayInTable(Fertiliser_SourceData.Fertiliser_Products_Data3(), FertiliserProducts[[#Headers],[Company]],61)</f>
        <v>Nitrogen - Nitrate</v>
      </c>
      <c r="P150" s="200" cm="1">
        <f t="array" ref="P150">Common_InputFunctions.Utility_DisplayArrayInTable(Fertiliser_SourceData.Fertiliser_Products_Data3(), FertiliserProducts[[#Headers],[Company]],61)</f>
        <v>0.105</v>
      </c>
      <c r="Q150" s="200" t="str" cm="1">
        <f t="array" ref="Q150">Common_InputFunctions.Utility_DisplayArrayInTable(Fertiliser_SourceData.Fertiliser_Products_Data3(), FertiliserProducts[[#Headers],[Company]],61)</f>
        <v>Nitrogen - Ammoniacal</v>
      </c>
      <c r="R150" s="200" cm="1">
        <f t="array" ref="R150">Common_InputFunctions.Utility_DisplayArrayInTable(Fertiliser_SourceData.Fertiliser_Products_Data3(), FertiliserProducts[[#Headers],[Company]],61)</f>
        <v>0.105</v>
      </c>
      <c r="S150" s="200" t="str" cm="1">
        <f t="array" ref="S150">Common_InputFunctions.Utility_DisplayArrayInTable(Fertiliser_SourceData.Fertiliser_Products_Data3(), FertiliserProducts[[#Headers],[Company]],61)</f>
        <v>Phosphorus - Generic</v>
      </c>
      <c r="T150" s="200" cm="1">
        <f t="array" ref="T150">Common_InputFunctions.Utility_DisplayArrayInTable(Fertiliser_SourceData.Fertiliser_Products_Data3(), FertiliserProducts[[#Headers],[Company]],61)</f>
        <v>7.3999999999999996E-2</v>
      </c>
      <c r="U150" s="200" t="str" cm="1">
        <f t="array" ref="U150">Common_InputFunctions.Utility_DisplayArrayInTable(Fertiliser_SourceData.Fertiliser_Products_Data3(), FertiliserProducts[[#Headers],[Company]],61)</f>
        <v>Sulfur - Generic</v>
      </c>
      <c r="V150" s="200" cm="1">
        <f t="array" ref="V150">Common_InputFunctions.Utility_DisplayArrayInTable(Fertiliser_SourceData.Fertiliser_Products_Data3(), FertiliserProducts[[#Headers],[Company]],61)</f>
        <v>0.04</v>
      </c>
      <c r="W150" s="200" t="str" cm="1">
        <f t="array" ref="W150">Common_InputFunctions.Utility_DisplayArrayInTable(Fertiliser_SourceData.Fertiliser_Products_Data3(), FertiliserProducts[[#Headers],[Company]],61)</f>
        <v>Potassium - Generic</v>
      </c>
      <c r="X150" s="200" cm="1">
        <f t="array" ref="X150">Common_InputFunctions.Utility_DisplayArrayInTable(Fertiliser_SourceData.Fertiliser_Products_Data3(), FertiliserProducts[[#Headers],[Company]],61)</f>
        <v>2.5000000000000001E-2</v>
      </c>
      <c r="Y150" s="200" t="str" cm="1">
        <f t="array" ref="Y150">Common_InputFunctions.Utility_DisplayArrayInTable(Fertiliser_SourceData.Fertiliser_Products_Data3(), FertiliserProducts[[#Headers],[Company]],61)</f>
        <v>Magnesium</v>
      </c>
      <c r="Z150" s="200" cm="1">
        <f t="array" ref="Z150">Common_InputFunctions.Utility_DisplayArrayInTable(Fertiliser_SourceData.Fertiliser_Products_Data3(), FertiliserProducts[[#Headers],[Company]],61)</f>
        <v>4.0000000000000001E-3</v>
      </c>
      <c r="AA150" s="200" t="str" cm="1">
        <f t="array" ref="AA150">Common_InputFunctions.Utility_DisplayArrayInTable(Fertiliser_SourceData.Fertiliser_Products_Data3(), FertiliserProducts[[#Headers],[Company]],61)</f>
        <v>Zinc</v>
      </c>
      <c r="AB150" s="200" cm="1">
        <f t="array" ref="AB150">Common_InputFunctions.Utility_DisplayArrayInTable(Fertiliser_SourceData.Fertiliser_Products_Data3(), FertiliserProducts[[#Headers],[Company]],61)</f>
        <v>1.5E-3</v>
      </c>
      <c r="AC150" s="200" t="str" cm="1">
        <f t="array" ref="AC150">Common_InputFunctions.Utility_DisplayArrayInTable(Fertiliser_SourceData.Fertiliser_Products_Data3(), FertiliserProducts[[#Headers],[Company]],61)</f>
        <v/>
      </c>
      <c r="AD150" s="200" t="str" cm="1">
        <f t="array" ref="AD150">Common_InputFunctions.Utility_DisplayArrayInTable(Fertiliser_SourceData.Fertiliser_Products_Data3(), FertiliserProducts[[#Headers],[Company]],61)</f>
        <v/>
      </c>
      <c r="AE150" s="200" t="str" cm="1">
        <f t="array" ref="AE150">Common_InputFunctions.Utility_DisplayArrayInTable(Fertiliser_SourceData.Fertiliser_Products_Data3(), FertiliserProducts[[#Headers],[Company]],61)</f>
        <v/>
      </c>
      <c r="AF150" s="200" t="str" cm="1">
        <f t="array" ref="AF150">Common_InputFunctions.Utility_DisplayArrayInTable(Fertiliser_SourceData.Fertiliser_Products_Data3(), FertiliserProducts[[#Headers],[Company]],61)</f>
        <v/>
      </c>
      <c r="AG150" s="200" t="str" cm="1">
        <f t="array" ref="AG150">Common_InputFunctions.Utility_DisplayArrayInTable(Fertiliser_SourceData.Fertiliser_Products_Data3(), FertiliserProducts[[#Headers],[Company]],61)</f>
        <v/>
      </c>
      <c r="AH150" s="200"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200" t="str" cm="1">
        <f t="array" ref="D151">Common_InputFunctions.Utility_DisplayArrayInTable(Fertiliser_SourceData.Fertiliser_Products_Data3(), FertiliserProducts[[#Headers],[Company]],61)</f>
        <v>Yara Australia</v>
      </c>
      <c r="E151" s="200" t="str" cm="1">
        <f t="array" ref="E151">Common_InputFunctions.Utility_DisplayArrayInTable(Fertiliser_SourceData.Fertiliser_Products_Data3(), FertiliserProducts[[#Headers],[Company]],61)</f>
        <v>YaraTera KRISTALON SCARLET</v>
      </c>
      <c r="F151" s="200" t="str" cm="1">
        <f t="array" ref="F151">Common_InputFunctions.Utility_DisplayArrayInTable(Fertiliser_SourceData.Fertiliser_Products_Data3(), FertiliserProducts[[#Headers],[Company]],61)</f>
        <v>kg</v>
      </c>
      <c r="G151" s="200" cm="1">
        <f t="array" ref="G151">Common_InputFunctions.Utility_DisplayArrayInTable(Fertiliser_SourceData.Fertiliser_Products_Data3(), FertiliserProducts[[#Headers],[Company]],61)</f>
        <v>1</v>
      </c>
      <c r="H151" s="200" t="str" cm="1">
        <f t="array" ref="H151">Common_InputFunctions.Utility_DisplayArrayInTable(Fertiliser_SourceData.Fertiliser_Products_Data3(), FertiliserProducts[[#Headers],[Company]],61)</f>
        <v/>
      </c>
      <c r="I151" s="200" t="str" cm="1">
        <f t="array" ref="I151">Common_InputFunctions.Utility_DisplayArrayInTable(Fertiliser_SourceData.Fertiliser_Products_Data3(), FertiliserProducts[[#Headers],[Company]],61)</f>
        <v/>
      </c>
      <c r="J151" s="200" t="str" cm="1">
        <f t="array" ref="J151">Common_InputFunctions.Utility_DisplayArrayInTable(Fertiliser_SourceData.Fertiliser_Products_Data3(), FertiliserProducts[[#Headers],[Company]],61)</f>
        <v/>
      </c>
      <c r="K151" s="200" cm="1">
        <f t="array" ref="K151">Common_InputFunctions.Utility_DisplayArrayInTable(Fertiliser_SourceData.Fertiliser_Products_Data3(), FertiliserProducts[[#Headers],[Company]],61)</f>
        <v>7.5</v>
      </c>
      <c r="L151" s="200" t="str" cm="1">
        <f t="array" ref="L151">Common_InputFunctions.Utility_DisplayArrayInTable(Fertiliser_SourceData.Fertiliser_Products_Data3(), FertiliserProducts[[#Headers],[Company]],61)</f>
        <v/>
      </c>
      <c r="M151" s="200" cm="1">
        <f t="array" ref="M151">Common_InputFunctions.Utility_DisplayArrayInTable(Fertiliser_SourceData.Fertiliser_Products_Data3(), FertiliserProducts[[#Headers],[Company]],61)</f>
        <v>29.9</v>
      </c>
      <c r="N151" s="200" cm="1">
        <f t="array" ref="N151">Common_InputFunctions.Utility_DisplayArrayInTable(Fertiliser_SourceData.Fertiliser_Products_Data3(), FertiliserProducts[[#Headers],[Company]],61)</f>
        <v>4</v>
      </c>
      <c r="O151" s="200" t="str" cm="1">
        <f t="array" ref="O151">Common_InputFunctions.Utility_DisplayArrayInTable(Fertiliser_SourceData.Fertiliser_Products_Data3(), FertiliserProducts[[#Headers],[Company]],61)</f>
        <v>Potassium - Generic</v>
      </c>
      <c r="P151" s="200" cm="1">
        <f t="array" ref="P151">Common_InputFunctions.Utility_DisplayArrayInTable(Fertiliser_SourceData.Fertiliser_Products_Data3(), FertiliserProducts[[#Headers],[Company]],61)</f>
        <v>0.29899999999999999</v>
      </c>
      <c r="Q151" s="200" t="str" cm="1">
        <f t="array" ref="Q151">Common_InputFunctions.Utility_DisplayArrayInTable(Fertiliser_SourceData.Fertiliser_Products_Data3(), FertiliserProducts[[#Headers],[Company]],61)</f>
        <v>Nitrogen - Nitrate</v>
      </c>
      <c r="R151" s="200" cm="1">
        <f t="array" ref="R151">Common_InputFunctions.Utility_DisplayArrayInTable(Fertiliser_SourceData.Fertiliser_Products_Data3(), FertiliserProducts[[#Headers],[Company]],61)</f>
        <v>5.1999999999999998E-2</v>
      </c>
      <c r="S151" s="200" t="str" cm="1">
        <f t="array" ref="S151">Common_InputFunctions.Utility_DisplayArrayInTable(Fertiliser_SourceData.Fertiliser_Products_Data3(), FertiliserProducts[[#Headers],[Company]],61)</f>
        <v>Sulfur - Generic</v>
      </c>
      <c r="T151" s="200" cm="1">
        <f t="array" ref="T151">Common_InputFunctions.Utility_DisplayArrayInTable(Fertiliser_SourceData.Fertiliser_Products_Data3(), FertiliserProducts[[#Headers],[Company]],61)</f>
        <v>0.04</v>
      </c>
      <c r="U151" s="200" t="str" cm="1">
        <f t="array" ref="U151">Common_InputFunctions.Utility_DisplayArrayInTable(Fertiliser_SourceData.Fertiliser_Products_Data3(), FertiliserProducts[[#Headers],[Company]],61)</f>
        <v>Magnesium</v>
      </c>
      <c r="V151" s="200" cm="1">
        <f t="array" ref="V151">Common_InputFunctions.Utility_DisplayArrayInTable(Fertiliser_SourceData.Fertiliser_Products_Data3(), FertiliserProducts[[#Headers],[Company]],61)</f>
        <v>2.7E-2</v>
      </c>
      <c r="W151" s="200" t="str" cm="1">
        <f t="array" ref="W151">Common_InputFunctions.Utility_DisplayArrayInTable(Fertiliser_SourceData.Fertiliser_Products_Data3(), FertiliserProducts[[#Headers],[Company]],61)</f>
        <v>Nitrogen - Ammoniacal</v>
      </c>
      <c r="X151" s="200" cm="1">
        <f t="array" ref="X151">Common_InputFunctions.Utility_DisplayArrayInTable(Fertiliser_SourceData.Fertiliser_Products_Data3(), FertiliserProducts[[#Headers],[Company]],61)</f>
        <v>2.3E-2</v>
      </c>
      <c r="Y151" s="200" t="str" cm="1">
        <f t="array" ref="Y151">Common_InputFunctions.Utility_DisplayArrayInTable(Fertiliser_SourceData.Fertiliser_Products_Data3(), FertiliserProducts[[#Headers],[Company]],61)</f>
        <v/>
      </c>
      <c r="Z151" s="200" t="str" cm="1">
        <f t="array" ref="Z151">Common_InputFunctions.Utility_DisplayArrayInTable(Fertiliser_SourceData.Fertiliser_Products_Data3(), FertiliserProducts[[#Headers],[Company]],61)</f>
        <v/>
      </c>
      <c r="AA151" s="200" t="str" cm="1">
        <f t="array" ref="AA151">Common_InputFunctions.Utility_DisplayArrayInTable(Fertiliser_SourceData.Fertiliser_Products_Data3(), FertiliserProducts[[#Headers],[Company]],61)</f>
        <v/>
      </c>
      <c r="AB151" s="200" t="str" cm="1">
        <f t="array" ref="AB151">Common_InputFunctions.Utility_DisplayArrayInTable(Fertiliser_SourceData.Fertiliser_Products_Data3(), FertiliserProducts[[#Headers],[Company]],61)</f>
        <v/>
      </c>
      <c r="AC151" s="200" t="str" cm="1">
        <f t="array" ref="AC151">Common_InputFunctions.Utility_DisplayArrayInTable(Fertiliser_SourceData.Fertiliser_Products_Data3(), FertiliserProducts[[#Headers],[Company]],61)</f>
        <v/>
      </c>
      <c r="AD151" s="200" t="str" cm="1">
        <f t="array" ref="AD151">Common_InputFunctions.Utility_DisplayArrayInTable(Fertiliser_SourceData.Fertiliser_Products_Data3(), FertiliserProducts[[#Headers],[Company]],61)</f>
        <v/>
      </c>
      <c r="AE151" s="200" t="str" cm="1">
        <f t="array" ref="AE151">Common_InputFunctions.Utility_DisplayArrayInTable(Fertiliser_SourceData.Fertiliser_Products_Data3(), FertiliserProducts[[#Headers],[Company]],61)</f>
        <v/>
      </c>
      <c r="AF151" s="200" t="str" cm="1">
        <f t="array" ref="AF151">Common_InputFunctions.Utility_DisplayArrayInTable(Fertiliser_SourceData.Fertiliser_Products_Data3(), FertiliserProducts[[#Headers],[Company]],61)</f>
        <v/>
      </c>
      <c r="AG151" s="200" t="str" cm="1">
        <f t="array" ref="AG151">Common_InputFunctions.Utility_DisplayArrayInTable(Fertiliser_SourceData.Fertiliser_Products_Data3(), FertiliserProducts[[#Headers],[Company]],61)</f>
        <v/>
      </c>
      <c r="AH151" s="200"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200" t="str" cm="1">
        <f t="array" ref="D152">Common_InputFunctions.Utility_DisplayArrayInTable(Fertiliser_SourceData.Fertiliser_Products_Data3(), FertiliserProducts[[#Headers],[Company]],61)</f>
        <v>Campbells fertilisers Australia</v>
      </c>
      <c r="E152" s="200" t="str" cm="1">
        <f t="array" ref="E152">Common_InputFunctions.Utility_DisplayArrayInTable(Fertiliser_SourceData.Fertiliser_Products_Data3(), FertiliserProducts[[#Headers],[Company]],61)</f>
        <v>Solu-MAP</v>
      </c>
      <c r="F152" s="200" t="str" cm="1">
        <f t="array" ref="F152">Common_InputFunctions.Utility_DisplayArrayInTable(Fertiliser_SourceData.Fertiliser_Products_Data3(), FertiliserProducts[[#Headers],[Company]],61)</f>
        <v>kg</v>
      </c>
      <c r="G152" s="200" cm="1">
        <f t="array" ref="G152">Common_InputFunctions.Utility_DisplayArrayInTable(Fertiliser_SourceData.Fertiliser_Products_Data3(), FertiliserProducts[[#Headers],[Company]],61)</f>
        <v>1</v>
      </c>
      <c r="H152" s="200" t="str" cm="1">
        <f t="array" ref="H152">Common_InputFunctions.Utility_DisplayArrayInTable(Fertiliser_SourceData.Fertiliser_Products_Data3(), FertiliserProducts[[#Headers],[Company]],61)</f>
        <v/>
      </c>
      <c r="I152" s="200" t="str" cm="1">
        <f t="array" ref="I152">Common_InputFunctions.Utility_DisplayArrayInTable(Fertiliser_SourceData.Fertiliser_Products_Data3(), FertiliserProducts[[#Headers],[Company]],61)</f>
        <v/>
      </c>
      <c r="J152" s="200" t="str" cm="1">
        <f t="array" ref="J152">Common_InputFunctions.Utility_DisplayArrayInTable(Fertiliser_SourceData.Fertiliser_Products_Data3(), FertiliserProducts[[#Headers],[Company]],61)</f>
        <v/>
      </c>
      <c r="K152" s="200" cm="1">
        <f t="array" ref="K152">Common_InputFunctions.Utility_DisplayArrayInTable(Fertiliser_SourceData.Fertiliser_Products_Data3(), FertiliserProducts[[#Headers],[Company]],61)</f>
        <v>10</v>
      </c>
      <c r="L152" s="200" cm="1">
        <f t="array" ref="L152">Common_InputFunctions.Utility_DisplayArrayInTable(Fertiliser_SourceData.Fertiliser_Products_Data3(), FertiliserProducts[[#Headers],[Company]],61)</f>
        <v>21.9</v>
      </c>
      <c r="M152" s="200" t="str" cm="1">
        <f t="array" ref="M152">Common_InputFunctions.Utility_DisplayArrayInTable(Fertiliser_SourceData.Fertiliser_Products_Data3(), FertiliserProducts[[#Headers],[Company]],61)</f>
        <v/>
      </c>
      <c r="N152" s="200" t="str" cm="1">
        <f t="array" ref="N152">Common_InputFunctions.Utility_DisplayArrayInTable(Fertiliser_SourceData.Fertiliser_Products_Data3(), FertiliserProducts[[#Headers],[Company]],61)</f>
        <v/>
      </c>
      <c r="O152" s="200" t="str" cm="1">
        <f t="array" ref="O152">Common_InputFunctions.Utility_DisplayArrayInTable(Fertiliser_SourceData.Fertiliser_Products_Data3(), FertiliserProducts[[#Headers],[Company]],61)</f>
        <v>Monoammonium phosphate (MAP)</v>
      </c>
      <c r="P152" s="200" cm="1">
        <f t="array" ref="P152">Common_InputFunctions.Utility_DisplayArrayInTable(Fertiliser_SourceData.Fertiliser_Products_Data3(), FertiliserProducts[[#Headers],[Company]],61)</f>
        <v>1</v>
      </c>
      <c r="Q152" s="200" t="str" cm="1">
        <f t="array" ref="Q152">Common_InputFunctions.Utility_DisplayArrayInTable(Fertiliser_SourceData.Fertiliser_Products_Data3(), FertiliserProducts[[#Headers],[Company]],61)</f>
        <v/>
      </c>
      <c r="R152" s="200" t="str" cm="1">
        <f t="array" ref="R152">Common_InputFunctions.Utility_DisplayArrayInTable(Fertiliser_SourceData.Fertiliser_Products_Data3(), FertiliserProducts[[#Headers],[Company]],61)</f>
        <v/>
      </c>
      <c r="S152" s="200" t="str" cm="1">
        <f t="array" ref="S152">Common_InputFunctions.Utility_DisplayArrayInTable(Fertiliser_SourceData.Fertiliser_Products_Data3(), FertiliserProducts[[#Headers],[Company]],61)</f>
        <v/>
      </c>
      <c r="T152" s="200" t="str" cm="1">
        <f t="array" ref="T152">Common_InputFunctions.Utility_DisplayArrayInTable(Fertiliser_SourceData.Fertiliser_Products_Data3(), FertiliserProducts[[#Headers],[Company]],61)</f>
        <v/>
      </c>
      <c r="U152" s="200" t="str" cm="1">
        <f t="array" ref="U152">Common_InputFunctions.Utility_DisplayArrayInTable(Fertiliser_SourceData.Fertiliser_Products_Data3(), FertiliserProducts[[#Headers],[Company]],61)</f>
        <v/>
      </c>
      <c r="V152" s="200" t="str" cm="1">
        <f t="array" ref="V152">Common_InputFunctions.Utility_DisplayArrayInTable(Fertiliser_SourceData.Fertiliser_Products_Data3(), FertiliserProducts[[#Headers],[Company]],61)</f>
        <v/>
      </c>
      <c r="W152" s="200" t="str" cm="1">
        <f t="array" ref="W152">Common_InputFunctions.Utility_DisplayArrayInTable(Fertiliser_SourceData.Fertiliser_Products_Data3(), FertiliserProducts[[#Headers],[Company]],61)</f>
        <v/>
      </c>
      <c r="X152" s="200" t="str" cm="1">
        <f t="array" ref="X152">Common_InputFunctions.Utility_DisplayArrayInTable(Fertiliser_SourceData.Fertiliser_Products_Data3(), FertiliserProducts[[#Headers],[Company]],61)</f>
        <v/>
      </c>
      <c r="Y152" s="200" t="str" cm="1">
        <f t="array" ref="Y152">Common_InputFunctions.Utility_DisplayArrayInTable(Fertiliser_SourceData.Fertiliser_Products_Data3(), FertiliserProducts[[#Headers],[Company]],61)</f>
        <v/>
      </c>
      <c r="Z152" s="200" t="str" cm="1">
        <f t="array" ref="Z152">Common_InputFunctions.Utility_DisplayArrayInTable(Fertiliser_SourceData.Fertiliser_Products_Data3(), FertiliserProducts[[#Headers],[Company]],61)</f>
        <v/>
      </c>
      <c r="AA152" s="200" t="str" cm="1">
        <f t="array" ref="AA152">Common_InputFunctions.Utility_DisplayArrayInTable(Fertiliser_SourceData.Fertiliser_Products_Data3(), FertiliserProducts[[#Headers],[Company]],61)</f>
        <v/>
      </c>
      <c r="AB152" s="200" t="str" cm="1">
        <f t="array" ref="AB152">Common_InputFunctions.Utility_DisplayArrayInTable(Fertiliser_SourceData.Fertiliser_Products_Data3(), FertiliserProducts[[#Headers],[Company]],61)</f>
        <v/>
      </c>
      <c r="AC152" s="200" t="str" cm="1">
        <f t="array" ref="AC152">Common_InputFunctions.Utility_DisplayArrayInTable(Fertiliser_SourceData.Fertiliser_Products_Data3(), FertiliserProducts[[#Headers],[Company]],61)</f>
        <v/>
      </c>
      <c r="AD152" s="200" t="str" cm="1">
        <f t="array" ref="AD152">Common_InputFunctions.Utility_DisplayArrayInTable(Fertiliser_SourceData.Fertiliser_Products_Data3(), FertiliserProducts[[#Headers],[Company]],61)</f>
        <v/>
      </c>
      <c r="AE152" s="200" t="str" cm="1">
        <f t="array" ref="AE152">Common_InputFunctions.Utility_DisplayArrayInTable(Fertiliser_SourceData.Fertiliser_Products_Data3(), FertiliserProducts[[#Headers],[Company]],61)</f>
        <v/>
      </c>
      <c r="AF152" s="200" t="str" cm="1">
        <f t="array" ref="AF152">Common_InputFunctions.Utility_DisplayArrayInTable(Fertiliser_SourceData.Fertiliser_Products_Data3(), FertiliserProducts[[#Headers],[Company]],61)</f>
        <v/>
      </c>
      <c r="AG152" s="200" t="str" cm="1">
        <f t="array" ref="AG152">Common_InputFunctions.Utility_DisplayArrayInTable(Fertiliser_SourceData.Fertiliser_Products_Data3(), FertiliserProducts[[#Headers],[Company]],61)</f>
        <v/>
      </c>
      <c r="AH152" s="200"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200" t="str" cm="1">
        <f t="array" ref="D153">Common_InputFunctions.Utility_DisplayArrayInTable(Fertiliser_SourceData.Fertiliser_Products_Data3(), FertiliserProducts[[#Headers],[Company]],61)</f>
        <v>Campbells fertilisers Australia</v>
      </c>
      <c r="E153" s="200" t="str" cm="1">
        <f t="array" ref="E153">Common_InputFunctions.Utility_DisplayArrayInTable(Fertiliser_SourceData.Fertiliser_Products_Data3(), FertiliserProducts[[#Headers],[Company]],61)</f>
        <v>Solu-Sam</v>
      </c>
      <c r="F153" s="200" t="str" cm="1">
        <f t="array" ref="F153">Common_InputFunctions.Utility_DisplayArrayInTable(Fertiliser_SourceData.Fertiliser_Products_Data3(), FertiliserProducts[[#Headers],[Company]],61)</f>
        <v>kg</v>
      </c>
      <c r="G153" s="200" cm="1">
        <f t="array" ref="G153">Common_InputFunctions.Utility_DisplayArrayInTable(Fertiliser_SourceData.Fertiliser_Products_Data3(), FertiliserProducts[[#Headers],[Company]],61)</f>
        <v>1</v>
      </c>
      <c r="H153" s="200" t="str" cm="1">
        <f t="array" ref="H153">Common_InputFunctions.Utility_DisplayArrayInTable(Fertiliser_SourceData.Fertiliser_Products_Data3(), FertiliserProducts[[#Headers],[Company]],61)</f>
        <v/>
      </c>
      <c r="I153" s="200" t="str" cm="1">
        <f t="array" ref="I153">Common_InputFunctions.Utility_DisplayArrayInTable(Fertiliser_SourceData.Fertiliser_Products_Data3(), FertiliserProducts[[#Headers],[Company]],61)</f>
        <v/>
      </c>
      <c r="J153" s="200" t="str" cm="1">
        <f t="array" ref="J153">Common_InputFunctions.Utility_DisplayArrayInTable(Fertiliser_SourceData.Fertiliser_Products_Data3(), FertiliserProducts[[#Headers],[Company]],61)</f>
        <v/>
      </c>
      <c r="K153" s="200" cm="1">
        <f t="array" ref="K153">Common_InputFunctions.Utility_DisplayArrayInTable(Fertiliser_SourceData.Fertiliser_Products_Data3(), FertiliserProducts[[#Headers],[Company]],61)</f>
        <v>21</v>
      </c>
      <c r="L153" s="200" t="str" cm="1">
        <f t="array" ref="L153">Common_InputFunctions.Utility_DisplayArrayInTable(Fertiliser_SourceData.Fertiliser_Products_Data3(), FertiliserProducts[[#Headers],[Company]],61)</f>
        <v/>
      </c>
      <c r="M153" s="200" t="str" cm="1">
        <f t="array" ref="M153">Common_InputFunctions.Utility_DisplayArrayInTable(Fertiliser_SourceData.Fertiliser_Products_Data3(), FertiliserProducts[[#Headers],[Company]],61)</f>
        <v/>
      </c>
      <c r="N153" s="200" cm="1">
        <f t="array" ref="N153">Common_InputFunctions.Utility_DisplayArrayInTable(Fertiliser_SourceData.Fertiliser_Products_Data3(), FertiliserProducts[[#Headers],[Company]],61)</f>
        <v>24</v>
      </c>
      <c r="O153" s="200" t="str" cm="1">
        <f t="array" ref="O153">Common_InputFunctions.Utility_DisplayArrayInTable(Fertiliser_SourceData.Fertiliser_Products_Data3(), FertiliserProducts[[#Headers],[Company]],61)</f>
        <v>Sulphate of ammonia (SOA)</v>
      </c>
      <c r="P153" s="200" cm="1">
        <f t="array" ref="P153">Common_InputFunctions.Utility_DisplayArrayInTable(Fertiliser_SourceData.Fertiliser_Products_Data3(), FertiliserProducts[[#Headers],[Company]],61)</f>
        <v>1</v>
      </c>
      <c r="Q153" s="200" t="str" cm="1">
        <f t="array" ref="Q153">Common_InputFunctions.Utility_DisplayArrayInTable(Fertiliser_SourceData.Fertiliser_Products_Data3(), FertiliserProducts[[#Headers],[Company]],61)</f>
        <v/>
      </c>
      <c r="R153" s="200" t="str" cm="1">
        <f t="array" ref="R153">Common_InputFunctions.Utility_DisplayArrayInTable(Fertiliser_SourceData.Fertiliser_Products_Data3(), FertiliserProducts[[#Headers],[Company]],61)</f>
        <v/>
      </c>
      <c r="S153" s="200" t="str" cm="1">
        <f t="array" ref="S153">Common_InputFunctions.Utility_DisplayArrayInTable(Fertiliser_SourceData.Fertiliser_Products_Data3(), FertiliserProducts[[#Headers],[Company]],61)</f>
        <v/>
      </c>
      <c r="T153" s="200" t="str" cm="1">
        <f t="array" ref="T153">Common_InputFunctions.Utility_DisplayArrayInTable(Fertiliser_SourceData.Fertiliser_Products_Data3(), FertiliserProducts[[#Headers],[Company]],61)</f>
        <v/>
      </c>
      <c r="U153" s="200" t="str" cm="1">
        <f t="array" ref="U153">Common_InputFunctions.Utility_DisplayArrayInTable(Fertiliser_SourceData.Fertiliser_Products_Data3(), FertiliserProducts[[#Headers],[Company]],61)</f>
        <v/>
      </c>
      <c r="V153" s="200" t="str" cm="1">
        <f t="array" ref="V153">Common_InputFunctions.Utility_DisplayArrayInTable(Fertiliser_SourceData.Fertiliser_Products_Data3(), FertiliserProducts[[#Headers],[Company]],61)</f>
        <v/>
      </c>
      <c r="W153" s="200" t="str" cm="1">
        <f t="array" ref="W153">Common_InputFunctions.Utility_DisplayArrayInTable(Fertiliser_SourceData.Fertiliser_Products_Data3(), FertiliserProducts[[#Headers],[Company]],61)</f>
        <v/>
      </c>
      <c r="X153" s="200" t="str" cm="1">
        <f t="array" ref="X153">Common_InputFunctions.Utility_DisplayArrayInTable(Fertiliser_SourceData.Fertiliser_Products_Data3(), FertiliserProducts[[#Headers],[Company]],61)</f>
        <v/>
      </c>
      <c r="Y153" s="200" t="str" cm="1">
        <f t="array" ref="Y153">Common_InputFunctions.Utility_DisplayArrayInTable(Fertiliser_SourceData.Fertiliser_Products_Data3(), FertiliserProducts[[#Headers],[Company]],61)</f>
        <v/>
      </c>
      <c r="Z153" s="200" t="str" cm="1">
        <f t="array" ref="Z153">Common_InputFunctions.Utility_DisplayArrayInTable(Fertiliser_SourceData.Fertiliser_Products_Data3(), FertiliserProducts[[#Headers],[Company]],61)</f>
        <v/>
      </c>
      <c r="AA153" s="200" t="str" cm="1">
        <f t="array" ref="AA153">Common_InputFunctions.Utility_DisplayArrayInTable(Fertiliser_SourceData.Fertiliser_Products_Data3(), FertiliserProducts[[#Headers],[Company]],61)</f>
        <v/>
      </c>
      <c r="AB153" s="200" t="str" cm="1">
        <f t="array" ref="AB153">Common_InputFunctions.Utility_DisplayArrayInTable(Fertiliser_SourceData.Fertiliser_Products_Data3(), FertiliserProducts[[#Headers],[Company]],61)</f>
        <v/>
      </c>
      <c r="AC153" s="200" t="str" cm="1">
        <f t="array" ref="AC153">Common_InputFunctions.Utility_DisplayArrayInTable(Fertiliser_SourceData.Fertiliser_Products_Data3(), FertiliserProducts[[#Headers],[Company]],61)</f>
        <v/>
      </c>
      <c r="AD153" s="200" t="str" cm="1">
        <f t="array" ref="AD153">Common_InputFunctions.Utility_DisplayArrayInTable(Fertiliser_SourceData.Fertiliser_Products_Data3(), FertiliserProducts[[#Headers],[Company]],61)</f>
        <v/>
      </c>
      <c r="AE153" s="200" t="str" cm="1">
        <f t="array" ref="AE153">Common_InputFunctions.Utility_DisplayArrayInTable(Fertiliser_SourceData.Fertiliser_Products_Data3(), FertiliserProducts[[#Headers],[Company]],61)</f>
        <v/>
      </c>
      <c r="AF153" s="200" t="str" cm="1">
        <f t="array" ref="AF153">Common_InputFunctions.Utility_DisplayArrayInTable(Fertiliser_SourceData.Fertiliser_Products_Data3(), FertiliserProducts[[#Headers],[Company]],61)</f>
        <v/>
      </c>
      <c r="AG153" s="200" t="str" cm="1">
        <f t="array" ref="AG153">Common_InputFunctions.Utility_DisplayArrayInTable(Fertiliser_SourceData.Fertiliser_Products_Data3(), FertiliserProducts[[#Headers],[Company]],61)</f>
        <v/>
      </c>
      <c r="AH153" s="200"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200" t="str" cm="1">
        <f t="array" ref="D154">Common_InputFunctions.Utility_DisplayArrayInTable(Fertiliser_SourceData.Fertiliser_Products_Data3(), FertiliserProducts[[#Headers],[Company]],61)</f>
        <v>Campbells fertilisers Australia</v>
      </c>
      <c r="E154" s="200" t="str" cm="1">
        <f t="array" ref="E154">Common_InputFunctions.Utility_DisplayArrayInTable(Fertiliser_SourceData.Fertiliser_Products_Data3(), FertiliserProducts[[#Headers],[Company]],61)</f>
        <v>Rustica Plus</v>
      </c>
      <c r="F154" s="200" t="str" cm="1">
        <f t="array" ref="F154">Common_InputFunctions.Utility_DisplayArrayInTable(Fertiliser_SourceData.Fertiliser_Products_Data3(), FertiliserProducts[[#Headers],[Company]],61)</f>
        <v>kg</v>
      </c>
      <c r="G154" s="200" cm="1">
        <f t="array" ref="G154">Common_InputFunctions.Utility_DisplayArrayInTable(Fertiliser_SourceData.Fertiliser_Products_Data3(), FertiliserProducts[[#Headers],[Company]],61)</f>
        <v>1</v>
      </c>
      <c r="H154" s="200" t="str" cm="1">
        <f t="array" ref="H154">Common_InputFunctions.Utility_DisplayArrayInTable(Fertiliser_SourceData.Fertiliser_Products_Data3(), FertiliserProducts[[#Headers],[Company]],61)</f>
        <v/>
      </c>
      <c r="I154" s="200" t="str" cm="1">
        <f t="array" ref="I154">Common_InputFunctions.Utility_DisplayArrayInTable(Fertiliser_SourceData.Fertiliser_Products_Data3(), FertiliserProducts[[#Headers],[Company]],61)</f>
        <v/>
      </c>
      <c r="J154" s="200" t="str" cm="1">
        <f t="array" ref="J154">Common_InputFunctions.Utility_DisplayArrayInTable(Fertiliser_SourceData.Fertiliser_Products_Data3(), FertiliserProducts[[#Headers],[Company]],61)</f>
        <v/>
      </c>
      <c r="K154" s="200" cm="1">
        <f t="array" ref="K154">Common_InputFunctions.Utility_DisplayArrayInTable(Fertiliser_SourceData.Fertiliser_Products_Data3(), FertiliserProducts[[#Headers],[Company]],61)</f>
        <v>12</v>
      </c>
      <c r="L154" s="200" cm="1">
        <f t="array" ref="L154">Common_InputFunctions.Utility_DisplayArrayInTable(Fertiliser_SourceData.Fertiliser_Products_Data3(), FertiliserProducts[[#Headers],[Company]],61)</f>
        <v>5</v>
      </c>
      <c r="M154" s="200" cm="1">
        <f t="array" ref="M154">Common_InputFunctions.Utility_DisplayArrayInTable(Fertiliser_SourceData.Fertiliser_Products_Data3(), FertiliserProducts[[#Headers],[Company]],61)</f>
        <v>14</v>
      </c>
      <c r="N154" s="200" cm="1">
        <f t="array" ref="N154">Common_InputFunctions.Utility_DisplayArrayInTable(Fertiliser_SourceData.Fertiliser_Products_Data3(), FertiliserProducts[[#Headers],[Company]],61)</f>
        <v>9.6999999999999993</v>
      </c>
      <c r="O154" s="200" t="str" cm="1">
        <f t="array" ref="O154">Common_InputFunctions.Utility_DisplayArrayInTable(Fertiliser_SourceData.Fertiliser_Products_Data3(), FertiliserProducts[[#Headers],[Company]],61)</f>
        <v>Potassium - Generic</v>
      </c>
      <c r="P154" s="200" cm="1">
        <f t="array" ref="P154">Common_InputFunctions.Utility_DisplayArrayInTable(Fertiliser_SourceData.Fertiliser_Products_Data3(), FertiliserProducts[[#Headers],[Company]],61)</f>
        <v>0.14000000000000001</v>
      </c>
      <c r="Q154" s="200" t="str" cm="1">
        <f t="array" ref="Q154">Common_InputFunctions.Utility_DisplayArrayInTable(Fertiliser_SourceData.Fertiliser_Products_Data3(), FertiliserProducts[[#Headers],[Company]],61)</f>
        <v>Sulfur - Generic</v>
      </c>
      <c r="R154" s="200" cm="1">
        <f t="array" ref="R154">Common_InputFunctions.Utility_DisplayArrayInTable(Fertiliser_SourceData.Fertiliser_Products_Data3(), FertiliserProducts[[#Headers],[Company]],61)</f>
        <v>9.7000000000000003E-2</v>
      </c>
      <c r="S154" s="200" t="str" cm="1">
        <f t="array" ref="S154">Common_InputFunctions.Utility_DisplayArrayInTable(Fertiliser_SourceData.Fertiliser_Products_Data3(), FertiliserProducts[[#Headers],[Company]],61)</f>
        <v>Nitrogen - Nitrate</v>
      </c>
      <c r="T154" s="200" cm="1">
        <f t="array" ref="T154">Common_InputFunctions.Utility_DisplayArrayInTable(Fertiliser_SourceData.Fertiliser_Products_Data3(), FertiliserProducts[[#Headers],[Company]],61)</f>
        <v>0.06</v>
      </c>
      <c r="U154" s="200" t="str" cm="1">
        <f t="array" ref="U154">Common_InputFunctions.Utility_DisplayArrayInTable(Fertiliser_SourceData.Fertiliser_Products_Data3(), FertiliserProducts[[#Headers],[Company]],61)</f>
        <v>Nitrogen - Ammoniacal</v>
      </c>
      <c r="V154" s="200" cm="1">
        <f t="array" ref="V154">Common_InputFunctions.Utility_DisplayArrayInTable(Fertiliser_SourceData.Fertiliser_Products_Data3(), FertiliserProducts[[#Headers],[Company]],61)</f>
        <v>0.06</v>
      </c>
      <c r="W154" s="200" t="str" cm="1">
        <f t="array" ref="W154">Common_InputFunctions.Utility_DisplayArrayInTable(Fertiliser_SourceData.Fertiliser_Products_Data3(), FertiliserProducts[[#Headers],[Company]],61)</f>
        <v>Phosphorus - Generic</v>
      </c>
      <c r="X154" s="200" cm="1">
        <f t="array" ref="X154">Common_InputFunctions.Utility_DisplayArrayInTable(Fertiliser_SourceData.Fertiliser_Products_Data3(), FertiliserProducts[[#Headers],[Company]],61)</f>
        <v>0.05</v>
      </c>
      <c r="Y154" s="200" t="str" cm="1">
        <f t="array" ref="Y154">Common_InputFunctions.Utility_DisplayArrayInTable(Fertiliser_SourceData.Fertiliser_Products_Data3(), FertiliserProducts[[#Headers],[Company]],61)</f>
        <v>Calcium</v>
      </c>
      <c r="Z154" s="200" cm="1">
        <f t="array" ref="Z154">Common_InputFunctions.Utility_DisplayArrayInTable(Fertiliser_SourceData.Fertiliser_Products_Data3(), FertiliserProducts[[#Headers],[Company]],61)</f>
        <v>3.1E-2</v>
      </c>
      <c r="AA154" s="200" t="str" cm="1">
        <f t="array" ref="AA154">Common_InputFunctions.Utility_DisplayArrayInTable(Fertiliser_SourceData.Fertiliser_Products_Data3(), FertiliserProducts[[#Headers],[Company]],61)</f>
        <v>Magnesium</v>
      </c>
      <c r="AB154" s="200" cm="1">
        <f t="array" ref="AB154">Common_InputFunctions.Utility_DisplayArrayInTable(Fertiliser_SourceData.Fertiliser_Products_Data3(), FertiliserProducts[[#Headers],[Company]],61)</f>
        <v>1.2E-2</v>
      </c>
      <c r="AC154" s="200" t="str" cm="1">
        <f t="array" ref="AC154">Common_InputFunctions.Utility_DisplayArrayInTable(Fertiliser_SourceData.Fertiliser_Products_Data3(), FertiliserProducts[[#Headers],[Company]],61)</f>
        <v>Zinc</v>
      </c>
      <c r="AD154" s="200" cm="1">
        <f t="array" ref="AD154">Common_InputFunctions.Utility_DisplayArrayInTable(Fertiliser_SourceData.Fertiliser_Products_Data3(), FertiliserProducts[[#Headers],[Company]],61)</f>
        <v>1E-3</v>
      </c>
      <c r="AE154" s="200" t="str" cm="1">
        <f t="array" ref="AE154">Common_InputFunctions.Utility_DisplayArrayInTable(Fertiliser_SourceData.Fertiliser_Products_Data3(), FertiliserProducts[[#Headers],[Company]],61)</f>
        <v>Boron</v>
      </c>
      <c r="AF154" s="200" cm="1">
        <f t="array" ref="AF154">Common_InputFunctions.Utility_DisplayArrayInTable(Fertiliser_SourceData.Fertiliser_Products_Data3(), FertiliserProducts[[#Headers],[Company]],61)</f>
        <v>2.0000000000000001E-4</v>
      </c>
      <c r="AG154" s="200" t="str" cm="1">
        <f t="array" ref="AG154">Common_InputFunctions.Utility_DisplayArrayInTable(Fertiliser_SourceData.Fertiliser_Products_Data3(), FertiliserProducts[[#Headers],[Company]],61)</f>
        <v/>
      </c>
      <c r="AH154" s="200" t="str" cm="1">
        <f t="array" ref="AH154">Common_InputFunctions.Utility_DisplayArrayInTable(Fertiliser_SourceData.Fertiliser_Products_Data3(), FertiliserProducts[[#Headers],[Company]],61)</f>
        <v/>
      </c>
      <c r="AK154" s="1"/>
    </row>
    <row r="155" spans="4:39" ht="20.100000000000001" customHeight="1" x14ac:dyDescent="0.25">
      <c r="D155" s="200" t="str" cm="1">
        <f t="array" ref="D155">Common_InputFunctions.Utility_DisplayArrayInTable(Fertiliser_SourceData.Fertiliser_Products_Data3(), FertiliserProducts[[#Headers],[Company]],61)</f>
        <v>Campbells fertilisers Australia</v>
      </c>
      <c r="E155" s="200" t="str" cm="1">
        <f t="array" ref="E155">Common_InputFunctions.Utility_DisplayArrayInTable(Fertiliser_SourceData.Fertiliser_Products_Data3(), FertiliserProducts[[#Headers],[Company]],61)</f>
        <v>Platinum Plus</v>
      </c>
      <c r="F155" s="200" t="str" cm="1">
        <f t="array" ref="F155">Common_InputFunctions.Utility_DisplayArrayInTable(Fertiliser_SourceData.Fertiliser_Products_Data3(), FertiliserProducts[[#Headers],[Company]],61)</f>
        <v>kg</v>
      </c>
      <c r="G155" s="200" cm="1">
        <f t="array" ref="G155">Common_InputFunctions.Utility_DisplayArrayInTable(Fertiliser_SourceData.Fertiliser_Products_Data3(), FertiliserProducts[[#Headers],[Company]],61)</f>
        <v>1</v>
      </c>
      <c r="H155" s="200" t="str" cm="1">
        <f t="array" ref="H155">Common_InputFunctions.Utility_DisplayArrayInTable(Fertiliser_SourceData.Fertiliser_Products_Data3(), FertiliserProducts[[#Headers],[Company]],61)</f>
        <v/>
      </c>
      <c r="I155" s="200" t="str" cm="1">
        <f t="array" ref="I155">Common_InputFunctions.Utility_DisplayArrayInTable(Fertiliser_SourceData.Fertiliser_Products_Data3(), FertiliserProducts[[#Headers],[Company]],61)</f>
        <v/>
      </c>
      <c r="J155" s="200" t="str" cm="1">
        <f t="array" ref="J155">Common_InputFunctions.Utility_DisplayArrayInTable(Fertiliser_SourceData.Fertiliser_Products_Data3(), FertiliserProducts[[#Headers],[Company]],61)</f>
        <v/>
      </c>
      <c r="K155" s="200" cm="1">
        <f t="array" ref="K155">Common_InputFunctions.Utility_DisplayArrayInTable(Fertiliser_SourceData.Fertiliser_Products_Data3(), FertiliserProducts[[#Headers],[Company]],61)</f>
        <v>10</v>
      </c>
      <c r="L155" s="200" cm="1">
        <f t="array" ref="L155">Common_InputFunctions.Utility_DisplayArrayInTable(Fertiliser_SourceData.Fertiliser_Products_Data3(), FertiliserProducts[[#Headers],[Company]],61)</f>
        <v>11</v>
      </c>
      <c r="M155" s="200" cm="1">
        <f t="array" ref="M155">Common_InputFunctions.Utility_DisplayArrayInTable(Fertiliser_SourceData.Fertiliser_Products_Data3(), FertiliserProducts[[#Headers],[Company]],61)</f>
        <v>10</v>
      </c>
      <c r="N155" s="200" cm="1">
        <f t="array" ref="N155">Common_InputFunctions.Utility_DisplayArrayInTable(Fertiliser_SourceData.Fertiliser_Products_Data3(), FertiliserProducts[[#Headers],[Company]],61)</f>
        <v>6</v>
      </c>
      <c r="O155" s="200" t="str" cm="1">
        <f t="array" ref="O155">Common_InputFunctions.Utility_DisplayArrayInTable(Fertiliser_SourceData.Fertiliser_Products_Data3(), FertiliserProducts[[#Headers],[Company]],61)</f>
        <v>Phosphorus - Generic</v>
      </c>
      <c r="P155" s="200" cm="1">
        <f t="array" ref="P155">Common_InputFunctions.Utility_DisplayArrayInTable(Fertiliser_SourceData.Fertiliser_Products_Data3(), FertiliserProducts[[#Headers],[Company]],61)</f>
        <v>0.11</v>
      </c>
      <c r="Q155" s="200" t="str" cm="1">
        <f t="array" ref="Q155">Common_InputFunctions.Utility_DisplayArrayInTable(Fertiliser_SourceData.Fertiliser_Products_Data3(), FertiliserProducts[[#Headers],[Company]],61)</f>
        <v>Potassium - Generic</v>
      </c>
      <c r="R155" s="200" cm="1">
        <f t="array" ref="R155">Common_InputFunctions.Utility_DisplayArrayInTable(Fertiliser_SourceData.Fertiliser_Products_Data3(), FertiliserProducts[[#Headers],[Company]],61)</f>
        <v>0.1</v>
      </c>
      <c r="S155" s="200" t="str" cm="1">
        <f t="array" ref="S155">Common_InputFunctions.Utility_DisplayArrayInTable(Fertiliser_SourceData.Fertiliser_Products_Data3(), FertiliserProducts[[#Headers],[Company]],61)</f>
        <v>Sulfur - Generic</v>
      </c>
      <c r="T155" s="200" cm="1">
        <f t="array" ref="T155">Common_InputFunctions.Utility_DisplayArrayInTable(Fertiliser_SourceData.Fertiliser_Products_Data3(), FertiliserProducts[[#Headers],[Company]],61)</f>
        <v>0.06</v>
      </c>
      <c r="U155" s="200" t="str" cm="1">
        <f t="array" ref="U155">Common_InputFunctions.Utility_DisplayArrayInTable(Fertiliser_SourceData.Fertiliser_Products_Data3(), FertiliserProducts[[#Headers],[Company]],61)</f>
        <v>Nitrogen - Nitrate</v>
      </c>
      <c r="V155" s="200" cm="1">
        <f t="array" ref="V155">Common_InputFunctions.Utility_DisplayArrayInTable(Fertiliser_SourceData.Fertiliser_Products_Data3(), FertiliserProducts[[#Headers],[Company]],61)</f>
        <v>0.05</v>
      </c>
      <c r="W155" s="200" t="str" cm="1">
        <f t="array" ref="W155">Common_InputFunctions.Utility_DisplayArrayInTable(Fertiliser_SourceData.Fertiliser_Products_Data3(), FertiliserProducts[[#Headers],[Company]],61)</f>
        <v>Nitrogen - Ammoniacal</v>
      </c>
      <c r="X155" s="200" cm="1">
        <f t="array" ref="X155">Common_InputFunctions.Utility_DisplayArrayInTable(Fertiliser_SourceData.Fertiliser_Products_Data3(), FertiliserProducts[[#Headers],[Company]],61)</f>
        <v>0.05</v>
      </c>
      <c r="Y155" s="200" t="str" cm="1">
        <f t="array" ref="Y155">Common_InputFunctions.Utility_DisplayArrayInTable(Fertiliser_SourceData.Fertiliser_Products_Data3(), FertiliserProducts[[#Headers],[Company]],61)</f>
        <v>Calcium</v>
      </c>
      <c r="Z155" s="200" cm="1">
        <f t="array" ref="Z155">Common_InputFunctions.Utility_DisplayArrayInTable(Fertiliser_SourceData.Fertiliser_Products_Data3(), FertiliserProducts[[#Headers],[Company]],61)</f>
        <v>4.2999999999999997E-2</v>
      </c>
      <c r="AA155" s="200" t="str" cm="1">
        <f t="array" ref="AA155">Common_InputFunctions.Utility_DisplayArrayInTable(Fertiliser_SourceData.Fertiliser_Products_Data3(), FertiliserProducts[[#Headers],[Company]],61)</f>
        <v>Magnesium</v>
      </c>
      <c r="AB155" s="200" cm="1">
        <f t="array" ref="AB155">Common_InputFunctions.Utility_DisplayArrayInTable(Fertiliser_SourceData.Fertiliser_Products_Data3(), FertiliserProducts[[#Headers],[Company]],61)</f>
        <v>1.2E-2</v>
      </c>
      <c r="AC155" s="200" t="str" cm="1">
        <f t="array" ref="AC155">Common_InputFunctions.Utility_DisplayArrayInTable(Fertiliser_SourceData.Fertiliser_Products_Data3(), FertiliserProducts[[#Headers],[Company]],61)</f>
        <v>Zinc</v>
      </c>
      <c r="AD155" s="200" cm="1">
        <f t="array" ref="AD155">Common_InputFunctions.Utility_DisplayArrayInTable(Fertiliser_SourceData.Fertiliser_Products_Data3(), FertiliserProducts[[#Headers],[Company]],61)</f>
        <v>3.5999999999999999E-3</v>
      </c>
      <c r="AE155" s="200" t="str" cm="1">
        <f t="array" ref="AE155">Common_InputFunctions.Utility_DisplayArrayInTable(Fertiliser_SourceData.Fertiliser_Products_Data3(), FertiliserProducts[[#Headers],[Company]],61)</f>
        <v>Boron</v>
      </c>
      <c r="AF155" s="200" cm="1">
        <f t="array" ref="AF155">Common_InputFunctions.Utility_DisplayArrayInTable(Fertiliser_SourceData.Fertiliser_Products_Data3(), FertiliserProducts[[#Headers],[Company]],61)</f>
        <v>1E-3</v>
      </c>
      <c r="AG155" s="200" t="str" cm="1">
        <f t="array" ref="AG155">Common_InputFunctions.Utility_DisplayArrayInTable(Fertiliser_SourceData.Fertiliser_Products_Data3(), FertiliserProducts[[#Headers],[Company]],61)</f>
        <v/>
      </c>
      <c r="AH155" s="200" t="str" cm="1">
        <f t="array" ref="AH155">Common_InputFunctions.Utility_DisplayArrayInTable(Fertiliser_SourceData.Fertiliser_Products_Data3(), FertiliserProducts[[#Headers],[Company]],61)</f>
        <v/>
      </c>
      <c r="AK155" s="1"/>
    </row>
    <row r="156" spans="4:39" ht="20.100000000000001" customHeight="1" x14ac:dyDescent="0.25">
      <c r="D156" s="200" t="str" cm="1">
        <f t="array" ref="D156">Common_InputFunctions.Utility_DisplayArrayInTable(Fertiliser_SourceData.Fertiliser_Products_Data3(), FertiliserProducts[[#Headers],[Company]],61)</f>
        <v>Campbells fertilisers Australia</v>
      </c>
      <c r="E156" s="200" t="str" cm="1">
        <f t="array" ref="E156">Common_InputFunctions.Utility_DisplayArrayInTable(Fertiliser_SourceData.Fertiliser_Products_Data3(), FertiliserProducts[[#Headers],[Company]],61)</f>
        <v>Tropika</v>
      </c>
      <c r="F156" s="200" t="str" cm="1">
        <f t="array" ref="F156">Common_InputFunctions.Utility_DisplayArrayInTable(Fertiliser_SourceData.Fertiliser_Products_Data3(), FertiliserProducts[[#Headers],[Company]],61)</f>
        <v>kg</v>
      </c>
      <c r="G156" s="200" cm="1">
        <f t="array" ref="G156">Common_InputFunctions.Utility_DisplayArrayInTable(Fertiliser_SourceData.Fertiliser_Products_Data3(), FertiliserProducts[[#Headers],[Company]],61)</f>
        <v>1</v>
      </c>
      <c r="H156" s="200" t="str" cm="1">
        <f t="array" ref="H156">Common_InputFunctions.Utility_DisplayArrayInTable(Fertiliser_SourceData.Fertiliser_Products_Data3(), FertiliserProducts[[#Headers],[Company]],61)</f>
        <v/>
      </c>
      <c r="I156" s="200" t="str" cm="1">
        <f t="array" ref="I156">Common_InputFunctions.Utility_DisplayArrayInTable(Fertiliser_SourceData.Fertiliser_Products_Data3(), FertiliserProducts[[#Headers],[Company]],61)</f>
        <v/>
      </c>
      <c r="J156" s="200" t="str" cm="1">
        <f t="array" ref="J156">Common_InputFunctions.Utility_DisplayArrayInTable(Fertiliser_SourceData.Fertiliser_Products_Data3(), FertiliserProducts[[#Headers],[Company]],61)</f>
        <v/>
      </c>
      <c r="K156" s="200" cm="1">
        <f t="array" ref="K156">Common_InputFunctions.Utility_DisplayArrayInTable(Fertiliser_SourceData.Fertiliser_Products_Data3(), FertiliserProducts[[#Headers],[Company]],61)</f>
        <v>11</v>
      </c>
      <c r="L156" s="200" cm="1">
        <f t="array" ref="L156">Common_InputFunctions.Utility_DisplayArrayInTable(Fertiliser_SourceData.Fertiliser_Products_Data3(), FertiliserProducts[[#Headers],[Company]],61)</f>
        <v>2.6</v>
      </c>
      <c r="M156" s="200" cm="1">
        <f t="array" ref="M156">Common_InputFunctions.Utility_DisplayArrayInTable(Fertiliser_SourceData.Fertiliser_Products_Data3(), FertiliserProducts[[#Headers],[Company]],61)</f>
        <v>20.8</v>
      </c>
      <c r="N156" s="200" cm="1">
        <f t="array" ref="N156">Common_InputFunctions.Utility_DisplayArrayInTable(Fertiliser_SourceData.Fertiliser_Products_Data3(), FertiliserProducts[[#Headers],[Company]],61)</f>
        <v>4</v>
      </c>
      <c r="O156" s="200" t="str" cm="1">
        <f t="array" ref="O156">Common_InputFunctions.Utility_DisplayArrayInTable(Fertiliser_SourceData.Fertiliser_Products_Data3(), FertiliserProducts[[#Headers],[Company]],61)</f>
        <v>Nitrogen - Nitrate</v>
      </c>
      <c r="P156" s="200" cm="1">
        <f t="array" ref="P156">Common_InputFunctions.Utility_DisplayArrayInTable(Fertiliser_SourceData.Fertiliser_Products_Data3(), FertiliserProducts[[#Headers],[Company]],61)</f>
        <v>5.5E-2</v>
      </c>
      <c r="Q156" s="200" t="str" cm="1">
        <f t="array" ref="Q156">Common_InputFunctions.Utility_DisplayArrayInTable(Fertiliser_SourceData.Fertiliser_Products_Data3(), FertiliserProducts[[#Headers],[Company]],61)</f>
        <v>Nitrogen - Ammoniacal</v>
      </c>
      <c r="R156" s="200" cm="1">
        <f t="array" ref="R156">Common_InputFunctions.Utility_DisplayArrayInTable(Fertiliser_SourceData.Fertiliser_Products_Data3(), FertiliserProducts[[#Headers],[Company]],61)</f>
        <v>5.5E-2</v>
      </c>
      <c r="S156" s="200" t="str" cm="1">
        <f t="array" ref="S156">Common_InputFunctions.Utility_DisplayArrayInTable(Fertiliser_SourceData.Fertiliser_Products_Data3(), FertiliserProducts[[#Headers],[Company]],61)</f>
        <v>Phosphorus - Generic</v>
      </c>
      <c r="T156" s="200" cm="1">
        <f t="array" ref="T156">Common_InputFunctions.Utility_DisplayArrayInTable(Fertiliser_SourceData.Fertiliser_Products_Data3(), FertiliserProducts[[#Headers],[Company]],61)</f>
        <v>2.5999999999999999E-2</v>
      </c>
      <c r="U156" s="200" t="str" cm="1">
        <f t="array" ref="U156">Common_InputFunctions.Utility_DisplayArrayInTable(Fertiliser_SourceData.Fertiliser_Products_Data3(), FertiliserProducts[[#Headers],[Company]],61)</f>
        <v>Potassium - Generic</v>
      </c>
      <c r="V156" s="200" cm="1">
        <f t="array" ref="V156">Common_InputFunctions.Utility_DisplayArrayInTable(Fertiliser_SourceData.Fertiliser_Products_Data3(), FertiliserProducts[[#Headers],[Company]],61)</f>
        <v>0.20799999999999999</v>
      </c>
      <c r="W156" s="200" t="str" cm="1">
        <f t="array" ref="W156">Common_InputFunctions.Utility_DisplayArrayInTable(Fertiliser_SourceData.Fertiliser_Products_Data3(), FertiliserProducts[[#Headers],[Company]],61)</f>
        <v>Sulfur - Generic</v>
      </c>
      <c r="X156" s="200" cm="1">
        <f t="array" ref="X156">Common_InputFunctions.Utility_DisplayArrayInTable(Fertiliser_SourceData.Fertiliser_Products_Data3(), FertiliserProducts[[#Headers],[Company]],61)</f>
        <v>0.04</v>
      </c>
      <c r="Y156" s="200" t="str" cm="1">
        <f t="array" ref="Y156">Common_InputFunctions.Utility_DisplayArrayInTable(Fertiliser_SourceData.Fertiliser_Products_Data3(), FertiliserProducts[[#Headers],[Company]],61)</f>
        <v>Magnesium</v>
      </c>
      <c r="Z156" s="200" cm="1">
        <f t="array" ref="Z156">Common_InputFunctions.Utility_DisplayArrayInTable(Fertiliser_SourceData.Fertiliser_Products_Data3(), FertiliserProducts[[#Headers],[Company]],61)</f>
        <v>2.4E-2</v>
      </c>
      <c r="AA156" s="200" t="str" cm="1">
        <f t="array" ref="AA156">Common_InputFunctions.Utility_DisplayArrayInTable(Fertiliser_SourceData.Fertiliser_Products_Data3(), FertiliserProducts[[#Headers],[Company]],61)</f>
        <v/>
      </c>
      <c r="AB156" s="200" t="str" cm="1">
        <f t="array" ref="AB156">Common_InputFunctions.Utility_DisplayArrayInTable(Fertiliser_SourceData.Fertiliser_Products_Data3(), FertiliserProducts[[#Headers],[Company]],61)</f>
        <v/>
      </c>
      <c r="AC156" s="200" t="str" cm="1">
        <f t="array" ref="AC156">Common_InputFunctions.Utility_DisplayArrayInTable(Fertiliser_SourceData.Fertiliser_Products_Data3(), FertiliserProducts[[#Headers],[Company]],61)</f>
        <v/>
      </c>
      <c r="AD156" s="200" t="str" cm="1">
        <f t="array" ref="AD156">Common_InputFunctions.Utility_DisplayArrayInTable(Fertiliser_SourceData.Fertiliser_Products_Data3(), FertiliserProducts[[#Headers],[Company]],61)</f>
        <v/>
      </c>
      <c r="AE156" s="200" t="str" cm="1">
        <f t="array" ref="AE156">Common_InputFunctions.Utility_DisplayArrayInTable(Fertiliser_SourceData.Fertiliser_Products_Data3(), FertiliserProducts[[#Headers],[Company]],61)</f>
        <v/>
      </c>
      <c r="AF156" s="200" t="str" cm="1">
        <f t="array" ref="AF156">Common_InputFunctions.Utility_DisplayArrayInTable(Fertiliser_SourceData.Fertiliser_Products_Data3(), FertiliserProducts[[#Headers],[Company]],61)</f>
        <v/>
      </c>
      <c r="AG156" s="200" t="str" cm="1">
        <f t="array" ref="AG156">Common_InputFunctions.Utility_DisplayArrayInTable(Fertiliser_SourceData.Fertiliser_Products_Data3(), FertiliserProducts[[#Headers],[Company]],61)</f>
        <v/>
      </c>
      <c r="AH156" s="200" t="str" cm="1">
        <f t="array" ref="AH156">Common_InputFunctions.Utility_DisplayArrayInTable(Fertiliser_SourceData.Fertiliser_Products_Data3(), FertiliserProducts[[#Headers],[Company]],61)</f>
        <v/>
      </c>
      <c r="AK156" s="1"/>
    </row>
    <row r="157" spans="4:39" ht="20.100000000000001" customHeight="1" x14ac:dyDescent="0.25">
      <c r="D157" s="200" t="str" cm="1">
        <f t="array" ref="D157">Common_InputFunctions.Utility_DisplayArrayInTable(Fertiliser_SourceData.Fertiliser_Products_Data3(), FertiliserProducts[[#Headers],[Company]],61)</f>
        <v>Campbells fertilisers Australia</v>
      </c>
      <c r="E157" s="200" t="str" cm="1">
        <f t="array" ref="E157">Common_InputFunctions.Utility_DisplayArrayInTable(Fertiliser_SourceData.Fertiliser_Products_Data3(), FertiliserProducts[[#Headers],[Company]],61)</f>
        <v>Rustica Nergetic</v>
      </c>
      <c r="F157" s="200" t="str" cm="1">
        <f t="array" ref="F157">Common_InputFunctions.Utility_DisplayArrayInTable(Fertiliser_SourceData.Fertiliser_Products_Data3(), FertiliserProducts[[#Headers],[Company]],61)</f>
        <v>kg</v>
      </c>
      <c r="G157" s="200" cm="1">
        <f t="array" ref="G157">Common_InputFunctions.Utility_DisplayArrayInTable(Fertiliser_SourceData.Fertiliser_Products_Data3(), FertiliserProducts[[#Headers],[Company]],61)</f>
        <v>1</v>
      </c>
      <c r="H157" s="200" t="str" cm="1">
        <f t="array" ref="H157">Common_InputFunctions.Utility_DisplayArrayInTable(Fertiliser_SourceData.Fertiliser_Products_Data3(), FertiliserProducts[[#Headers],[Company]],61)</f>
        <v/>
      </c>
      <c r="I157" s="200" t="str" cm="1">
        <f t="array" ref="I157">Common_InputFunctions.Utility_DisplayArrayInTable(Fertiliser_SourceData.Fertiliser_Products_Data3(), FertiliserProducts[[#Headers],[Company]],61)</f>
        <v/>
      </c>
      <c r="J157" s="200" t="str" cm="1">
        <f t="array" ref="J157">Common_InputFunctions.Utility_DisplayArrayInTable(Fertiliser_SourceData.Fertiliser_Products_Data3(), FertiliserProducts[[#Headers],[Company]],61)</f>
        <v/>
      </c>
      <c r="K157" s="200" cm="1">
        <f t="array" ref="K157">Common_InputFunctions.Utility_DisplayArrayInTable(Fertiliser_SourceData.Fertiliser_Products_Data3(), FertiliserProducts[[#Headers],[Company]],61)</f>
        <v>12</v>
      </c>
      <c r="L157" s="200" cm="1">
        <f t="array" ref="L157">Common_InputFunctions.Utility_DisplayArrayInTable(Fertiliser_SourceData.Fertiliser_Products_Data3(), FertiliserProducts[[#Headers],[Company]],61)</f>
        <v>5.2</v>
      </c>
      <c r="M157" s="200" cm="1">
        <f t="array" ref="M157">Common_InputFunctions.Utility_DisplayArrayInTable(Fertiliser_SourceData.Fertiliser_Products_Data3(), FertiliserProducts[[#Headers],[Company]],61)</f>
        <v>14.1</v>
      </c>
      <c r="N157" s="200" cm="1">
        <f t="array" ref="N157">Common_InputFunctions.Utility_DisplayArrayInTable(Fertiliser_SourceData.Fertiliser_Products_Data3(), FertiliserProducts[[#Headers],[Company]],61)</f>
        <v>9.6</v>
      </c>
      <c r="O157" s="200" t="str" cm="1">
        <f t="array" ref="O157">Common_InputFunctions.Utility_DisplayArrayInTable(Fertiliser_SourceData.Fertiliser_Products_Data3(), FertiliserProducts[[#Headers],[Company]],61)</f>
        <v>Potassium - Generic</v>
      </c>
      <c r="P157" s="200" cm="1">
        <f t="array" ref="P157">Common_InputFunctions.Utility_DisplayArrayInTable(Fertiliser_SourceData.Fertiliser_Products_Data3(), FertiliserProducts[[#Headers],[Company]],61)</f>
        <v>0.14099999999999999</v>
      </c>
      <c r="Q157" s="200" t="str" cm="1">
        <f t="array" ref="Q157">Common_InputFunctions.Utility_DisplayArrayInTable(Fertiliser_SourceData.Fertiliser_Products_Data3(), FertiliserProducts[[#Headers],[Company]],61)</f>
        <v>Sulfur - Generic</v>
      </c>
      <c r="R157" s="200" cm="1">
        <f t="array" ref="R157">Common_InputFunctions.Utility_DisplayArrayInTable(Fertiliser_SourceData.Fertiliser_Products_Data3(), FertiliserProducts[[#Headers],[Company]],61)</f>
        <v>9.6000000000000002E-2</v>
      </c>
      <c r="S157" s="200" t="str" cm="1">
        <f t="array" ref="S157">Common_InputFunctions.Utility_DisplayArrayInTable(Fertiliser_SourceData.Fertiliser_Products_Data3(), FertiliserProducts[[#Headers],[Company]],61)</f>
        <v>Nitrogen - Nitrate</v>
      </c>
      <c r="T157" s="200" cm="1">
        <f t="array" ref="T157">Common_InputFunctions.Utility_DisplayArrayInTable(Fertiliser_SourceData.Fertiliser_Products_Data3(), FertiliserProducts[[#Headers],[Company]],61)</f>
        <v>0.06</v>
      </c>
      <c r="U157" s="200" t="str" cm="1">
        <f t="array" ref="U157">Common_InputFunctions.Utility_DisplayArrayInTable(Fertiliser_SourceData.Fertiliser_Products_Data3(), FertiliserProducts[[#Headers],[Company]],61)</f>
        <v>Nitrogen - Ammoniacal</v>
      </c>
      <c r="V157" s="200" cm="1">
        <f t="array" ref="V157">Common_InputFunctions.Utility_DisplayArrayInTable(Fertiliser_SourceData.Fertiliser_Products_Data3(), FertiliserProducts[[#Headers],[Company]],61)</f>
        <v>0.06</v>
      </c>
      <c r="W157" s="200" t="str" cm="1">
        <f t="array" ref="W157">Common_InputFunctions.Utility_DisplayArrayInTable(Fertiliser_SourceData.Fertiliser_Products_Data3(), FertiliserProducts[[#Headers],[Company]],61)</f>
        <v>Phosphorus - Generic</v>
      </c>
      <c r="X157" s="200" cm="1">
        <f t="array" ref="X157">Common_InputFunctions.Utility_DisplayArrayInTable(Fertiliser_SourceData.Fertiliser_Products_Data3(), FertiliserProducts[[#Headers],[Company]],61)</f>
        <v>5.1999999999999998E-2</v>
      </c>
      <c r="Y157" s="200" t="str" cm="1">
        <f t="array" ref="Y157">Common_InputFunctions.Utility_DisplayArrayInTable(Fertiliser_SourceData.Fertiliser_Products_Data3(), FertiliserProducts[[#Headers],[Company]],61)</f>
        <v>Magnesium</v>
      </c>
      <c r="Z157" s="200" cm="1">
        <f t="array" ref="Z157">Common_InputFunctions.Utility_DisplayArrayInTable(Fertiliser_SourceData.Fertiliser_Products_Data3(), FertiliserProducts[[#Headers],[Company]],61)</f>
        <v>1.2E-2</v>
      </c>
      <c r="AA157" s="200" t="str" cm="1">
        <f t="array" ref="AA157">Common_InputFunctions.Utility_DisplayArrayInTable(Fertiliser_SourceData.Fertiliser_Products_Data3(), FertiliserProducts[[#Headers],[Company]],61)</f>
        <v>Zinc</v>
      </c>
      <c r="AB157" s="200" cm="1">
        <f t="array" ref="AB157">Common_InputFunctions.Utility_DisplayArrayInTable(Fertiliser_SourceData.Fertiliser_Products_Data3(), FertiliserProducts[[#Headers],[Company]],61)</f>
        <v>8.0000000000000004E-4</v>
      </c>
      <c r="AC157" s="200" t="str" cm="1">
        <f t="array" ref="AC157">Common_InputFunctions.Utility_DisplayArrayInTable(Fertiliser_SourceData.Fertiliser_Products_Data3(), FertiliserProducts[[#Headers],[Company]],61)</f>
        <v>Iron</v>
      </c>
      <c r="AD157" s="200" cm="1">
        <f t="array" ref="AD157">Common_InputFunctions.Utility_DisplayArrayInTable(Fertiliser_SourceData.Fertiliser_Products_Data3(), FertiliserProducts[[#Headers],[Company]],61)</f>
        <v>6.9999999999999999E-4</v>
      </c>
      <c r="AE157" s="200" t="str" cm="1">
        <f t="array" ref="AE157">Common_InputFunctions.Utility_DisplayArrayInTable(Fertiliser_SourceData.Fertiliser_Products_Data3(), FertiliserProducts[[#Headers],[Company]],61)</f>
        <v>Manganese</v>
      </c>
      <c r="AF157" s="200" cm="1">
        <f t="array" ref="AF157">Common_InputFunctions.Utility_DisplayArrayInTable(Fertiliser_SourceData.Fertiliser_Products_Data3(), FertiliserProducts[[#Headers],[Company]],61)</f>
        <v>5.9999999999999995E-4</v>
      </c>
      <c r="AG157" s="200" t="str" cm="1">
        <f t="array" ref="AG157">Common_InputFunctions.Utility_DisplayArrayInTable(Fertiliser_SourceData.Fertiliser_Products_Data3(), FertiliserProducts[[#Headers],[Company]],61)</f>
        <v>Boron</v>
      </c>
      <c r="AH157" s="200" cm="1">
        <f t="array" ref="AH157">Common_InputFunctions.Utility_DisplayArrayInTable(Fertiliser_SourceData.Fertiliser_Products_Data3(), FertiliserProducts[[#Headers],[Company]],61)</f>
        <v>2.0000000000000001E-4</v>
      </c>
      <c r="AK157" s="1"/>
    </row>
    <row r="158" spans="4:39" ht="20.100000000000001" customHeight="1" x14ac:dyDescent="0.25">
      <c r="D158" s="200" t="str" cm="1">
        <f t="array" ref="D158">Common_InputFunctions.Utility_DisplayArrayInTable(Fertiliser_SourceData.Fertiliser_Products_Data3(), FertiliserProducts[[#Headers],[Company]],61)</f>
        <v>Campbells fertilisers Australia</v>
      </c>
      <c r="E158" s="200" t="str" cm="1">
        <f t="array" ref="E158">Common_InputFunctions.Utility_DisplayArrayInTable(Fertiliser_SourceData.Fertiliser_Products_Data3(), FertiliserProducts[[#Headers],[Company]],61)</f>
        <v>Quick-N Nergetic</v>
      </c>
      <c r="F158" s="200" t="str" cm="1">
        <f t="array" ref="F158">Common_InputFunctions.Utility_DisplayArrayInTable(Fertiliser_SourceData.Fertiliser_Products_Data3(), FertiliserProducts[[#Headers],[Company]],61)</f>
        <v>kg</v>
      </c>
      <c r="G158" s="200" cm="1">
        <f t="array" ref="G158">Common_InputFunctions.Utility_DisplayArrayInTable(Fertiliser_SourceData.Fertiliser_Products_Data3(), FertiliserProducts[[#Headers],[Company]],61)</f>
        <v>1</v>
      </c>
      <c r="H158" s="200" t="str" cm="1">
        <f t="array" ref="H158">Common_InputFunctions.Utility_DisplayArrayInTable(Fertiliser_SourceData.Fertiliser_Products_Data3(), FertiliserProducts[[#Headers],[Company]],61)</f>
        <v/>
      </c>
      <c r="I158" s="200" t="str" cm="1">
        <f t="array" ref="I158">Common_InputFunctions.Utility_DisplayArrayInTable(Fertiliser_SourceData.Fertiliser_Products_Data3(), FertiliserProducts[[#Headers],[Company]],61)</f>
        <v/>
      </c>
      <c r="J158" s="200" t="str" cm="1">
        <f t="array" ref="J158">Common_InputFunctions.Utility_DisplayArrayInTable(Fertiliser_SourceData.Fertiliser_Products_Data3(), FertiliserProducts[[#Headers],[Company]],61)</f>
        <v/>
      </c>
      <c r="K158" s="200" cm="1">
        <f t="array" ref="K158">Common_InputFunctions.Utility_DisplayArrayInTable(Fertiliser_SourceData.Fertiliser_Products_Data3(), FertiliserProducts[[#Headers],[Company]],61)</f>
        <v>25</v>
      </c>
      <c r="L158" s="200" t="str" cm="1">
        <f t="array" ref="L158">Common_InputFunctions.Utility_DisplayArrayInTable(Fertiliser_SourceData.Fertiliser_Products_Data3(), FertiliserProducts[[#Headers],[Company]],61)</f>
        <v/>
      </c>
      <c r="M158" s="200" t="str" cm="1">
        <f t="array" ref="M158">Common_InputFunctions.Utility_DisplayArrayInTable(Fertiliser_SourceData.Fertiliser_Products_Data3(), FertiliserProducts[[#Headers],[Company]],61)</f>
        <v/>
      </c>
      <c r="N158" s="200" cm="1">
        <f t="array" ref="N158">Common_InputFunctions.Utility_DisplayArrayInTable(Fertiliser_SourceData.Fertiliser_Products_Data3(), FertiliserProducts[[#Headers],[Company]],61)</f>
        <v>12.8</v>
      </c>
      <c r="O158" s="200" t="str" cm="1">
        <f t="array" ref="O158">Common_InputFunctions.Utility_DisplayArrayInTable(Fertiliser_SourceData.Fertiliser_Products_Data3(), FertiliserProducts[[#Headers],[Company]],61)</f>
        <v>Sulphate of ammonia (SOA)</v>
      </c>
      <c r="P158" s="200" cm="1">
        <f t="array" ref="P158">Common_InputFunctions.Utility_DisplayArrayInTable(Fertiliser_SourceData.Fertiliser_Products_Data3(), FertiliserProducts[[#Headers],[Company]],61)</f>
        <v>0.53333299999999995</v>
      </c>
      <c r="Q158" s="200" t="str" cm="1">
        <f t="array" ref="Q158">Common_InputFunctions.Utility_DisplayArrayInTable(Fertiliser_SourceData.Fertiliser_Products_Data3(), FertiliserProducts[[#Headers],[Company]],61)</f>
        <v>Ammonium nitrate (AN)</v>
      </c>
      <c r="R158" s="200" cm="1">
        <f t="array" ref="R158">Common_InputFunctions.Utility_DisplayArrayInTable(Fertiliser_SourceData.Fertiliser_Products_Data3(), FertiliserProducts[[#Headers],[Company]],61)</f>
        <v>0.40949600000000003</v>
      </c>
      <c r="S158" s="200" t="str" cm="1">
        <f t="array" ref="S158">Common_InputFunctions.Utility_DisplayArrayInTable(Fertiliser_SourceData.Fertiliser_Products_Data3(), FertiliserProducts[[#Headers],[Company]],61)</f>
        <v>Zinc</v>
      </c>
      <c r="T158" s="200" cm="1">
        <f t="array" ref="T158">Common_InputFunctions.Utility_DisplayArrayInTable(Fertiliser_SourceData.Fertiliser_Products_Data3(), FertiliserProducts[[#Headers],[Company]],61)</f>
        <v>1E-3</v>
      </c>
      <c r="U158" s="200" t="str" cm="1">
        <f t="array" ref="U158">Common_InputFunctions.Utility_DisplayArrayInTable(Fertiliser_SourceData.Fertiliser_Products_Data3(), FertiliserProducts[[#Headers],[Company]],61)</f>
        <v>Manganese</v>
      </c>
      <c r="V158" s="200" cm="1">
        <f t="array" ref="V158">Common_InputFunctions.Utility_DisplayArrayInTable(Fertiliser_SourceData.Fertiliser_Products_Data3(), FertiliserProducts[[#Headers],[Company]],61)</f>
        <v>1E-3</v>
      </c>
      <c r="W158" s="200" t="str" cm="1">
        <f t="array" ref="W158">Common_InputFunctions.Utility_DisplayArrayInTable(Fertiliser_SourceData.Fertiliser_Products_Data3(), FertiliserProducts[[#Headers],[Company]],61)</f>
        <v>Boron</v>
      </c>
      <c r="X158" s="200" cm="1">
        <f t="array" ref="X158">Common_InputFunctions.Utility_DisplayArrayInTable(Fertiliser_SourceData.Fertiliser_Products_Data3(), FertiliserProducts[[#Headers],[Company]],61)</f>
        <v>1E-4</v>
      </c>
      <c r="Y158" s="200" t="str" cm="1">
        <f t="array" ref="Y158">Common_InputFunctions.Utility_DisplayArrayInTable(Fertiliser_SourceData.Fertiliser_Products_Data3(), FertiliserProducts[[#Headers],[Company]],61)</f>
        <v>Molybdenum</v>
      </c>
      <c r="Z158" s="200" cm="1">
        <f t="array" ref="Z158">Common_InputFunctions.Utility_DisplayArrayInTable(Fertiliser_SourceData.Fertiliser_Products_Data3(), FertiliserProducts[[#Headers],[Company]],61)</f>
        <v>1.0000000000000001E-5</v>
      </c>
      <c r="AA158" s="200" t="str" cm="1">
        <f t="array" ref="AA158">Common_InputFunctions.Utility_DisplayArrayInTable(Fertiliser_SourceData.Fertiliser_Products_Data3(), FertiliserProducts[[#Headers],[Company]],61)</f>
        <v/>
      </c>
      <c r="AB158" s="200" t="str" cm="1">
        <f t="array" ref="AB158">Common_InputFunctions.Utility_DisplayArrayInTable(Fertiliser_SourceData.Fertiliser_Products_Data3(), FertiliserProducts[[#Headers],[Company]],61)</f>
        <v/>
      </c>
      <c r="AC158" s="200" t="str" cm="1">
        <f t="array" ref="AC158">Common_InputFunctions.Utility_DisplayArrayInTable(Fertiliser_SourceData.Fertiliser_Products_Data3(), FertiliserProducts[[#Headers],[Company]],61)</f>
        <v/>
      </c>
      <c r="AD158" s="200" t="str" cm="1">
        <f t="array" ref="AD158">Common_InputFunctions.Utility_DisplayArrayInTable(Fertiliser_SourceData.Fertiliser_Products_Data3(), FertiliserProducts[[#Headers],[Company]],61)</f>
        <v/>
      </c>
      <c r="AE158" s="200" t="str" cm="1">
        <f t="array" ref="AE158">Common_InputFunctions.Utility_DisplayArrayInTable(Fertiliser_SourceData.Fertiliser_Products_Data3(), FertiliserProducts[[#Headers],[Company]],61)</f>
        <v/>
      </c>
      <c r="AF158" s="200" t="str" cm="1">
        <f t="array" ref="AF158">Common_InputFunctions.Utility_DisplayArrayInTable(Fertiliser_SourceData.Fertiliser_Products_Data3(), FertiliserProducts[[#Headers],[Company]],61)</f>
        <v/>
      </c>
      <c r="AG158" s="200" t="str" cm="1">
        <f t="array" ref="AG158">Common_InputFunctions.Utility_DisplayArrayInTable(Fertiliser_SourceData.Fertiliser_Products_Data3(), FertiliserProducts[[#Headers],[Company]],61)</f>
        <v/>
      </c>
      <c r="AH158" s="200" t="str" cm="1">
        <f t="array" ref="AH158">Common_InputFunctions.Utility_DisplayArrayInTable(Fertiliser_SourceData.Fertiliser_Products_Data3(), FertiliserProducts[[#Headers],[Company]],61)</f>
        <v/>
      </c>
      <c r="AK158" s="1"/>
    </row>
    <row r="159" spans="4:39" ht="20.100000000000001" customHeight="1" x14ac:dyDescent="0.25">
      <c r="D159" s="200" t="str" cm="1">
        <f t="array" ref="D159">Common_InputFunctions.Utility_DisplayArrayInTable(Fertiliser_SourceData.Fertiliser_Products_Data3(), FertiliserProducts[[#Headers],[Company]],61)</f>
        <v>FertPro Manufacturing Pty. Ltd.</v>
      </c>
      <c r="E159" s="200" t="str" cm="1">
        <f t="array" ref="E159">Common_InputFunctions.Utility_DisplayArrayInTable(Fertiliser_SourceData.Fertiliser_Products_Data3(), FertiliserProducts[[#Headers],[Company]],61)</f>
        <v>(SSP) Single Super Fertiliser</v>
      </c>
      <c r="F159" s="200" t="str" cm="1">
        <f t="array" ref="F159">Common_InputFunctions.Utility_DisplayArrayInTable(Fertiliser_SourceData.Fertiliser_Products_Data3(), FertiliserProducts[[#Headers],[Company]],61)</f>
        <v>kg</v>
      </c>
      <c r="G159" s="200" cm="1">
        <f t="array" ref="G159">Common_InputFunctions.Utility_DisplayArrayInTable(Fertiliser_SourceData.Fertiliser_Products_Data3(), FertiliserProducts[[#Headers],[Company]],61)</f>
        <v>1</v>
      </c>
      <c r="H159" s="200" t="str" cm="1">
        <f t="array" ref="H159">Common_InputFunctions.Utility_DisplayArrayInTable(Fertiliser_SourceData.Fertiliser_Products_Data3(), FertiliserProducts[[#Headers],[Company]],61)</f>
        <v/>
      </c>
      <c r="I159" s="200" t="str" cm="1">
        <f t="array" ref="I159">Common_InputFunctions.Utility_DisplayArrayInTable(Fertiliser_SourceData.Fertiliser_Products_Data3(), FertiliserProducts[[#Headers],[Company]],61)</f>
        <v/>
      </c>
      <c r="J159" s="200" t="str" cm="1">
        <f t="array" ref="J159">Common_InputFunctions.Utility_DisplayArrayInTable(Fertiliser_SourceData.Fertiliser_Products_Data3(), FertiliserProducts[[#Headers],[Company]],61)</f>
        <v/>
      </c>
      <c r="K159" s="200" t="str" cm="1">
        <f t="array" ref="K159">Common_InputFunctions.Utility_DisplayArrayInTable(Fertiliser_SourceData.Fertiliser_Products_Data3(), FertiliserProducts[[#Headers],[Company]],61)</f>
        <v/>
      </c>
      <c r="L159" s="200" cm="1">
        <f t="array" ref="L159">Common_InputFunctions.Utility_DisplayArrayInTable(Fertiliser_SourceData.Fertiliser_Products_Data3(), FertiliserProducts[[#Headers],[Company]],61)</f>
        <v>8.8000000000000007</v>
      </c>
      <c r="M159" s="200" t="str" cm="1">
        <f t="array" ref="M159">Common_InputFunctions.Utility_DisplayArrayInTable(Fertiliser_SourceData.Fertiliser_Products_Data3(), FertiliserProducts[[#Headers],[Company]],61)</f>
        <v/>
      </c>
      <c r="N159" s="200" cm="1">
        <f t="array" ref="N159">Common_InputFunctions.Utility_DisplayArrayInTable(Fertiliser_SourceData.Fertiliser_Products_Data3(), FertiliserProducts[[#Headers],[Company]],61)</f>
        <v>11</v>
      </c>
      <c r="O159" s="200" t="str" cm="1">
        <f t="array" ref="O159">Common_InputFunctions.Utility_DisplayArrayInTable(Fertiliser_SourceData.Fertiliser_Products_Data3(), FertiliserProducts[[#Headers],[Company]],61)</f>
        <v>Single superphosphate (SSP)</v>
      </c>
      <c r="P159" s="200" cm="1">
        <f t="array" ref="P159">Common_InputFunctions.Utility_DisplayArrayInTable(Fertiliser_SourceData.Fertiliser_Products_Data3(), FertiliserProducts[[#Headers],[Company]],61)</f>
        <v>1</v>
      </c>
      <c r="Q159" s="200" t="str" cm="1">
        <f t="array" ref="Q159">Common_InputFunctions.Utility_DisplayArrayInTable(Fertiliser_SourceData.Fertiliser_Products_Data3(), FertiliserProducts[[#Headers],[Company]],61)</f>
        <v/>
      </c>
      <c r="R159" s="200" t="str" cm="1">
        <f t="array" ref="R159">Common_InputFunctions.Utility_DisplayArrayInTable(Fertiliser_SourceData.Fertiliser_Products_Data3(), FertiliserProducts[[#Headers],[Company]],61)</f>
        <v/>
      </c>
      <c r="S159" s="200" t="str" cm="1">
        <f t="array" ref="S159">Common_InputFunctions.Utility_DisplayArrayInTable(Fertiliser_SourceData.Fertiliser_Products_Data3(), FertiliserProducts[[#Headers],[Company]],61)</f>
        <v/>
      </c>
      <c r="T159" s="200" t="str" cm="1">
        <f t="array" ref="T159">Common_InputFunctions.Utility_DisplayArrayInTable(Fertiliser_SourceData.Fertiliser_Products_Data3(), FertiliserProducts[[#Headers],[Company]],61)</f>
        <v/>
      </c>
      <c r="U159" s="200" t="str" cm="1">
        <f t="array" ref="U159">Common_InputFunctions.Utility_DisplayArrayInTable(Fertiliser_SourceData.Fertiliser_Products_Data3(), FertiliserProducts[[#Headers],[Company]],61)</f>
        <v/>
      </c>
      <c r="V159" s="200" t="str" cm="1">
        <f t="array" ref="V159">Common_InputFunctions.Utility_DisplayArrayInTable(Fertiliser_SourceData.Fertiliser_Products_Data3(), FertiliserProducts[[#Headers],[Company]],61)</f>
        <v/>
      </c>
      <c r="W159" s="200" t="str" cm="1">
        <f t="array" ref="W159">Common_InputFunctions.Utility_DisplayArrayInTable(Fertiliser_SourceData.Fertiliser_Products_Data3(), FertiliserProducts[[#Headers],[Company]],61)</f>
        <v/>
      </c>
      <c r="X159" s="200" t="str" cm="1">
        <f t="array" ref="X159">Common_InputFunctions.Utility_DisplayArrayInTable(Fertiliser_SourceData.Fertiliser_Products_Data3(), FertiliserProducts[[#Headers],[Company]],61)</f>
        <v/>
      </c>
      <c r="Y159" s="200" t="str" cm="1">
        <f t="array" ref="Y159">Common_InputFunctions.Utility_DisplayArrayInTable(Fertiliser_SourceData.Fertiliser_Products_Data3(), FertiliserProducts[[#Headers],[Company]],61)</f>
        <v/>
      </c>
      <c r="Z159" s="200" t="str" cm="1">
        <f t="array" ref="Z159">Common_InputFunctions.Utility_DisplayArrayInTable(Fertiliser_SourceData.Fertiliser_Products_Data3(), FertiliserProducts[[#Headers],[Company]],61)</f>
        <v/>
      </c>
      <c r="AA159" s="200" t="str" cm="1">
        <f t="array" ref="AA159">Common_InputFunctions.Utility_DisplayArrayInTable(Fertiliser_SourceData.Fertiliser_Products_Data3(), FertiliserProducts[[#Headers],[Company]],61)</f>
        <v/>
      </c>
      <c r="AB159" s="200" t="str" cm="1">
        <f t="array" ref="AB159">Common_InputFunctions.Utility_DisplayArrayInTable(Fertiliser_SourceData.Fertiliser_Products_Data3(), FertiliserProducts[[#Headers],[Company]],61)</f>
        <v/>
      </c>
      <c r="AC159" s="200" t="str" cm="1">
        <f t="array" ref="AC159">Common_InputFunctions.Utility_DisplayArrayInTable(Fertiliser_SourceData.Fertiliser_Products_Data3(), FertiliserProducts[[#Headers],[Company]],61)</f>
        <v/>
      </c>
      <c r="AD159" s="200" t="str" cm="1">
        <f t="array" ref="AD159">Common_InputFunctions.Utility_DisplayArrayInTable(Fertiliser_SourceData.Fertiliser_Products_Data3(), FertiliserProducts[[#Headers],[Company]],61)</f>
        <v/>
      </c>
      <c r="AE159" s="200" t="str" cm="1">
        <f t="array" ref="AE159">Common_InputFunctions.Utility_DisplayArrayInTable(Fertiliser_SourceData.Fertiliser_Products_Data3(), FertiliserProducts[[#Headers],[Company]],61)</f>
        <v/>
      </c>
      <c r="AF159" s="200" t="str" cm="1">
        <f t="array" ref="AF159">Common_InputFunctions.Utility_DisplayArrayInTable(Fertiliser_SourceData.Fertiliser_Products_Data3(), FertiliserProducts[[#Headers],[Company]],61)</f>
        <v/>
      </c>
      <c r="AG159" s="200" t="str" cm="1">
        <f t="array" ref="AG159">Common_InputFunctions.Utility_DisplayArrayInTable(Fertiliser_SourceData.Fertiliser_Products_Data3(), FertiliserProducts[[#Headers],[Company]],61)</f>
        <v/>
      </c>
      <c r="AH159" s="200" t="str" cm="1">
        <f t="array" ref="AH159">Common_InputFunctions.Utility_DisplayArrayInTable(Fertiliser_SourceData.Fertiliser_Products_Data3(), FertiliserProducts[[#Headers],[Company]],61)</f>
        <v/>
      </c>
      <c r="AK159" s="1"/>
    </row>
    <row r="160" spans="4:39" ht="20.100000000000001" customHeight="1" x14ac:dyDescent="0.25">
      <c r="D160" s="200" t="str" cm="1">
        <f t="array" ref="D160">Common_InputFunctions.Utility_DisplayArrayInTable(Fertiliser_SourceData.Fertiliser_Products_Data3(), FertiliserProducts[[#Headers],[Company]],61)</f>
        <v>Impact Fertilisers</v>
      </c>
      <c r="E160" s="200" t="str" cm="1">
        <f t="array" ref="E160">Common_InputFunctions.Utility_DisplayArrayInTable(Fertiliser_SourceData.Fertiliser_Products_Data3(), FertiliserProducts[[#Headers],[Company]],61)</f>
        <v>ZincStar</v>
      </c>
      <c r="F160" s="200" t="str" cm="1">
        <f t="array" ref="F160">Common_InputFunctions.Utility_DisplayArrayInTable(Fertiliser_SourceData.Fertiliser_Products_Data3(), FertiliserProducts[[#Headers],[Company]],61)</f>
        <v>kg</v>
      </c>
      <c r="G160" s="200" cm="1">
        <f t="array" ref="G160">Common_InputFunctions.Utility_DisplayArrayInTable(Fertiliser_SourceData.Fertiliser_Products_Data3(), FertiliserProducts[[#Headers],[Company]],61)</f>
        <v>1</v>
      </c>
      <c r="H160" s="200" t="str" cm="1">
        <f t="array" ref="H160">Common_InputFunctions.Utility_DisplayArrayInTable(Fertiliser_SourceData.Fertiliser_Products_Data3(), FertiliserProducts[[#Headers],[Company]],61)</f>
        <v/>
      </c>
      <c r="I160" s="200" t="str" cm="1">
        <f t="array" ref="I160">Common_InputFunctions.Utility_DisplayArrayInTable(Fertiliser_SourceData.Fertiliser_Products_Data3(), FertiliserProducts[[#Headers],[Company]],61)</f>
        <v/>
      </c>
      <c r="J160" s="200" t="str" cm="1">
        <f t="array" ref="J160">Common_InputFunctions.Utility_DisplayArrayInTable(Fertiliser_SourceData.Fertiliser_Products_Data3(), FertiliserProducts[[#Headers],[Company]],61)</f>
        <v/>
      </c>
      <c r="K160" s="200" cm="1">
        <f t="array" ref="K160">Common_InputFunctions.Utility_DisplayArrayInTable(Fertiliser_SourceData.Fertiliser_Products_Data3(), FertiliserProducts[[#Headers],[Company]],61)</f>
        <v>10</v>
      </c>
      <c r="L160" s="200" cm="1">
        <f t="array" ref="L160">Common_InputFunctions.Utility_DisplayArrayInTable(Fertiliser_SourceData.Fertiliser_Products_Data3(), FertiliserProducts[[#Headers],[Company]],61)</f>
        <v>21.9</v>
      </c>
      <c r="M160" s="200" cm="1">
        <f t="array" ref="M160">Common_InputFunctions.Utility_DisplayArrayInTable(Fertiliser_SourceData.Fertiliser_Products_Data3(), FertiliserProducts[[#Headers],[Company]],61)</f>
        <v>0</v>
      </c>
      <c r="N160" s="200" cm="1">
        <f t="array" ref="N160">Common_InputFunctions.Utility_DisplayArrayInTable(Fertiliser_SourceData.Fertiliser_Products_Data3(), FertiliserProducts[[#Headers],[Company]],61)</f>
        <v>2</v>
      </c>
      <c r="O160" s="200" t="str" cm="1">
        <f t="array" ref="O160">Common_InputFunctions.Utility_DisplayArrayInTable(Fertiliser_SourceData.Fertiliser_Products_Data3(), FertiliserProducts[[#Headers],[Company]],61)</f>
        <v>Monoammonium phosphate (MAP)</v>
      </c>
      <c r="P160" s="200" cm="1">
        <f t="array" ref="P160">Common_InputFunctions.Utility_DisplayArrayInTable(Fertiliser_SourceData.Fertiliser_Products_Data3(), FertiliserProducts[[#Headers],[Company]],61)</f>
        <v>1</v>
      </c>
      <c r="Q160" s="200" t="str" cm="1">
        <f t="array" ref="Q160">Common_InputFunctions.Utility_DisplayArrayInTable(Fertiliser_SourceData.Fertiliser_Products_Data3(), FertiliserProducts[[#Headers],[Company]],61)</f>
        <v>Zinc</v>
      </c>
      <c r="R160" s="200" cm="1">
        <f t="array" ref="R160">Common_InputFunctions.Utility_DisplayArrayInTable(Fertiliser_SourceData.Fertiliser_Products_Data3(), FertiliserProducts[[#Headers],[Company]],61)</f>
        <v>0.01</v>
      </c>
      <c r="S160" s="200" t="str" cm="1">
        <f t="array" ref="S160">Common_InputFunctions.Utility_DisplayArrayInTable(Fertiliser_SourceData.Fertiliser_Products_Data3(), FertiliserProducts[[#Headers],[Company]],61)</f>
        <v/>
      </c>
      <c r="T160" s="200" t="str" cm="1">
        <f t="array" ref="T160">Common_InputFunctions.Utility_DisplayArrayInTable(Fertiliser_SourceData.Fertiliser_Products_Data3(), FertiliserProducts[[#Headers],[Company]],61)</f>
        <v/>
      </c>
      <c r="U160" s="200" t="str" cm="1">
        <f t="array" ref="U160">Common_InputFunctions.Utility_DisplayArrayInTable(Fertiliser_SourceData.Fertiliser_Products_Data3(), FertiliserProducts[[#Headers],[Company]],61)</f>
        <v/>
      </c>
      <c r="V160" s="200" t="str" cm="1">
        <f t="array" ref="V160">Common_InputFunctions.Utility_DisplayArrayInTable(Fertiliser_SourceData.Fertiliser_Products_Data3(), FertiliserProducts[[#Headers],[Company]],61)</f>
        <v/>
      </c>
      <c r="W160" s="200" t="str" cm="1">
        <f t="array" ref="W160">Common_InputFunctions.Utility_DisplayArrayInTable(Fertiliser_SourceData.Fertiliser_Products_Data3(), FertiliserProducts[[#Headers],[Company]],61)</f>
        <v/>
      </c>
      <c r="X160" s="200" t="str" cm="1">
        <f t="array" ref="X160">Common_InputFunctions.Utility_DisplayArrayInTable(Fertiliser_SourceData.Fertiliser_Products_Data3(), FertiliserProducts[[#Headers],[Company]],61)</f>
        <v/>
      </c>
      <c r="Y160" s="200" t="str" cm="1">
        <f t="array" ref="Y160">Common_InputFunctions.Utility_DisplayArrayInTable(Fertiliser_SourceData.Fertiliser_Products_Data3(), FertiliserProducts[[#Headers],[Company]],61)</f>
        <v/>
      </c>
      <c r="Z160" s="200" t="str" cm="1">
        <f t="array" ref="Z160">Common_InputFunctions.Utility_DisplayArrayInTable(Fertiliser_SourceData.Fertiliser_Products_Data3(), FertiliserProducts[[#Headers],[Company]],61)</f>
        <v/>
      </c>
      <c r="AA160" s="200" t="str" cm="1">
        <f t="array" ref="AA160">Common_InputFunctions.Utility_DisplayArrayInTable(Fertiliser_SourceData.Fertiliser_Products_Data3(), FertiliserProducts[[#Headers],[Company]],61)</f>
        <v/>
      </c>
      <c r="AB160" s="200" t="str" cm="1">
        <f t="array" ref="AB160">Common_InputFunctions.Utility_DisplayArrayInTable(Fertiliser_SourceData.Fertiliser_Products_Data3(), FertiliserProducts[[#Headers],[Company]],61)</f>
        <v/>
      </c>
      <c r="AC160" s="200" t="str" cm="1">
        <f t="array" ref="AC160">Common_InputFunctions.Utility_DisplayArrayInTable(Fertiliser_SourceData.Fertiliser_Products_Data3(), FertiliserProducts[[#Headers],[Company]],61)</f>
        <v/>
      </c>
      <c r="AD160" s="200" t="str" cm="1">
        <f t="array" ref="AD160">Common_InputFunctions.Utility_DisplayArrayInTable(Fertiliser_SourceData.Fertiliser_Products_Data3(), FertiliserProducts[[#Headers],[Company]],61)</f>
        <v/>
      </c>
      <c r="AE160" s="200" t="str" cm="1">
        <f t="array" ref="AE160">Common_InputFunctions.Utility_DisplayArrayInTable(Fertiliser_SourceData.Fertiliser_Products_Data3(), FertiliserProducts[[#Headers],[Company]],61)</f>
        <v/>
      </c>
      <c r="AF160" s="200" t="str" cm="1">
        <f t="array" ref="AF160">Common_InputFunctions.Utility_DisplayArrayInTable(Fertiliser_SourceData.Fertiliser_Products_Data3(), FertiliserProducts[[#Headers],[Company]],61)</f>
        <v/>
      </c>
      <c r="AG160" s="200" t="str" cm="1">
        <f t="array" ref="AG160">Common_InputFunctions.Utility_DisplayArrayInTable(Fertiliser_SourceData.Fertiliser_Products_Data3(), FertiliserProducts[[#Headers],[Company]],61)</f>
        <v/>
      </c>
      <c r="AH160" s="200" t="str" cm="1">
        <f t="array" ref="AH160">Common_InputFunctions.Utility_DisplayArrayInTable(Fertiliser_SourceData.Fertiliser_Products_Data3(), FertiliserProducts[[#Headers],[Company]],61)</f>
        <v/>
      </c>
      <c r="AK160" s="1"/>
    </row>
    <row r="161" spans="4:37" ht="20.100000000000001" customHeight="1" x14ac:dyDescent="0.25">
      <c r="D161" s="200" t="str" cm="1">
        <f t="array" ref="D161">Common_InputFunctions.Utility_DisplayArrayInTable(Fertiliser_SourceData.Fertiliser_Products_Data3(), FertiliserProducts[[#Headers],[Company]],61)</f>
        <v>Baileys (Simplot) [listed as Impact]</v>
      </c>
      <c r="E161" s="200" t="str" cm="1">
        <f t="array" ref="E161">Common_InputFunctions.Utility_DisplayArrayInTable(Fertiliser_SourceData.Fertiliser_Products_Data3(), FertiliserProducts[[#Headers],[Company]],61)</f>
        <v>Apex GaIXe Low P 21-1-6</v>
      </c>
      <c r="F161" s="200" t="str" cm="1">
        <f t="array" ref="F161">Common_InputFunctions.Utility_DisplayArrayInTable(Fertiliser_SourceData.Fertiliser_Products_Data3(), FertiliserProducts[[#Headers],[Company]],61)</f>
        <v>kg</v>
      </c>
      <c r="G161" s="200" cm="1">
        <f t="array" ref="G161">Common_InputFunctions.Utility_DisplayArrayInTable(Fertiliser_SourceData.Fertiliser_Products_Data3(), FertiliserProducts[[#Headers],[Company]],61)</f>
        <v>1</v>
      </c>
      <c r="H161" s="200" t="str" cm="1">
        <f t="array" ref="H161">Common_InputFunctions.Utility_DisplayArrayInTable(Fertiliser_SourceData.Fertiliser_Products_Data3(), FertiliserProducts[[#Headers],[Company]],61)</f>
        <v/>
      </c>
      <c r="I161" s="200" t="str" cm="1">
        <f t="array" ref="I161">Common_InputFunctions.Utility_DisplayArrayInTable(Fertiliser_SourceData.Fertiliser_Products_Data3(), FertiliserProducts[[#Headers],[Company]],61)</f>
        <v/>
      </c>
      <c r="J161" s="200" t="str" cm="1">
        <f t="array" ref="J161">Common_InputFunctions.Utility_DisplayArrayInTable(Fertiliser_SourceData.Fertiliser_Products_Data3(), FertiliserProducts[[#Headers],[Company]],61)</f>
        <v/>
      </c>
      <c r="K161" s="200" cm="1">
        <f t="array" ref="K161">Common_InputFunctions.Utility_DisplayArrayInTable(Fertiliser_SourceData.Fertiliser_Products_Data3(), FertiliserProducts[[#Headers],[Company]],61)</f>
        <v>21</v>
      </c>
      <c r="L161" s="200" cm="1">
        <f t="array" ref="L161">Common_InputFunctions.Utility_DisplayArrayInTable(Fertiliser_SourceData.Fertiliser_Products_Data3(), FertiliserProducts[[#Headers],[Company]],61)</f>
        <v>0.86</v>
      </c>
      <c r="M161" s="200" cm="1">
        <f t="array" ref="M161">Common_InputFunctions.Utility_DisplayArrayInTable(Fertiliser_SourceData.Fertiliser_Products_Data3(), FertiliserProducts[[#Headers],[Company]],61)</f>
        <v>5.8</v>
      </c>
      <c r="N161" s="200" cm="1">
        <f t="array" ref="N161">Common_InputFunctions.Utility_DisplayArrayInTable(Fertiliser_SourceData.Fertiliser_Products_Data3(), FertiliserProducts[[#Headers],[Company]],61)</f>
        <v>4.2</v>
      </c>
      <c r="O161" s="200" t="str" cm="1">
        <f t="array" ref="O161">Common_InputFunctions.Utility_DisplayArrayInTable(Fertiliser_SourceData.Fertiliser_Products_Data3(), FertiliserProducts[[#Headers],[Company]],61)</f>
        <v>Nitrogen - Generic</v>
      </c>
      <c r="P161" s="200" cm="1">
        <f t="array" ref="P161">Common_InputFunctions.Utility_DisplayArrayInTable(Fertiliser_SourceData.Fertiliser_Products_Data3(), FertiliserProducts[[#Headers],[Company]],61)</f>
        <v>0.21</v>
      </c>
      <c r="Q161" s="200" t="str" cm="1">
        <f t="array" ref="Q161">Common_InputFunctions.Utility_DisplayArrayInTable(Fertiliser_SourceData.Fertiliser_Products_Data3(), FertiliserProducts[[#Headers],[Company]],61)</f>
        <v>Potassium - Generic</v>
      </c>
      <c r="R161" s="200" cm="1">
        <f t="array" ref="R161">Common_InputFunctions.Utility_DisplayArrayInTable(Fertiliser_SourceData.Fertiliser_Products_Data3(), FertiliserProducts[[#Headers],[Company]],61)</f>
        <v>5.8000000000000003E-2</v>
      </c>
      <c r="S161" s="200" t="str" cm="1">
        <f t="array" ref="S161">Common_InputFunctions.Utility_DisplayArrayInTable(Fertiliser_SourceData.Fertiliser_Products_Data3(), FertiliserProducts[[#Headers],[Company]],61)</f>
        <v>Sulfur - Generic</v>
      </c>
      <c r="T161" s="200" cm="1">
        <f t="array" ref="T161">Common_InputFunctions.Utility_DisplayArrayInTable(Fertiliser_SourceData.Fertiliser_Products_Data3(), FertiliserProducts[[#Headers],[Company]],61)</f>
        <v>4.2000000000000003E-2</v>
      </c>
      <c r="U161" s="200" t="str" cm="1">
        <f t="array" ref="U161">Common_InputFunctions.Utility_DisplayArrayInTable(Fertiliser_SourceData.Fertiliser_Products_Data3(), FertiliserProducts[[#Headers],[Company]],61)</f>
        <v>Phosphorus - Generic</v>
      </c>
      <c r="V161" s="200" cm="1">
        <f t="array" ref="V161">Common_InputFunctions.Utility_DisplayArrayInTable(Fertiliser_SourceData.Fertiliser_Products_Data3(), FertiliserProducts[[#Headers],[Company]],61)</f>
        <v>8.6E-3</v>
      </c>
      <c r="W161" s="200" t="str" cm="1">
        <f t="array" ref="W161">Common_InputFunctions.Utility_DisplayArrayInTable(Fertiliser_SourceData.Fertiliser_Products_Data3(), FertiliserProducts[[#Headers],[Company]],61)</f>
        <v/>
      </c>
      <c r="X161" s="200" t="str" cm="1">
        <f t="array" ref="X161">Common_InputFunctions.Utility_DisplayArrayInTable(Fertiliser_SourceData.Fertiliser_Products_Data3(), FertiliserProducts[[#Headers],[Company]],61)</f>
        <v/>
      </c>
      <c r="Y161" s="200" t="str" cm="1">
        <f t="array" ref="Y161">Common_InputFunctions.Utility_DisplayArrayInTable(Fertiliser_SourceData.Fertiliser_Products_Data3(), FertiliserProducts[[#Headers],[Company]],61)</f>
        <v/>
      </c>
      <c r="Z161" s="200" t="str" cm="1">
        <f t="array" ref="Z161">Common_InputFunctions.Utility_DisplayArrayInTable(Fertiliser_SourceData.Fertiliser_Products_Data3(), FertiliserProducts[[#Headers],[Company]],61)</f>
        <v/>
      </c>
      <c r="AA161" s="200" t="str" cm="1">
        <f t="array" ref="AA161">Common_InputFunctions.Utility_DisplayArrayInTable(Fertiliser_SourceData.Fertiliser_Products_Data3(), FertiliserProducts[[#Headers],[Company]],61)</f>
        <v/>
      </c>
      <c r="AB161" s="200" t="str" cm="1">
        <f t="array" ref="AB161">Common_InputFunctions.Utility_DisplayArrayInTable(Fertiliser_SourceData.Fertiliser_Products_Data3(), FertiliserProducts[[#Headers],[Company]],61)</f>
        <v/>
      </c>
      <c r="AC161" s="200" t="str" cm="1">
        <f t="array" ref="AC161">Common_InputFunctions.Utility_DisplayArrayInTable(Fertiliser_SourceData.Fertiliser_Products_Data3(), FertiliserProducts[[#Headers],[Company]],61)</f>
        <v/>
      </c>
      <c r="AD161" s="200" t="str" cm="1">
        <f t="array" ref="AD161">Common_InputFunctions.Utility_DisplayArrayInTable(Fertiliser_SourceData.Fertiliser_Products_Data3(), FertiliserProducts[[#Headers],[Company]],61)</f>
        <v/>
      </c>
      <c r="AE161" s="200" t="str" cm="1">
        <f t="array" ref="AE161">Common_InputFunctions.Utility_DisplayArrayInTable(Fertiliser_SourceData.Fertiliser_Products_Data3(), FertiliserProducts[[#Headers],[Company]],61)</f>
        <v/>
      </c>
      <c r="AF161" s="200" t="str" cm="1">
        <f t="array" ref="AF161">Common_InputFunctions.Utility_DisplayArrayInTable(Fertiliser_SourceData.Fertiliser_Products_Data3(), FertiliserProducts[[#Headers],[Company]],61)</f>
        <v/>
      </c>
      <c r="AG161" s="200" t="str" cm="1">
        <f t="array" ref="AG161">Common_InputFunctions.Utility_DisplayArrayInTable(Fertiliser_SourceData.Fertiliser_Products_Data3(), FertiliserProducts[[#Headers],[Company]],61)</f>
        <v/>
      </c>
      <c r="AH161" s="200" t="str" cm="1">
        <f t="array" ref="AH161">Common_InputFunctions.Utility_DisplayArrayInTable(Fertiliser_SourceData.Fertiliser_Products_Data3(), FertiliserProducts[[#Headers],[Company]],61)</f>
        <v/>
      </c>
      <c r="AK161" s="1"/>
    </row>
    <row r="162" spans="4:37" ht="20.100000000000001" customHeight="1" x14ac:dyDescent="0.25">
      <c r="D162" s="200" t="str" cm="1">
        <f t="array" ref="D162">Common_InputFunctions.Utility_DisplayArrayInTable(Fertiliser_SourceData.Fertiliser_Products_Data3(), FertiliserProducts[[#Headers],[Company]],61)</f>
        <v>Incitec Pivot Fertilisers</v>
      </c>
      <c r="E162" s="200" t="str" cm="1">
        <f t="array" ref="E162">Common_InputFunctions.Utility_DisplayArrayInTable(Fertiliser_SourceData.Fertiliser_Products_Data3(), FertiliserProducts[[#Headers],[Company]],61)</f>
        <v>SuPerfect</v>
      </c>
      <c r="F162" s="200" t="str" cm="1">
        <f t="array" ref="F162">Common_InputFunctions.Utility_DisplayArrayInTable(Fertiliser_SourceData.Fertiliser_Products_Data3(), FertiliserProducts[[#Headers],[Company]],61)</f>
        <v>kg</v>
      </c>
      <c r="G162" s="200" cm="1">
        <f t="array" ref="G162">Common_InputFunctions.Utility_DisplayArrayInTable(Fertiliser_SourceData.Fertiliser_Products_Data3(), FertiliserProducts[[#Headers],[Company]],61)</f>
        <v>1</v>
      </c>
      <c r="H162" s="200" t="str" cm="1">
        <f t="array" ref="H162">Common_InputFunctions.Utility_DisplayArrayInTable(Fertiliser_SourceData.Fertiliser_Products_Data3(), FertiliserProducts[[#Headers],[Company]],61)</f>
        <v/>
      </c>
      <c r="I162" s="200" t="str" cm="1">
        <f t="array" ref="I162">Common_InputFunctions.Utility_DisplayArrayInTable(Fertiliser_SourceData.Fertiliser_Products_Data3(), FertiliserProducts[[#Headers],[Company]],61)</f>
        <v/>
      </c>
      <c r="J162" s="200" t="str" cm="1">
        <f t="array" ref="J162">Common_InputFunctions.Utility_DisplayArrayInTable(Fertiliser_SourceData.Fertiliser_Products_Data3(), FertiliserProducts[[#Headers],[Company]],61)</f>
        <v/>
      </c>
      <c r="K162" s="200" t="str" cm="1">
        <f t="array" ref="K162">Common_InputFunctions.Utility_DisplayArrayInTable(Fertiliser_SourceData.Fertiliser_Products_Data3(), FertiliserProducts[[#Headers],[Company]],61)</f>
        <v/>
      </c>
      <c r="L162" s="200" cm="1">
        <f t="array" ref="L162">Common_InputFunctions.Utility_DisplayArrayInTable(Fertiliser_SourceData.Fertiliser_Products_Data3(), FertiliserProducts[[#Headers],[Company]],61)</f>
        <v>8.8000000000000007</v>
      </c>
      <c r="M162" s="200" t="str" cm="1">
        <f t="array" ref="M162">Common_InputFunctions.Utility_DisplayArrayInTable(Fertiliser_SourceData.Fertiliser_Products_Data3(), FertiliserProducts[[#Headers],[Company]],61)</f>
        <v/>
      </c>
      <c r="N162" s="200" cm="1">
        <f t="array" ref="N162">Common_InputFunctions.Utility_DisplayArrayInTable(Fertiliser_SourceData.Fertiliser_Products_Data3(), FertiliserProducts[[#Headers],[Company]],61)</f>
        <v>11</v>
      </c>
      <c r="O162" s="200" t="str" cm="1">
        <f t="array" ref="O162">Common_InputFunctions.Utility_DisplayArrayInTable(Fertiliser_SourceData.Fertiliser_Products_Data3(), FertiliserProducts[[#Headers],[Company]],61)</f>
        <v>Single superphosphate (SSP)</v>
      </c>
      <c r="P162" s="200" cm="1">
        <f t="array" ref="P162">Common_InputFunctions.Utility_DisplayArrayInTable(Fertiliser_SourceData.Fertiliser_Products_Data3(), FertiliserProducts[[#Headers],[Company]],61)</f>
        <v>1</v>
      </c>
      <c r="Q162" s="200" t="str" cm="1">
        <f t="array" ref="Q162">Common_InputFunctions.Utility_DisplayArrayInTable(Fertiliser_SourceData.Fertiliser_Products_Data3(), FertiliserProducts[[#Headers],[Company]],61)</f>
        <v/>
      </c>
      <c r="R162" s="200" t="str" cm="1">
        <f t="array" ref="R162">Common_InputFunctions.Utility_DisplayArrayInTable(Fertiliser_SourceData.Fertiliser_Products_Data3(), FertiliserProducts[[#Headers],[Company]],61)</f>
        <v/>
      </c>
      <c r="S162" s="200" t="str" cm="1">
        <f t="array" ref="S162">Common_InputFunctions.Utility_DisplayArrayInTable(Fertiliser_SourceData.Fertiliser_Products_Data3(), FertiliserProducts[[#Headers],[Company]],61)</f>
        <v/>
      </c>
      <c r="T162" s="200" t="str" cm="1">
        <f t="array" ref="T162">Common_InputFunctions.Utility_DisplayArrayInTable(Fertiliser_SourceData.Fertiliser_Products_Data3(), FertiliserProducts[[#Headers],[Company]],61)</f>
        <v/>
      </c>
      <c r="U162" s="200" t="str" cm="1">
        <f t="array" ref="U162">Common_InputFunctions.Utility_DisplayArrayInTable(Fertiliser_SourceData.Fertiliser_Products_Data3(), FertiliserProducts[[#Headers],[Company]],61)</f>
        <v/>
      </c>
      <c r="V162" s="200" t="str" cm="1">
        <f t="array" ref="V162">Common_InputFunctions.Utility_DisplayArrayInTable(Fertiliser_SourceData.Fertiliser_Products_Data3(), FertiliserProducts[[#Headers],[Company]],61)</f>
        <v/>
      </c>
      <c r="W162" s="200" t="str" cm="1">
        <f t="array" ref="W162">Common_InputFunctions.Utility_DisplayArrayInTable(Fertiliser_SourceData.Fertiliser_Products_Data3(), FertiliserProducts[[#Headers],[Company]],61)</f>
        <v/>
      </c>
      <c r="X162" s="200" t="str" cm="1">
        <f t="array" ref="X162">Common_InputFunctions.Utility_DisplayArrayInTable(Fertiliser_SourceData.Fertiliser_Products_Data3(), FertiliserProducts[[#Headers],[Company]],61)</f>
        <v/>
      </c>
      <c r="Y162" s="200" t="str" cm="1">
        <f t="array" ref="Y162">Common_InputFunctions.Utility_DisplayArrayInTable(Fertiliser_SourceData.Fertiliser_Products_Data3(), FertiliserProducts[[#Headers],[Company]],61)</f>
        <v/>
      </c>
      <c r="Z162" s="200" t="str" cm="1">
        <f t="array" ref="Z162">Common_InputFunctions.Utility_DisplayArrayInTable(Fertiliser_SourceData.Fertiliser_Products_Data3(), FertiliserProducts[[#Headers],[Company]],61)</f>
        <v/>
      </c>
      <c r="AA162" s="200" t="str" cm="1">
        <f t="array" ref="AA162">Common_InputFunctions.Utility_DisplayArrayInTable(Fertiliser_SourceData.Fertiliser_Products_Data3(), FertiliserProducts[[#Headers],[Company]],61)</f>
        <v/>
      </c>
      <c r="AB162" s="200" t="str" cm="1">
        <f t="array" ref="AB162">Common_InputFunctions.Utility_DisplayArrayInTable(Fertiliser_SourceData.Fertiliser_Products_Data3(), FertiliserProducts[[#Headers],[Company]],61)</f>
        <v/>
      </c>
      <c r="AC162" s="200" t="str" cm="1">
        <f t="array" ref="AC162">Common_InputFunctions.Utility_DisplayArrayInTable(Fertiliser_SourceData.Fertiliser_Products_Data3(), FertiliserProducts[[#Headers],[Company]],61)</f>
        <v/>
      </c>
      <c r="AD162" s="200" t="str" cm="1">
        <f t="array" ref="AD162">Common_InputFunctions.Utility_DisplayArrayInTable(Fertiliser_SourceData.Fertiliser_Products_Data3(), FertiliserProducts[[#Headers],[Company]],61)</f>
        <v/>
      </c>
      <c r="AE162" s="200" t="str" cm="1">
        <f t="array" ref="AE162">Common_InputFunctions.Utility_DisplayArrayInTable(Fertiliser_SourceData.Fertiliser_Products_Data3(), FertiliserProducts[[#Headers],[Company]],61)</f>
        <v/>
      </c>
      <c r="AF162" s="200" t="str" cm="1">
        <f t="array" ref="AF162">Common_InputFunctions.Utility_DisplayArrayInTable(Fertiliser_SourceData.Fertiliser_Products_Data3(), FertiliserProducts[[#Headers],[Company]],61)</f>
        <v/>
      </c>
      <c r="AG162" s="200" t="str" cm="1">
        <f t="array" ref="AG162">Common_InputFunctions.Utility_DisplayArrayInTable(Fertiliser_SourceData.Fertiliser_Products_Data3(), FertiliserProducts[[#Headers],[Company]],61)</f>
        <v/>
      </c>
      <c r="AH162" s="200" t="str" cm="1">
        <f t="array" ref="AH162">Common_InputFunctions.Utility_DisplayArrayInTable(Fertiliser_SourceData.Fertiliser_Products_Data3(), FertiliserProducts[[#Headers],[Company]],61)</f>
        <v/>
      </c>
      <c r="AK162" s="1"/>
    </row>
    <row r="163" spans="4:37" ht="20.100000000000001" customHeight="1" x14ac:dyDescent="0.25">
      <c r="D163" s="200" t="str" cm="1">
        <f t="array" ref="D163">Common_InputFunctions.Utility_DisplayArrayInTable(Fertiliser_SourceData.Fertiliser_Products_Data3(), FertiliserProducts[[#Headers],[Company]],61)</f>
        <v>Incitec Pivot Fertilisers [listed as Summit]</v>
      </c>
      <c r="E163" s="200" t="str" cm="1">
        <f t="array" ref="E163">Common_InputFunctions.Utility_DisplayArrayInTable(Fertiliser_SourceData.Fertiliser_Products_Data3(), FertiliserProducts[[#Headers],[Company]],61)</f>
        <v>Big N</v>
      </c>
      <c r="F163" s="200" t="str" cm="1">
        <f t="array" ref="F163">Common_InputFunctions.Utility_DisplayArrayInTable(Fertiliser_SourceData.Fertiliser_Products_Data3(), FertiliserProducts[[#Headers],[Company]],61)</f>
        <v>kg</v>
      </c>
      <c r="G163" s="200" cm="1">
        <f t="array" ref="G163">Common_InputFunctions.Utility_DisplayArrayInTable(Fertiliser_SourceData.Fertiliser_Products_Data3(), FertiliserProducts[[#Headers],[Company]],61)</f>
        <v>1</v>
      </c>
      <c r="H163" s="200" t="str" cm="1">
        <f t="array" ref="H163">Common_InputFunctions.Utility_DisplayArrayInTable(Fertiliser_SourceData.Fertiliser_Products_Data3(), FertiliserProducts[[#Headers],[Company]],61)</f>
        <v/>
      </c>
      <c r="I163" s="200" t="str" cm="1">
        <f t="array" ref="I163">Common_InputFunctions.Utility_DisplayArrayInTable(Fertiliser_SourceData.Fertiliser_Products_Data3(), FertiliserProducts[[#Headers],[Company]],61)</f>
        <v/>
      </c>
      <c r="J163" s="200" t="str" cm="1">
        <f t="array" ref="J163">Common_InputFunctions.Utility_DisplayArrayInTable(Fertiliser_SourceData.Fertiliser_Products_Data3(), FertiliserProducts[[#Headers],[Company]],61)</f>
        <v/>
      </c>
      <c r="K163" s="200" cm="1">
        <f t="array" ref="K163">Common_InputFunctions.Utility_DisplayArrayInTable(Fertiliser_SourceData.Fertiliser_Products_Data3(), FertiliserProducts[[#Headers],[Company]],61)</f>
        <v>82.35</v>
      </c>
      <c r="L163" s="200" t="str" cm="1">
        <f t="array" ref="L163">Common_InputFunctions.Utility_DisplayArrayInTable(Fertiliser_SourceData.Fertiliser_Products_Data3(), FertiliserProducts[[#Headers],[Company]],61)</f>
        <v/>
      </c>
      <c r="M163" s="200" t="str" cm="1">
        <f t="array" ref="M163">Common_InputFunctions.Utility_DisplayArrayInTable(Fertiliser_SourceData.Fertiliser_Products_Data3(), FertiliserProducts[[#Headers],[Company]],61)</f>
        <v/>
      </c>
      <c r="N163" s="200" t="str" cm="1">
        <f t="array" ref="N163">Common_InputFunctions.Utility_DisplayArrayInTable(Fertiliser_SourceData.Fertiliser_Products_Data3(), FertiliserProducts[[#Headers],[Company]],61)</f>
        <v/>
      </c>
      <c r="O163" s="200" t="str" cm="1">
        <f t="array" ref="O163">Common_InputFunctions.Utility_DisplayArrayInTable(Fertiliser_SourceData.Fertiliser_Products_Data3(), FertiliserProducts[[#Headers],[Company]],61)</f>
        <v>Ammonia</v>
      </c>
      <c r="P163" s="200" cm="1">
        <f t="array" ref="P163">Common_InputFunctions.Utility_DisplayArrayInTable(Fertiliser_SourceData.Fertiliser_Products_Data3(), FertiliserProducts[[#Headers],[Company]],61)</f>
        <v>1</v>
      </c>
      <c r="Q163" s="200" t="str" cm="1">
        <f t="array" ref="Q163">Common_InputFunctions.Utility_DisplayArrayInTable(Fertiliser_SourceData.Fertiliser_Products_Data3(), FertiliserProducts[[#Headers],[Company]],61)</f>
        <v/>
      </c>
      <c r="R163" s="200" t="str" cm="1">
        <f t="array" ref="R163">Common_InputFunctions.Utility_DisplayArrayInTable(Fertiliser_SourceData.Fertiliser_Products_Data3(), FertiliserProducts[[#Headers],[Company]],61)</f>
        <v/>
      </c>
      <c r="S163" s="200" t="str" cm="1">
        <f t="array" ref="S163">Common_InputFunctions.Utility_DisplayArrayInTable(Fertiliser_SourceData.Fertiliser_Products_Data3(), FertiliserProducts[[#Headers],[Company]],61)</f>
        <v/>
      </c>
      <c r="T163" s="200" t="str" cm="1">
        <f t="array" ref="T163">Common_InputFunctions.Utility_DisplayArrayInTable(Fertiliser_SourceData.Fertiliser_Products_Data3(), FertiliserProducts[[#Headers],[Company]],61)</f>
        <v/>
      </c>
      <c r="U163" s="200" t="str" cm="1">
        <f t="array" ref="U163">Common_InputFunctions.Utility_DisplayArrayInTable(Fertiliser_SourceData.Fertiliser_Products_Data3(), FertiliserProducts[[#Headers],[Company]],61)</f>
        <v/>
      </c>
      <c r="V163" s="200" t="str" cm="1">
        <f t="array" ref="V163">Common_InputFunctions.Utility_DisplayArrayInTable(Fertiliser_SourceData.Fertiliser_Products_Data3(), FertiliserProducts[[#Headers],[Company]],61)</f>
        <v/>
      </c>
      <c r="W163" s="200" t="str" cm="1">
        <f t="array" ref="W163">Common_InputFunctions.Utility_DisplayArrayInTable(Fertiliser_SourceData.Fertiliser_Products_Data3(), FertiliserProducts[[#Headers],[Company]],61)</f>
        <v/>
      </c>
      <c r="X163" s="200" t="str" cm="1">
        <f t="array" ref="X163">Common_InputFunctions.Utility_DisplayArrayInTable(Fertiliser_SourceData.Fertiliser_Products_Data3(), FertiliserProducts[[#Headers],[Company]],61)</f>
        <v/>
      </c>
      <c r="Y163" s="200" t="str" cm="1">
        <f t="array" ref="Y163">Common_InputFunctions.Utility_DisplayArrayInTable(Fertiliser_SourceData.Fertiliser_Products_Data3(), FertiliserProducts[[#Headers],[Company]],61)</f>
        <v/>
      </c>
      <c r="Z163" s="200" t="str" cm="1">
        <f t="array" ref="Z163">Common_InputFunctions.Utility_DisplayArrayInTable(Fertiliser_SourceData.Fertiliser_Products_Data3(), FertiliserProducts[[#Headers],[Company]],61)</f>
        <v/>
      </c>
      <c r="AA163" s="200" t="str" cm="1">
        <f t="array" ref="AA163">Common_InputFunctions.Utility_DisplayArrayInTable(Fertiliser_SourceData.Fertiliser_Products_Data3(), FertiliserProducts[[#Headers],[Company]],61)</f>
        <v/>
      </c>
      <c r="AB163" s="200" t="str" cm="1">
        <f t="array" ref="AB163">Common_InputFunctions.Utility_DisplayArrayInTable(Fertiliser_SourceData.Fertiliser_Products_Data3(), FertiliserProducts[[#Headers],[Company]],61)</f>
        <v/>
      </c>
      <c r="AC163" s="200" t="str" cm="1">
        <f t="array" ref="AC163">Common_InputFunctions.Utility_DisplayArrayInTable(Fertiliser_SourceData.Fertiliser_Products_Data3(), FertiliserProducts[[#Headers],[Company]],61)</f>
        <v/>
      </c>
      <c r="AD163" s="200" t="str" cm="1">
        <f t="array" ref="AD163">Common_InputFunctions.Utility_DisplayArrayInTable(Fertiliser_SourceData.Fertiliser_Products_Data3(), FertiliserProducts[[#Headers],[Company]],61)</f>
        <v/>
      </c>
      <c r="AE163" s="200" t="str" cm="1">
        <f t="array" ref="AE163">Common_InputFunctions.Utility_DisplayArrayInTable(Fertiliser_SourceData.Fertiliser_Products_Data3(), FertiliserProducts[[#Headers],[Company]],61)</f>
        <v/>
      </c>
      <c r="AF163" s="200" t="str" cm="1">
        <f t="array" ref="AF163">Common_InputFunctions.Utility_DisplayArrayInTable(Fertiliser_SourceData.Fertiliser_Products_Data3(), FertiliserProducts[[#Headers],[Company]],61)</f>
        <v/>
      </c>
      <c r="AG163" s="200" t="str" cm="1">
        <f t="array" ref="AG163">Common_InputFunctions.Utility_DisplayArrayInTable(Fertiliser_SourceData.Fertiliser_Products_Data3(), FertiliserProducts[[#Headers],[Company]],61)</f>
        <v/>
      </c>
      <c r="AH163" s="200" t="str" cm="1">
        <f t="array" ref="AH163">Common_InputFunctions.Utility_DisplayArrayInTable(Fertiliser_SourceData.Fertiliser_Products_Data3(), FertiliserProducts[[#Headers],[Company]],61)</f>
        <v/>
      </c>
      <c r="AK163" s="1"/>
    </row>
    <row r="164" spans="4:37" ht="20.100000000000001" customHeight="1" x14ac:dyDescent="0.25">
      <c r="D164" s="200" t="str" cm="1">
        <f t="array" ref="D164">Common_InputFunctions.Utility_DisplayArrayInTable(Fertiliser_SourceData.Fertiliser_Products_Data3(), FertiliserProducts[[#Headers],[Company]],61)</f>
        <v>Incitec Pivot Fertilisers</v>
      </c>
      <c r="E164" s="200" t="str" cm="1">
        <f t="array" ref="E164">Common_InputFunctions.Utility_DisplayArrayInTable(Fertiliser_SourceData.Fertiliser_Products_Data3(), FertiliserProducts[[#Headers],[Company]],61)</f>
        <v>Entec Urea</v>
      </c>
      <c r="F164" s="200" t="str" cm="1">
        <f t="array" ref="F164">Common_InputFunctions.Utility_DisplayArrayInTable(Fertiliser_SourceData.Fertiliser_Products_Data3(), FertiliserProducts[[#Headers],[Company]],61)</f>
        <v>kg</v>
      </c>
      <c r="G164" s="200" cm="1">
        <f t="array" ref="G164">Common_InputFunctions.Utility_DisplayArrayInTable(Fertiliser_SourceData.Fertiliser_Products_Data3(), FertiliserProducts[[#Headers],[Company]],61)</f>
        <v>1</v>
      </c>
      <c r="H164" s="200" t="str" cm="1">
        <f t="array" ref="H164">Common_InputFunctions.Utility_DisplayArrayInTable(Fertiliser_SourceData.Fertiliser_Products_Data3(), FertiliserProducts[[#Headers],[Company]],61)</f>
        <v>Yes</v>
      </c>
      <c r="I164" s="200" t="str" cm="1">
        <f t="array" ref="I164">Common_InputFunctions.Utility_DisplayArrayInTable(Fertiliser_SourceData.Fertiliser_Products_Data3(), FertiliserProducts[[#Headers],[Company]],61)</f>
        <v/>
      </c>
      <c r="J164" s="200" t="str" cm="1">
        <f t="array" ref="J164">Common_InputFunctions.Utility_DisplayArrayInTable(Fertiliser_SourceData.Fertiliser_Products_Data3(), FertiliserProducts[[#Headers],[Company]],61)</f>
        <v/>
      </c>
      <c r="K164" s="200" cm="1">
        <f t="array" ref="K164">Common_InputFunctions.Utility_DisplayArrayInTable(Fertiliser_SourceData.Fertiliser_Products_Data3(), FertiliserProducts[[#Headers],[Company]],61)</f>
        <v>46</v>
      </c>
      <c r="L164" s="200" t="str" cm="1">
        <f t="array" ref="L164">Common_InputFunctions.Utility_DisplayArrayInTable(Fertiliser_SourceData.Fertiliser_Products_Data3(), FertiliserProducts[[#Headers],[Company]],61)</f>
        <v/>
      </c>
      <c r="M164" s="200" t="str" cm="1">
        <f t="array" ref="M164">Common_InputFunctions.Utility_DisplayArrayInTable(Fertiliser_SourceData.Fertiliser_Products_Data3(), FertiliserProducts[[#Headers],[Company]],61)</f>
        <v/>
      </c>
      <c r="N164" s="200" t="str" cm="1">
        <f t="array" ref="N164">Common_InputFunctions.Utility_DisplayArrayInTable(Fertiliser_SourceData.Fertiliser_Products_Data3(), FertiliserProducts[[#Headers],[Company]],61)</f>
        <v/>
      </c>
      <c r="O164" s="200" t="str" cm="1">
        <f t="array" ref="O164">Common_InputFunctions.Utility_DisplayArrayInTable(Fertiliser_SourceData.Fertiliser_Products_Data3(), FertiliserProducts[[#Headers],[Company]],61)</f>
        <v>Urea</v>
      </c>
      <c r="P164" s="200" cm="1">
        <f t="array" ref="P164">Common_InputFunctions.Utility_DisplayArrayInTable(Fertiliser_SourceData.Fertiliser_Products_Data3(), FertiliserProducts[[#Headers],[Company]],61)</f>
        <v>1</v>
      </c>
      <c r="Q164" s="200" t="str" cm="1">
        <f t="array" ref="Q164">Common_InputFunctions.Utility_DisplayArrayInTable(Fertiliser_SourceData.Fertiliser_Products_Data3(), FertiliserProducts[[#Headers],[Company]],61)</f>
        <v/>
      </c>
      <c r="R164" s="200" t="str" cm="1">
        <f t="array" ref="R164">Common_InputFunctions.Utility_DisplayArrayInTable(Fertiliser_SourceData.Fertiliser_Products_Data3(), FertiliserProducts[[#Headers],[Company]],61)</f>
        <v/>
      </c>
      <c r="S164" s="200" t="str" cm="1">
        <f t="array" ref="S164">Common_InputFunctions.Utility_DisplayArrayInTable(Fertiliser_SourceData.Fertiliser_Products_Data3(), FertiliserProducts[[#Headers],[Company]],61)</f>
        <v/>
      </c>
      <c r="T164" s="200" t="str" cm="1">
        <f t="array" ref="T164">Common_InputFunctions.Utility_DisplayArrayInTable(Fertiliser_SourceData.Fertiliser_Products_Data3(), FertiliserProducts[[#Headers],[Company]],61)</f>
        <v/>
      </c>
      <c r="U164" s="200" t="str" cm="1">
        <f t="array" ref="U164">Common_InputFunctions.Utility_DisplayArrayInTable(Fertiliser_SourceData.Fertiliser_Products_Data3(), FertiliserProducts[[#Headers],[Company]],61)</f>
        <v/>
      </c>
      <c r="V164" s="200" t="str" cm="1">
        <f t="array" ref="V164">Common_InputFunctions.Utility_DisplayArrayInTable(Fertiliser_SourceData.Fertiliser_Products_Data3(), FertiliserProducts[[#Headers],[Company]],61)</f>
        <v/>
      </c>
      <c r="W164" s="200" t="str" cm="1">
        <f t="array" ref="W164">Common_InputFunctions.Utility_DisplayArrayInTable(Fertiliser_SourceData.Fertiliser_Products_Data3(), FertiliserProducts[[#Headers],[Company]],61)</f>
        <v/>
      </c>
      <c r="X164" s="200" t="str" cm="1">
        <f t="array" ref="X164">Common_InputFunctions.Utility_DisplayArrayInTable(Fertiliser_SourceData.Fertiliser_Products_Data3(), FertiliserProducts[[#Headers],[Company]],61)</f>
        <v/>
      </c>
      <c r="Y164" s="200" t="str" cm="1">
        <f t="array" ref="Y164">Common_InputFunctions.Utility_DisplayArrayInTable(Fertiliser_SourceData.Fertiliser_Products_Data3(), FertiliserProducts[[#Headers],[Company]],61)</f>
        <v/>
      </c>
      <c r="Z164" s="200" t="str" cm="1">
        <f t="array" ref="Z164">Common_InputFunctions.Utility_DisplayArrayInTable(Fertiliser_SourceData.Fertiliser_Products_Data3(), FertiliserProducts[[#Headers],[Company]],61)</f>
        <v/>
      </c>
      <c r="AA164" s="200" t="str" cm="1">
        <f t="array" ref="AA164">Common_InputFunctions.Utility_DisplayArrayInTable(Fertiliser_SourceData.Fertiliser_Products_Data3(), FertiliserProducts[[#Headers],[Company]],61)</f>
        <v/>
      </c>
      <c r="AB164" s="200" t="str" cm="1">
        <f t="array" ref="AB164">Common_InputFunctions.Utility_DisplayArrayInTable(Fertiliser_SourceData.Fertiliser_Products_Data3(), FertiliserProducts[[#Headers],[Company]],61)</f>
        <v/>
      </c>
      <c r="AC164" s="200" t="str" cm="1">
        <f t="array" ref="AC164">Common_InputFunctions.Utility_DisplayArrayInTable(Fertiliser_SourceData.Fertiliser_Products_Data3(), FertiliserProducts[[#Headers],[Company]],61)</f>
        <v/>
      </c>
      <c r="AD164" s="200" t="str" cm="1">
        <f t="array" ref="AD164">Common_InputFunctions.Utility_DisplayArrayInTable(Fertiliser_SourceData.Fertiliser_Products_Data3(), FertiliserProducts[[#Headers],[Company]],61)</f>
        <v/>
      </c>
      <c r="AE164" s="200" t="str" cm="1">
        <f t="array" ref="AE164">Common_InputFunctions.Utility_DisplayArrayInTable(Fertiliser_SourceData.Fertiliser_Products_Data3(), FertiliserProducts[[#Headers],[Company]],61)</f>
        <v/>
      </c>
      <c r="AF164" s="200" t="str" cm="1">
        <f t="array" ref="AF164">Common_InputFunctions.Utility_DisplayArrayInTable(Fertiliser_SourceData.Fertiliser_Products_Data3(), FertiliserProducts[[#Headers],[Company]],61)</f>
        <v/>
      </c>
      <c r="AG164" s="200" t="str" cm="1">
        <f t="array" ref="AG164">Common_InputFunctions.Utility_DisplayArrayInTable(Fertiliser_SourceData.Fertiliser_Products_Data3(), FertiliserProducts[[#Headers],[Company]],61)</f>
        <v/>
      </c>
      <c r="AH164" s="200" t="str" cm="1">
        <f t="array" ref="AH164">Common_InputFunctions.Utility_DisplayArrayInTable(Fertiliser_SourceData.Fertiliser_Products_Data3(), FertiliserProducts[[#Headers],[Company]],61)</f>
        <v/>
      </c>
      <c r="AK164" s="1"/>
    </row>
    <row r="165" spans="4:37" ht="20.100000000000001" customHeight="1" x14ac:dyDescent="0.25">
      <c r="D165" s="200" t="str" cm="1">
        <f t="array" ref="D165">Common_InputFunctions.Utility_DisplayArrayInTable(Fertiliser_SourceData.Fertiliser_Products_Data3(), FertiliserProducts[[#Headers],[Company]],61)</f>
        <v>Incitec Pivot Fertilisers (or Ravensdown - see note)</v>
      </c>
      <c r="E165" s="200" t="str" cm="1">
        <f t="array" ref="E165">Common_InputFunctions.Utility_DisplayArrayInTable(Fertiliser_SourceData.Fertiliser_Products_Data3(), FertiliserProducts[[#Headers],[Company]],61)</f>
        <v>Flexi-N NI only</v>
      </c>
      <c r="F165" s="200" t="str" cm="1">
        <f t="array" ref="F165">Common_InputFunctions.Utility_DisplayArrayInTable(Fertiliser_SourceData.Fertiliser_Products_Data3(), FertiliserProducts[[#Headers],[Company]],61)</f>
        <v>kg</v>
      </c>
      <c r="G165" s="200" cm="1">
        <f t="array" ref="G165">Common_InputFunctions.Utility_DisplayArrayInTable(Fertiliser_SourceData.Fertiliser_Products_Data3(), FertiliserProducts[[#Headers],[Company]],61)</f>
        <v>1</v>
      </c>
      <c r="H165" s="200" t="str" cm="1">
        <f t="array" ref="H165">Common_InputFunctions.Utility_DisplayArrayInTable(Fertiliser_SourceData.Fertiliser_Products_Data3(), FertiliserProducts[[#Headers],[Company]],61)</f>
        <v>Yes</v>
      </c>
      <c r="I165" s="200" t="str" cm="1">
        <f t="array" ref="I165">Common_InputFunctions.Utility_DisplayArrayInTable(Fertiliser_SourceData.Fertiliser_Products_Data3(), FertiliserProducts[[#Headers],[Company]],61)</f>
        <v/>
      </c>
      <c r="J165" s="200" t="str" cm="1">
        <f t="array" ref="J165">Common_InputFunctions.Utility_DisplayArrayInTable(Fertiliser_SourceData.Fertiliser_Products_Data3(), FertiliserProducts[[#Headers],[Company]],61)</f>
        <v/>
      </c>
      <c r="K165" s="200" cm="1">
        <f t="array" ref="K165">Common_InputFunctions.Utility_DisplayArrayInTable(Fertiliser_SourceData.Fertiliser_Products_Data3(), FertiliserProducts[[#Headers],[Company]],61)</f>
        <v>45.54</v>
      </c>
      <c r="L165" s="200" t="str" cm="1">
        <f t="array" ref="L165">Common_InputFunctions.Utility_DisplayArrayInTable(Fertiliser_SourceData.Fertiliser_Products_Data3(), FertiliserProducts[[#Headers],[Company]],61)</f>
        <v/>
      </c>
      <c r="M165" s="200" t="str" cm="1">
        <f t="array" ref="M165">Common_InputFunctions.Utility_DisplayArrayInTable(Fertiliser_SourceData.Fertiliser_Products_Data3(), FertiliserProducts[[#Headers],[Company]],61)</f>
        <v/>
      </c>
      <c r="N165" s="200" t="str" cm="1">
        <f t="array" ref="N165">Common_InputFunctions.Utility_DisplayArrayInTable(Fertiliser_SourceData.Fertiliser_Products_Data3(), FertiliserProducts[[#Headers],[Company]],61)</f>
        <v/>
      </c>
      <c r="O165" s="200" t="str" cm="1">
        <f t="array" ref="O165">Common_InputFunctions.Utility_DisplayArrayInTable(Fertiliser_SourceData.Fertiliser_Products_Data3(), FertiliserProducts[[#Headers],[Company]],61)</f>
        <v>Urea</v>
      </c>
      <c r="P165" s="200" cm="1">
        <f t="array" ref="P165">Common_InputFunctions.Utility_DisplayArrayInTable(Fertiliser_SourceData.Fertiliser_Products_Data3(), FertiliserProducts[[#Headers],[Company]],61)</f>
        <v>0.99</v>
      </c>
      <c r="Q165" s="200" t="str" cm="1">
        <f t="array" ref="Q165">Common_InputFunctions.Utility_DisplayArrayInTable(Fertiliser_SourceData.Fertiliser_Products_Data3(), FertiliserProducts[[#Headers],[Company]],61)</f>
        <v>Urease/nitrification inhibitor</v>
      </c>
      <c r="R165" s="200" cm="1">
        <f t="array" ref="R165">Common_InputFunctions.Utility_DisplayArrayInTable(Fertiliser_SourceData.Fertiliser_Products_Data3(), FertiliserProducts[[#Headers],[Company]],61)</f>
        <v>0.01</v>
      </c>
      <c r="S165" s="200" t="str" cm="1">
        <f t="array" ref="S165">Common_InputFunctions.Utility_DisplayArrayInTable(Fertiliser_SourceData.Fertiliser_Products_Data3(), FertiliserProducts[[#Headers],[Company]],61)</f>
        <v/>
      </c>
      <c r="T165" s="200" t="str" cm="1">
        <f t="array" ref="T165">Common_InputFunctions.Utility_DisplayArrayInTable(Fertiliser_SourceData.Fertiliser_Products_Data3(), FertiliserProducts[[#Headers],[Company]],61)</f>
        <v/>
      </c>
      <c r="U165" s="200" t="str" cm="1">
        <f t="array" ref="U165">Common_InputFunctions.Utility_DisplayArrayInTable(Fertiliser_SourceData.Fertiliser_Products_Data3(), FertiliserProducts[[#Headers],[Company]],61)</f>
        <v/>
      </c>
      <c r="V165" s="200" t="str" cm="1">
        <f t="array" ref="V165">Common_InputFunctions.Utility_DisplayArrayInTable(Fertiliser_SourceData.Fertiliser_Products_Data3(), FertiliserProducts[[#Headers],[Company]],61)</f>
        <v/>
      </c>
      <c r="W165" s="200" t="str" cm="1">
        <f t="array" ref="W165">Common_InputFunctions.Utility_DisplayArrayInTable(Fertiliser_SourceData.Fertiliser_Products_Data3(), FertiliserProducts[[#Headers],[Company]],61)</f>
        <v/>
      </c>
      <c r="X165" s="200" t="str" cm="1">
        <f t="array" ref="X165">Common_InputFunctions.Utility_DisplayArrayInTable(Fertiliser_SourceData.Fertiliser_Products_Data3(), FertiliserProducts[[#Headers],[Company]],61)</f>
        <v/>
      </c>
      <c r="Y165" s="200" t="str" cm="1">
        <f t="array" ref="Y165">Common_InputFunctions.Utility_DisplayArrayInTable(Fertiliser_SourceData.Fertiliser_Products_Data3(), FertiliserProducts[[#Headers],[Company]],61)</f>
        <v/>
      </c>
      <c r="Z165" s="200" t="str" cm="1">
        <f t="array" ref="Z165">Common_InputFunctions.Utility_DisplayArrayInTable(Fertiliser_SourceData.Fertiliser_Products_Data3(), FertiliserProducts[[#Headers],[Company]],61)</f>
        <v/>
      </c>
      <c r="AA165" s="200" t="str" cm="1">
        <f t="array" ref="AA165">Common_InputFunctions.Utility_DisplayArrayInTable(Fertiliser_SourceData.Fertiliser_Products_Data3(), FertiliserProducts[[#Headers],[Company]],61)</f>
        <v/>
      </c>
      <c r="AB165" s="200" t="str" cm="1">
        <f t="array" ref="AB165">Common_InputFunctions.Utility_DisplayArrayInTable(Fertiliser_SourceData.Fertiliser_Products_Data3(), FertiliserProducts[[#Headers],[Company]],61)</f>
        <v/>
      </c>
      <c r="AC165" s="200" t="str" cm="1">
        <f t="array" ref="AC165">Common_InputFunctions.Utility_DisplayArrayInTable(Fertiliser_SourceData.Fertiliser_Products_Data3(), FertiliserProducts[[#Headers],[Company]],61)</f>
        <v/>
      </c>
      <c r="AD165" s="200" t="str" cm="1">
        <f t="array" ref="AD165">Common_InputFunctions.Utility_DisplayArrayInTable(Fertiliser_SourceData.Fertiliser_Products_Data3(), FertiliserProducts[[#Headers],[Company]],61)</f>
        <v/>
      </c>
      <c r="AE165" s="200" t="str" cm="1">
        <f t="array" ref="AE165">Common_InputFunctions.Utility_DisplayArrayInTable(Fertiliser_SourceData.Fertiliser_Products_Data3(), FertiliserProducts[[#Headers],[Company]],61)</f>
        <v/>
      </c>
      <c r="AF165" s="200" t="str" cm="1">
        <f t="array" ref="AF165">Common_InputFunctions.Utility_DisplayArrayInTable(Fertiliser_SourceData.Fertiliser_Products_Data3(), FertiliserProducts[[#Headers],[Company]],61)</f>
        <v/>
      </c>
      <c r="AG165" s="200" t="str" cm="1">
        <f t="array" ref="AG165">Common_InputFunctions.Utility_DisplayArrayInTable(Fertiliser_SourceData.Fertiliser_Products_Data3(), FertiliserProducts[[#Headers],[Company]],61)</f>
        <v/>
      </c>
      <c r="AH165" s="200" t="str" cm="1">
        <f t="array" ref="AH165">Common_InputFunctions.Utility_DisplayArrayInTable(Fertiliser_SourceData.Fertiliser_Products_Data3(), FertiliserProducts[[#Headers],[Company]],61)</f>
        <v/>
      </c>
      <c r="AK165" s="1"/>
    </row>
    <row r="166" spans="4:37" x14ac:dyDescent="0.25">
      <c r="D166" s="200" t="str" cm="1">
        <f t="array" ref="D166">Common_InputFunctions.Utility_DisplayArrayInTable(Fertiliser_SourceData.Fertiliser_Products_Data3(), FertiliserProducts[[#Headers],[Company]],61)</f>
        <v>Nutri-Tech Solutions (NTS)</v>
      </c>
      <c r="E166" s="200" t="str" cm="1">
        <f t="array" ref="E166">Common_InputFunctions.Utility_DisplayArrayInTable(Fertiliser_SourceData.Fertiliser_Products_Data3(), FertiliserProducts[[#Headers],[Company]],61)</f>
        <v>Muriate Of Potash MOP</v>
      </c>
      <c r="F166" s="200" t="str" cm="1">
        <f t="array" ref="F166">Common_InputFunctions.Utility_DisplayArrayInTable(Fertiliser_SourceData.Fertiliser_Products_Data3(), FertiliserProducts[[#Headers],[Company]],61)</f>
        <v>kg</v>
      </c>
      <c r="G166" s="200" cm="1">
        <f t="array" ref="G166">Common_InputFunctions.Utility_DisplayArrayInTable(Fertiliser_SourceData.Fertiliser_Products_Data3(), FertiliserProducts[[#Headers],[Company]],61)</f>
        <v>1</v>
      </c>
      <c r="H166" s="200" t="str" cm="1">
        <f t="array" ref="H166">Common_InputFunctions.Utility_DisplayArrayInTable(Fertiliser_SourceData.Fertiliser_Products_Data3(), FertiliserProducts[[#Headers],[Company]],61)</f>
        <v/>
      </c>
      <c r="I166" s="200" t="str" cm="1">
        <f t="array" ref="I166">Common_InputFunctions.Utility_DisplayArrayInTable(Fertiliser_SourceData.Fertiliser_Products_Data3(), FertiliserProducts[[#Headers],[Company]],61)</f>
        <v/>
      </c>
      <c r="J166" s="200" t="str" cm="1">
        <f t="array" ref="J166">Common_InputFunctions.Utility_DisplayArrayInTable(Fertiliser_SourceData.Fertiliser_Products_Data3(), FertiliserProducts[[#Headers],[Company]],61)</f>
        <v/>
      </c>
      <c r="K166" s="200" t="str" cm="1">
        <f t="array" ref="K166">Common_InputFunctions.Utility_DisplayArrayInTable(Fertiliser_SourceData.Fertiliser_Products_Data3(), FertiliserProducts[[#Headers],[Company]],61)</f>
        <v/>
      </c>
      <c r="L166" s="200" t="str" cm="1">
        <f t="array" ref="L166">Common_InputFunctions.Utility_DisplayArrayInTable(Fertiliser_SourceData.Fertiliser_Products_Data3(), FertiliserProducts[[#Headers],[Company]],61)</f>
        <v/>
      </c>
      <c r="M166" s="200" cm="1">
        <f t="array" ref="M166">Common_InputFunctions.Utility_DisplayArrayInTable(Fertiliser_SourceData.Fertiliser_Products_Data3(), FertiliserProducts[[#Headers],[Company]],61)</f>
        <v>50</v>
      </c>
      <c r="N166" s="200" t="str" cm="1">
        <f t="array" ref="N166">Common_InputFunctions.Utility_DisplayArrayInTable(Fertiliser_SourceData.Fertiliser_Products_Data3(), FertiliserProducts[[#Headers],[Company]],61)</f>
        <v/>
      </c>
      <c r="O166" s="200" t="str" cm="1">
        <f t="array" ref="O166">Common_InputFunctions.Utility_DisplayArrayInTable(Fertiliser_SourceData.Fertiliser_Products_Data3(), FertiliserProducts[[#Headers],[Company]],61)</f>
        <v>Muriate of potash (MOP)</v>
      </c>
      <c r="P166" s="200" cm="1">
        <f t="array" ref="P166">Common_InputFunctions.Utility_DisplayArrayInTable(Fertiliser_SourceData.Fertiliser_Products_Data3(), FertiliserProducts[[#Headers],[Company]],61)</f>
        <v>1</v>
      </c>
      <c r="Q166" s="200" t="str" cm="1">
        <f t="array" ref="Q166">Common_InputFunctions.Utility_DisplayArrayInTable(Fertiliser_SourceData.Fertiliser_Products_Data3(), FertiliserProducts[[#Headers],[Company]],61)</f>
        <v/>
      </c>
      <c r="R166" s="200" t="str" cm="1">
        <f t="array" ref="R166">Common_InputFunctions.Utility_DisplayArrayInTable(Fertiliser_SourceData.Fertiliser_Products_Data3(), FertiliserProducts[[#Headers],[Company]],61)</f>
        <v/>
      </c>
      <c r="S166" s="200" t="str" cm="1">
        <f t="array" ref="S166">Common_InputFunctions.Utility_DisplayArrayInTable(Fertiliser_SourceData.Fertiliser_Products_Data3(), FertiliserProducts[[#Headers],[Company]],61)</f>
        <v/>
      </c>
      <c r="T166" s="200" t="str" cm="1">
        <f t="array" ref="T166">Common_InputFunctions.Utility_DisplayArrayInTable(Fertiliser_SourceData.Fertiliser_Products_Data3(), FertiliserProducts[[#Headers],[Company]],61)</f>
        <v/>
      </c>
      <c r="U166" s="200" t="str" cm="1">
        <f t="array" ref="U166">Common_InputFunctions.Utility_DisplayArrayInTable(Fertiliser_SourceData.Fertiliser_Products_Data3(), FertiliserProducts[[#Headers],[Company]],61)</f>
        <v/>
      </c>
      <c r="V166" s="200" t="str" cm="1">
        <f t="array" ref="V166">Common_InputFunctions.Utility_DisplayArrayInTable(Fertiliser_SourceData.Fertiliser_Products_Data3(), FertiliserProducts[[#Headers],[Company]],61)</f>
        <v/>
      </c>
      <c r="W166" s="200" t="str" cm="1">
        <f t="array" ref="W166">Common_InputFunctions.Utility_DisplayArrayInTable(Fertiliser_SourceData.Fertiliser_Products_Data3(), FertiliserProducts[[#Headers],[Company]],61)</f>
        <v/>
      </c>
      <c r="X166" s="200" t="str" cm="1">
        <f t="array" ref="X166">Common_InputFunctions.Utility_DisplayArrayInTable(Fertiliser_SourceData.Fertiliser_Products_Data3(), FertiliserProducts[[#Headers],[Company]],61)</f>
        <v/>
      </c>
      <c r="Y166" s="200" t="str" cm="1">
        <f t="array" ref="Y166">Common_InputFunctions.Utility_DisplayArrayInTable(Fertiliser_SourceData.Fertiliser_Products_Data3(), FertiliserProducts[[#Headers],[Company]],61)</f>
        <v/>
      </c>
      <c r="Z166" s="200" t="str" cm="1">
        <f t="array" ref="Z166">Common_InputFunctions.Utility_DisplayArrayInTable(Fertiliser_SourceData.Fertiliser_Products_Data3(), FertiliserProducts[[#Headers],[Company]],61)</f>
        <v/>
      </c>
      <c r="AA166" s="200" t="str" cm="1">
        <f t="array" ref="AA166">Common_InputFunctions.Utility_DisplayArrayInTable(Fertiliser_SourceData.Fertiliser_Products_Data3(), FertiliserProducts[[#Headers],[Company]],61)</f>
        <v/>
      </c>
      <c r="AB166" s="200" t="str" cm="1">
        <f t="array" ref="AB166">Common_InputFunctions.Utility_DisplayArrayInTable(Fertiliser_SourceData.Fertiliser_Products_Data3(), FertiliserProducts[[#Headers],[Company]],61)</f>
        <v/>
      </c>
      <c r="AC166" s="200" t="str" cm="1">
        <f t="array" ref="AC166">Common_InputFunctions.Utility_DisplayArrayInTable(Fertiliser_SourceData.Fertiliser_Products_Data3(), FertiliserProducts[[#Headers],[Company]],61)</f>
        <v/>
      </c>
      <c r="AD166" s="200" t="str" cm="1">
        <f t="array" ref="AD166">Common_InputFunctions.Utility_DisplayArrayInTable(Fertiliser_SourceData.Fertiliser_Products_Data3(), FertiliserProducts[[#Headers],[Company]],61)</f>
        <v/>
      </c>
      <c r="AE166" s="200" t="str" cm="1">
        <f t="array" ref="AE166">Common_InputFunctions.Utility_DisplayArrayInTable(Fertiliser_SourceData.Fertiliser_Products_Data3(), FertiliserProducts[[#Headers],[Company]],61)</f>
        <v/>
      </c>
      <c r="AF166" s="200" t="str" cm="1">
        <f t="array" ref="AF166">Common_InputFunctions.Utility_DisplayArrayInTable(Fertiliser_SourceData.Fertiliser_Products_Data3(), FertiliserProducts[[#Headers],[Company]],61)</f>
        <v/>
      </c>
      <c r="AG166" s="200" t="str" cm="1">
        <f t="array" ref="AG166">Common_InputFunctions.Utility_DisplayArrayInTable(Fertiliser_SourceData.Fertiliser_Products_Data3(), FertiliserProducts[[#Headers],[Company]],61)</f>
        <v/>
      </c>
      <c r="AH166" s="200" t="str" cm="1">
        <f t="array" ref="AH166">Common_InputFunctions.Utility_DisplayArrayInTable(Fertiliser_SourceData.Fertiliser_Products_Data3(), FertiliserProducts[[#Headers],[Company]],61)</f>
        <v/>
      </c>
      <c r="AK166" s="1"/>
    </row>
    <row r="167" spans="4:37" x14ac:dyDescent="0.25">
      <c r="D167" s="200" t="str" cm="1">
        <f t="array" ref="D167">Common_InputFunctions.Utility_DisplayArrayInTable(Fertiliser_SourceData.Fertiliser_Products_Data3(), FertiliserProducts[[#Headers],[Company]],61)</f>
        <v>Nuturf</v>
      </c>
      <c r="E167" s="200" t="str" cm="1">
        <f t="array" ref="E167">Common_InputFunctions.Utility_DisplayArrayInTable(Fertiliser_SourceData.Fertiliser_Products_Data3(), FertiliserProducts[[#Headers],[Company]],61)</f>
        <v>MAP NUTURF</v>
      </c>
      <c r="F167" s="200" t="str" cm="1">
        <f t="array" ref="F167">Common_InputFunctions.Utility_DisplayArrayInTable(Fertiliser_SourceData.Fertiliser_Products_Data3(), FertiliserProducts[[#Headers],[Company]],61)</f>
        <v>kg</v>
      </c>
      <c r="G167" s="200" cm="1">
        <f t="array" ref="G167">Common_InputFunctions.Utility_DisplayArrayInTable(Fertiliser_SourceData.Fertiliser_Products_Data3(), FertiliserProducts[[#Headers],[Company]],61)</f>
        <v>1</v>
      </c>
      <c r="H167" s="200" t="str" cm="1">
        <f t="array" ref="H167">Common_InputFunctions.Utility_DisplayArrayInTable(Fertiliser_SourceData.Fertiliser_Products_Data3(), FertiliserProducts[[#Headers],[Company]],61)</f>
        <v/>
      </c>
      <c r="I167" s="200" t="str" cm="1">
        <f t="array" ref="I167">Common_InputFunctions.Utility_DisplayArrayInTable(Fertiliser_SourceData.Fertiliser_Products_Data3(), FertiliserProducts[[#Headers],[Company]],61)</f>
        <v/>
      </c>
      <c r="J167" s="200" t="str" cm="1">
        <f t="array" ref="J167">Common_InputFunctions.Utility_DisplayArrayInTable(Fertiliser_SourceData.Fertiliser_Products_Data3(), FertiliserProducts[[#Headers],[Company]],61)</f>
        <v/>
      </c>
      <c r="K167" s="200" cm="1">
        <f t="array" ref="K167">Common_InputFunctions.Utility_DisplayArrayInTable(Fertiliser_SourceData.Fertiliser_Products_Data3(), FertiliserProducts[[#Headers],[Company]],61)</f>
        <v>10</v>
      </c>
      <c r="L167" s="200" cm="1">
        <f t="array" ref="L167">Common_InputFunctions.Utility_DisplayArrayInTable(Fertiliser_SourceData.Fertiliser_Products_Data3(), FertiliserProducts[[#Headers],[Company]],61)</f>
        <v>21.9</v>
      </c>
      <c r="M167" s="200" t="str" cm="1">
        <f t="array" ref="M167">Common_InputFunctions.Utility_DisplayArrayInTable(Fertiliser_SourceData.Fertiliser_Products_Data3(), FertiliserProducts[[#Headers],[Company]],61)</f>
        <v/>
      </c>
      <c r="N167" s="200" t="str" cm="1">
        <f t="array" ref="N167">Common_InputFunctions.Utility_DisplayArrayInTable(Fertiliser_SourceData.Fertiliser_Products_Data3(), FertiliserProducts[[#Headers],[Company]],61)</f>
        <v/>
      </c>
      <c r="O167" s="200" t="str" cm="1">
        <f t="array" ref="O167">Common_InputFunctions.Utility_DisplayArrayInTable(Fertiliser_SourceData.Fertiliser_Products_Data3(), FertiliserProducts[[#Headers],[Company]],61)</f>
        <v>Monoammonium phosphate (MAP)</v>
      </c>
      <c r="P167" s="200" cm="1">
        <f t="array" ref="P167">Common_InputFunctions.Utility_DisplayArrayInTable(Fertiliser_SourceData.Fertiliser_Products_Data3(), FertiliserProducts[[#Headers],[Company]],61)</f>
        <v>1</v>
      </c>
      <c r="Q167" s="200" t="str" cm="1">
        <f t="array" ref="Q167">Common_InputFunctions.Utility_DisplayArrayInTable(Fertiliser_SourceData.Fertiliser_Products_Data3(), FertiliserProducts[[#Headers],[Company]],61)</f>
        <v/>
      </c>
      <c r="R167" s="200" t="str" cm="1">
        <f t="array" ref="R167">Common_InputFunctions.Utility_DisplayArrayInTable(Fertiliser_SourceData.Fertiliser_Products_Data3(), FertiliserProducts[[#Headers],[Company]],61)</f>
        <v/>
      </c>
      <c r="S167" s="200" t="str" cm="1">
        <f t="array" ref="S167">Common_InputFunctions.Utility_DisplayArrayInTable(Fertiliser_SourceData.Fertiliser_Products_Data3(), FertiliserProducts[[#Headers],[Company]],61)</f>
        <v/>
      </c>
      <c r="T167" s="200" t="str" cm="1">
        <f t="array" ref="T167">Common_InputFunctions.Utility_DisplayArrayInTable(Fertiliser_SourceData.Fertiliser_Products_Data3(), FertiliserProducts[[#Headers],[Company]],61)</f>
        <v/>
      </c>
      <c r="U167" s="200" t="str" cm="1">
        <f t="array" ref="U167">Common_InputFunctions.Utility_DisplayArrayInTable(Fertiliser_SourceData.Fertiliser_Products_Data3(), FertiliserProducts[[#Headers],[Company]],61)</f>
        <v/>
      </c>
      <c r="V167" s="200" t="str" cm="1">
        <f t="array" ref="V167">Common_InputFunctions.Utility_DisplayArrayInTable(Fertiliser_SourceData.Fertiliser_Products_Data3(), FertiliserProducts[[#Headers],[Company]],61)</f>
        <v/>
      </c>
      <c r="W167" s="200" t="str" cm="1">
        <f t="array" ref="W167">Common_InputFunctions.Utility_DisplayArrayInTable(Fertiliser_SourceData.Fertiliser_Products_Data3(), FertiliserProducts[[#Headers],[Company]],61)</f>
        <v/>
      </c>
      <c r="X167" s="200" t="str" cm="1">
        <f t="array" ref="X167">Common_InputFunctions.Utility_DisplayArrayInTable(Fertiliser_SourceData.Fertiliser_Products_Data3(), FertiliserProducts[[#Headers],[Company]],61)</f>
        <v/>
      </c>
      <c r="Y167" s="200" t="str" cm="1">
        <f t="array" ref="Y167">Common_InputFunctions.Utility_DisplayArrayInTable(Fertiliser_SourceData.Fertiliser_Products_Data3(), FertiliserProducts[[#Headers],[Company]],61)</f>
        <v/>
      </c>
      <c r="Z167" s="200" t="str" cm="1">
        <f t="array" ref="Z167">Common_InputFunctions.Utility_DisplayArrayInTable(Fertiliser_SourceData.Fertiliser_Products_Data3(), FertiliserProducts[[#Headers],[Company]],61)</f>
        <v/>
      </c>
      <c r="AA167" s="200" t="str" cm="1">
        <f t="array" ref="AA167">Common_InputFunctions.Utility_DisplayArrayInTable(Fertiliser_SourceData.Fertiliser_Products_Data3(), FertiliserProducts[[#Headers],[Company]],61)</f>
        <v/>
      </c>
      <c r="AB167" s="200" t="str" cm="1">
        <f t="array" ref="AB167">Common_InputFunctions.Utility_DisplayArrayInTable(Fertiliser_SourceData.Fertiliser_Products_Data3(), FertiliserProducts[[#Headers],[Company]],61)</f>
        <v/>
      </c>
      <c r="AC167" s="200" t="str" cm="1">
        <f t="array" ref="AC167">Common_InputFunctions.Utility_DisplayArrayInTable(Fertiliser_SourceData.Fertiliser_Products_Data3(), FertiliserProducts[[#Headers],[Company]],61)</f>
        <v/>
      </c>
      <c r="AD167" s="200" t="str" cm="1">
        <f t="array" ref="AD167">Common_InputFunctions.Utility_DisplayArrayInTable(Fertiliser_SourceData.Fertiliser_Products_Data3(), FertiliserProducts[[#Headers],[Company]],61)</f>
        <v/>
      </c>
      <c r="AE167" s="200" t="str" cm="1">
        <f t="array" ref="AE167">Common_InputFunctions.Utility_DisplayArrayInTable(Fertiliser_SourceData.Fertiliser_Products_Data3(), FertiliserProducts[[#Headers],[Company]],61)</f>
        <v/>
      </c>
      <c r="AF167" s="200" t="str" cm="1">
        <f t="array" ref="AF167">Common_InputFunctions.Utility_DisplayArrayInTable(Fertiliser_SourceData.Fertiliser_Products_Data3(), FertiliserProducts[[#Headers],[Company]],61)</f>
        <v/>
      </c>
      <c r="AG167" s="200" t="str" cm="1">
        <f t="array" ref="AG167">Common_InputFunctions.Utility_DisplayArrayInTable(Fertiliser_SourceData.Fertiliser_Products_Data3(), FertiliserProducts[[#Headers],[Company]],61)</f>
        <v/>
      </c>
      <c r="AH167" s="200" t="str" cm="1">
        <f t="array" ref="AH167">Common_InputFunctions.Utility_DisplayArrayInTable(Fertiliser_SourceData.Fertiliser_Products_Data3(), FertiliserProducts[[#Headers],[Company]],61)</f>
        <v/>
      </c>
      <c r="AK167" s="1"/>
    </row>
    <row r="168" spans="4:37" x14ac:dyDescent="0.25">
      <c r="D168" s="200" t="str" cm="1">
        <f t="array" ref="D168">Common_InputFunctions.Utility_DisplayArrayInTable(Fertiliser_SourceData.Fertiliser_Products_Data3(), FertiliserProducts[[#Headers],[Company]],61)</f>
        <v>Campbells fertilisers Australia</v>
      </c>
      <c r="E168" s="200" t="str" cm="1">
        <f t="array" ref="E168">Common_InputFunctions.Utility_DisplayArrayInTable(Fertiliser_SourceData.Fertiliser_Products_Data3(), FertiliserProducts[[#Headers],[Company]],61)</f>
        <v>Quick-N</v>
      </c>
      <c r="F168" s="200" t="str" cm="1">
        <f t="array" ref="F168">Common_InputFunctions.Utility_DisplayArrayInTable(Fertiliser_SourceData.Fertiliser_Products_Data3(), FertiliserProducts[[#Headers],[Company]],61)</f>
        <v>kg</v>
      </c>
      <c r="G168" s="200" cm="1">
        <f t="array" ref="G168">Common_InputFunctions.Utility_DisplayArrayInTable(Fertiliser_SourceData.Fertiliser_Products_Data3(), FertiliserProducts[[#Headers],[Company]],61)</f>
        <v>1</v>
      </c>
      <c r="H168" s="200" t="str" cm="1">
        <f t="array" ref="H168">Common_InputFunctions.Utility_DisplayArrayInTable(Fertiliser_SourceData.Fertiliser_Products_Data3(), FertiliserProducts[[#Headers],[Company]],61)</f>
        <v/>
      </c>
      <c r="I168" s="200" t="str" cm="1">
        <f t="array" ref="I168">Common_InputFunctions.Utility_DisplayArrayInTable(Fertiliser_SourceData.Fertiliser_Products_Data3(), FertiliserProducts[[#Headers],[Company]],61)</f>
        <v/>
      </c>
      <c r="J168" s="200" t="str" cm="1">
        <f t="array" ref="J168">Common_InputFunctions.Utility_DisplayArrayInTable(Fertiliser_SourceData.Fertiliser_Products_Data3(), FertiliserProducts[[#Headers],[Company]],61)</f>
        <v/>
      </c>
      <c r="K168" s="200" cm="1">
        <f t="array" ref="K168">Common_InputFunctions.Utility_DisplayArrayInTable(Fertiliser_SourceData.Fertiliser_Products_Data3(), FertiliserProducts[[#Headers],[Company]],61)</f>
        <v>26</v>
      </c>
      <c r="L168" s="200" t="str" cm="1">
        <f t="array" ref="L168">Common_InputFunctions.Utility_DisplayArrayInTable(Fertiliser_SourceData.Fertiliser_Products_Data3(), FertiliserProducts[[#Headers],[Company]],61)</f>
        <v/>
      </c>
      <c r="M168" s="200" t="str" cm="1">
        <f t="array" ref="M168">Common_InputFunctions.Utility_DisplayArrayInTable(Fertiliser_SourceData.Fertiliser_Products_Data3(), FertiliserProducts[[#Headers],[Company]],61)</f>
        <v/>
      </c>
      <c r="N168" s="200" cm="1">
        <f t="array" ref="N168">Common_InputFunctions.Utility_DisplayArrayInTable(Fertiliser_SourceData.Fertiliser_Products_Data3(), FertiliserProducts[[#Headers],[Company]],61)</f>
        <v>13</v>
      </c>
      <c r="O168" s="200" t="str" cm="1">
        <f t="array" ref="O168">Common_InputFunctions.Utility_DisplayArrayInTable(Fertiliser_SourceData.Fertiliser_Products_Data3(), FertiliserProducts[[#Headers],[Company]],61)</f>
        <v>Sulphate of ammonia (SOA)</v>
      </c>
      <c r="P168" s="200" cm="1">
        <f t="array" ref="P168">Common_InputFunctions.Utility_DisplayArrayInTable(Fertiliser_SourceData.Fertiliser_Products_Data3(), FertiliserProducts[[#Headers],[Company]],61)</f>
        <v>0.54166700000000001</v>
      </c>
      <c r="Q168" s="200" t="str" cm="1">
        <f t="array" ref="Q168">Common_InputFunctions.Utility_DisplayArrayInTable(Fertiliser_SourceData.Fertiliser_Products_Data3(), FertiliserProducts[[#Headers],[Company]],61)</f>
        <v>Ammonium nitrate (AN)</v>
      </c>
      <c r="R168" s="200" cm="1">
        <f t="array" ref="R168">Common_InputFunctions.Utility_DisplayArrayInTable(Fertiliser_SourceData.Fertiliser_Products_Data3(), FertiliserProducts[[#Headers],[Company]],61)</f>
        <v>0.43397599999999997</v>
      </c>
      <c r="S168" s="200" t="str" cm="1">
        <f t="array" ref="S168">Common_InputFunctions.Utility_DisplayArrayInTable(Fertiliser_SourceData.Fertiliser_Products_Data3(), FertiliserProducts[[#Headers],[Company]],61)</f>
        <v/>
      </c>
      <c r="T168" s="200" t="str" cm="1">
        <f t="array" ref="T168">Common_InputFunctions.Utility_DisplayArrayInTable(Fertiliser_SourceData.Fertiliser_Products_Data3(), FertiliserProducts[[#Headers],[Company]],61)</f>
        <v/>
      </c>
      <c r="U168" s="200" t="str" cm="1">
        <f t="array" ref="U168">Common_InputFunctions.Utility_DisplayArrayInTable(Fertiliser_SourceData.Fertiliser_Products_Data3(), FertiliserProducts[[#Headers],[Company]],61)</f>
        <v/>
      </c>
      <c r="V168" s="200" t="str" cm="1">
        <f t="array" ref="V168">Common_InputFunctions.Utility_DisplayArrayInTable(Fertiliser_SourceData.Fertiliser_Products_Data3(), FertiliserProducts[[#Headers],[Company]],61)</f>
        <v/>
      </c>
      <c r="W168" s="200" t="str" cm="1">
        <f t="array" ref="W168">Common_InputFunctions.Utility_DisplayArrayInTable(Fertiliser_SourceData.Fertiliser_Products_Data3(), FertiliserProducts[[#Headers],[Company]],61)</f>
        <v/>
      </c>
      <c r="X168" s="200" t="str" cm="1">
        <f t="array" ref="X168">Common_InputFunctions.Utility_DisplayArrayInTable(Fertiliser_SourceData.Fertiliser_Products_Data3(), FertiliserProducts[[#Headers],[Company]],61)</f>
        <v/>
      </c>
      <c r="Y168" s="200" t="str" cm="1">
        <f t="array" ref="Y168">Common_InputFunctions.Utility_DisplayArrayInTable(Fertiliser_SourceData.Fertiliser_Products_Data3(), FertiliserProducts[[#Headers],[Company]],61)</f>
        <v/>
      </c>
      <c r="Z168" s="200" t="str" cm="1">
        <f t="array" ref="Z168">Common_InputFunctions.Utility_DisplayArrayInTable(Fertiliser_SourceData.Fertiliser_Products_Data3(), FertiliserProducts[[#Headers],[Company]],61)</f>
        <v/>
      </c>
      <c r="AA168" s="200" t="str" cm="1">
        <f t="array" ref="AA168">Common_InputFunctions.Utility_DisplayArrayInTable(Fertiliser_SourceData.Fertiliser_Products_Data3(), FertiliserProducts[[#Headers],[Company]],61)</f>
        <v/>
      </c>
      <c r="AB168" s="200" t="str" cm="1">
        <f t="array" ref="AB168">Common_InputFunctions.Utility_DisplayArrayInTable(Fertiliser_SourceData.Fertiliser_Products_Data3(), FertiliserProducts[[#Headers],[Company]],61)</f>
        <v/>
      </c>
      <c r="AC168" s="200" t="str" cm="1">
        <f t="array" ref="AC168">Common_InputFunctions.Utility_DisplayArrayInTable(Fertiliser_SourceData.Fertiliser_Products_Data3(), FertiliserProducts[[#Headers],[Company]],61)</f>
        <v/>
      </c>
      <c r="AD168" s="200" t="str" cm="1">
        <f t="array" ref="AD168">Common_InputFunctions.Utility_DisplayArrayInTable(Fertiliser_SourceData.Fertiliser_Products_Data3(), FertiliserProducts[[#Headers],[Company]],61)</f>
        <v/>
      </c>
      <c r="AE168" s="200" t="str" cm="1">
        <f t="array" ref="AE168">Common_InputFunctions.Utility_DisplayArrayInTable(Fertiliser_SourceData.Fertiliser_Products_Data3(), FertiliserProducts[[#Headers],[Company]],61)</f>
        <v/>
      </c>
      <c r="AF168" s="200" t="str" cm="1">
        <f t="array" ref="AF168">Common_InputFunctions.Utility_DisplayArrayInTable(Fertiliser_SourceData.Fertiliser_Products_Data3(), FertiliserProducts[[#Headers],[Company]],61)</f>
        <v/>
      </c>
      <c r="AG168" s="200" t="str" cm="1">
        <f t="array" ref="AG168">Common_InputFunctions.Utility_DisplayArrayInTable(Fertiliser_SourceData.Fertiliser_Products_Data3(), FertiliserProducts[[#Headers],[Company]],61)</f>
        <v/>
      </c>
      <c r="AH168" s="200" t="str" cm="1">
        <f t="array" ref="AH168">Common_InputFunctions.Utility_DisplayArrayInTable(Fertiliser_SourceData.Fertiliser_Products_Data3(), FertiliserProducts[[#Headers],[Company]],61)</f>
        <v/>
      </c>
      <c r="AK168" s="1"/>
    </row>
    <row r="169" spans="4:37" x14ac:dyDescent="0.25">
      <c r="D169" s="200" t="str" cm="1">
        <f t="array" ref="D169">Common_InputFunctions.Utility_DisplayArrayInTable(Fertiliser_SourceData.Fertiliser_Products_Data3(), FertiliserProducts[[#Headers],[Company]],61)</f>
        <v>SLTEC Fertilizers</v>
      </c>
      <c r="E169" s="200" t="str" cm="1">
        <f t="array" ref="E169">Common_InputFunctions.Utility_DisplayArrayInTable(Fertiliser_SourceData.Fertiliser_Products_Data3(), FertiliserProducts[[#Headers],[Company]],61)</f>
        <v>UAS</v>
      </c>
      <c r="F169" s="200" t="str" cm="1">
        <f t="array" ref="F169">Common_InputFunctions.Utility_DisplayArrayInTable(Fertiliser_SourceData.Fertiliser_Products_Data3(), FertiliserProducts[[#Headers],[Company]],61)</f>
        <v>L</v>
      </c>
      <c r="G169" s="200" cm="1">
        <f t="array" ref="G169">Common_InputFunctions.Utility_DisplayArrayInTable(Fertiliser_SourceData.Fertiliser_Products_Data3(), FertiliserProducts[[#Headers],[Company]],61)</f>
        <v>1.2350000000000001</v>
      </c>
      <c r="H169" s="200" t="str" cm="1">
        <f t="array" ref="H169">Common_InputFunctions.Utility_DisplayArrayInTable(Fertiliser_SourceData.Fertiliser_Products_Data3(), FertiliserProducts[[#Headers],[Company]],61)</f>
        <v/>
      </c>
      <c r="I169" s="200" t="str" cm="1">
        <f t="array" ref="I169">Common_InputFunctions.Utility_DisplayArrayInTable(Fertiliser_SourceData.Fertiliser_Products_Data3(), FertiliserProducts[[#Headers],[Company]],61)</f>
        <v/>
      </c>
      <c r="J169" s="200" t="str" cm="1">
        <f t="array" ref="J169">Common_InputFunctions.Utility_DisplayArrayInTable(Fertiliser_SourceData.Fertiliser_Products_Data3(), FertiliserProducts[[#Headers],[Company]],61)</f>
        <v/>
      </c>
      <c r="K169" s="200" cm="1">
        <f t="array" ref="K169">Common_InputFunctions.Utility_DisplayArrayInTable(Fertiliser_SourceData.Fertiliser_Products_Data3(), FertiliserProducts[[#Headers],[Company]],61)</f>
        <v>26.6</v>
      </c>
      <c r="L169" s="200" t="str" cm="1">
        <f t="array" ref="L169">Common_InputFunctions.Utility_DisplayArrayInTable(Fertiliser_SourceData.Fertiliser_Products_Data3(), FertiliserProducts[[#Headers],[Company]],61)</f>
        <v/>
      </c>
      <c r="M169" s="200" t="str" cm="1">
        <f t="array" ref="M169">Common_InputFunctions.Utility_DisplayArrayInTable(Fertiliser_SourceData.Fertiliser_Products_Data3(), FertiliserProducts[[#Headers],[Company]],61)</f>
        <v/>
      </c>
      <c r="N169" s="200" cm="1">
        <f t="array" ref="N169">Common_InputFunctions.Utility_DisplayArrayInTable(Fertiliser_SourceData.Fertiliser_Products_Data3(), FertiliserProducts[[#Headers],[Company]],61)</f>
        <v>6.7</v>
      </c>
      <c r="O169" s="200" t="str" cm="1">
        <f t="array" ref="O169">Common_InputFunctions.Utility_DisplayArrayInTable(Fertiliser_SourceData.Fertiliser_Products_Data3(), FertiliserProducts[[#Headers],[Company]],61)</f>
        <v>Urea</v>
      </c>
      <c r="P169" s="200" cm="1">
        <f t="array" ref="P169">Common_InputFunctions.Utility_DisplayArrayInTable(Fertiliser_SourceData.Fertiliser_Products_Data3(), FertiliserProducts[[#Headers],[Company]],61)</f>
        <v>0.45081500000000002</v>
      </c>
      <c r="Q169" s="200" t="str" cm="1">
        <f t="array" ref="Q169">Common_InputFunctions.Utility_DisplayArrayInTable(Fertiliser_SourceData.Fertiliser_Products_Data3(), FertiliserProducts[[#Headers],[Company]],61)</f>
        <v>Sulphate of ammonia (SOA)</v>
      </c>
      <c r="R169" s="200" cm="1">
        <f t="array" ref="R169">Common_InputFunctions.Utility_DisplayArrayInTable(Fertiliser_SourceData.Fertiliser_Products_Data3(), FertiliserProducts[[#Headers],[Company]],61)</f>
        <v>0.279167</v>
      </c>
      <c r="S169" s="200" t="str" cm="1">
        <f t="array" ref="S169">Common_InputFunctions.Utility_DisplayArrayInTable(Fertiliser_SourceData.Fertiliser_Products_Data3(), FertiliserProducts[[#Headers],[Company]],61)</f>
        <v/>
      </c>
      <c r="T169" s="200" t="str" cm="1">
        <f t="array" ref="T169">Common_InputFunctions.Utility_DisplayArrayInTable(Fertiliser_SourceData.Fertiliser_Products_Data3(), FertiliserProducts[[#Headers],[Company]],61)</f>
        <v/>
      </c>
      <c r="U169" s="200" t="str" cm="1">
        <f t="array" ref="U169">Common_InputFunctions.Utility_DisplayArrayInTable(Fertiliser_SourceData.Fertiliser_Products_Data3(), FertiliserProducts[[#Headers],[Company]],61)</f>
        <v/>
      </c>
      <c r="V169" s="200" t="str" cm="1">
        <f t="array" ref="V169">Common_InputFunctions.Utility_DisplayArrayInTable(Fertiliser_SourceData.Fertiliser_Products_Data3(), FertiliserProducts[[#Headers],[Company]],61)</f>
        <v/>
      </c>
      <c r="W169" s="200" t="str" cm="1">
        <f t="array" ref="W169">Common_InputFunctions.Utility_DisplayArrayInTable(Fertiliser_SourceData.Fertiliser_Products_Data3(), FertiliserProducts[[#Headers],[Company]],61)</f>
        <v/>
      </c>
      <c r="X169" s="200" t="str" cm="1">
        <f t="array" ref="X169">Common_InputFunctions.Utility_DisplayArrayInTable(Fertiliser_SourceData.Fertiliser_Products_Data3(), FertiliserProducts[[#Headers],[Company]],61)</f>
        <v/>
      </c>
      <c r="Y169" s="200" t="str" cm="1">
        <f t="array" ref="Y169">Common_InputFunctions.Utility_DisplayArrayInTable(Fertiliser_SourceData.Fertiliser_Products_Data3(), FertiliserProducts[[#Headers],[Company]],61)</f>
        <v/>
      </c>
      <c r="Z169" s="200" t="str" cm="1">
        <f t="array" ref="Z169">Common_InputFunctions.Utility_DisplayArrayInTable(Fertiliser_SourceData.Fertiliser_Products_Data3(), FertiliserProducts[[#Headers],[Company]],61)</f>
        <v/>
      </c>
      <c r="AA169" s="200" t="str" cm="1">
        <f t="array" ref="AA169">Common_InputFunctions.Utility_DisplayArrayInTable(Fertiliser_SourceData.Fertiliser_Products_Data3(), FertiliserProducts[[#Headers],[Company]],61)</f>
        <v/>
      </c>
      <c r="AB169" s="200" t="str" cm="1">
        <f t="array" ref="AB169">Common_InputFunctions.Utility_DisplayArrayInTable(Fertiliser_SourceData.Fertiliser_Products_Data3(), FertiliserProducts[[#Headers],[Company]],61)</f>
        <v/>
      </c>
      <c r="AC169" s="200" t="str" cm="1">
        <f t="array" ref="AC169">Common_InputFunctions.Utility_DisplayArrayInTable(Fertiliser_SourceData.Fertiliser_Products_Data3(), FertiliserProducts[[#Headers],[Company]],61)</f>
        <v/>
      </c>
      <c r="AD169" s="200" t="str" cm="1">
        <f t="array" ref="AD169">Common_InputFunctions.Utility_DisplayArrayInTable(Fertiliser_SourceData.Fertiliser_Products_Data3(), FertiliserProducts[[#Headers],[Company]],61)</f>
        <v/>
      </c>
      <c r="AE169" s="200" t="str" cm="1">
        <f t="array" ref="AE169">Common_InputFunctions.Utility_DisplayArrayInTable(Fertiliser_SourceData.Fertiliser_Products_Data3(), FertiliserProducts[[#Headers],[Company]],61)</f>
        <v/>
      </c>
      <c r="AF169" s="200" t="str" cm="1">
        <f t="array" ref="AF169">Common_InputFunctions.Utility_DisplayArrayInTable(Fertiliser_SourceData.Fertiliser_Products_Data3(), FertiliserProducts[[#Headers],[Company]],61)</f>
        <v/>
      </c>
      <c r="AG169" s="200" t="str" cm="1">
        <f t="array" ref="AG169">Common_InputFunctions.Utility_DisplayArrayInTable(Fertiliser_SourceData.Fertiliser_Products_Data3(), FertiliserProducts[[#Headers],[Company]],61)</f>
        <v/>
      </c>
      <c r="AH169" s="200" t="str" cm="1">
        <f t="array" ref="AH169">Common_InputFunctions.Utility_DisplayArrayInTable(Fertiliser_SourceData.Fertiliser_Products_Data3(), FertiliserProducts[[#Headers],[Company]],61)</f>
        <v/>
      </c>
      <c r="AK169" s="1"/>
    </row>
    <row r="170" spans="4:37" x14ac:dyDescent="0.25">
      <c r="D170" s="200" t="str" cm="1">
        <f t="array" ref="D170">Common_InputFunctions.Utility_DisplayArrayInTable(Fertiliser_SourceData.Fertiliser_Products_Data3(), FertiliserProducts[[#Headers],[Company]],61)</f>
        <v>SLTEC Fertilizers</v>
      </c>
      <c r="E170" s="200" t="str" cm="1">
        <f t="array" ref="E170">Common_InputFunctions.Utility_DisplayArrayInTable(Fertiliser_SourceData.Fertiliser_Products_Data3(), FertiliserProducts[[#Headers],[Company]],61)</f>
        <v>Triazone Urea</v>
      </c>
      <c r="F170" s="200" t="str" cm="1">
        <f t="array" ref="F170">Common_InputFunctions.Utility_DisplayArrayInTable(Fertiliser_SourceData.Fertiliser_Products_Data3(), FertiliserProducts[[#Headers],[Company]],61)</f>
        <v>L</v>
      </c>
      <c r="G170" s="200" cm="1">
        <f t="array" ref="G170">Common_InputFunctions.Utility_DisplayArrayInTable(Fertiliser_SourceData.Fertiliser_Products_Data3(), FertiliserProducts[[#Headers],[Company]],61)</f>
        <v>1.28</v>
      </c>
      <c r="H170" s="200" t="str" cm="1">
        <f t="array" ref="H170">Common_InputFunctions.Utility_DisplayArrayInTable(Fertiliser_SourceData.Fertiliser_Products_Data3(), FertiliserProducts[[#Headers],[Company]],61)</f>
        <v/>
      </c>
      <c r="I170" s="200" t="str" cm="1">
        <f t="array" ref="I170">Common_InputFunctions.Utility_DisplayArrayInTable(Fertiliser_SourceData.Fertiliser_Products_Data3(), FertiliserProducts[[#Headers],[Company]],61)</f>
        <v/>
      </c>
      <c r="J170" s="200" t="str" cm="1">
        <f t="array" ref="J170">Common_InputFunctions.Utility_DisplayArrayInTable(Fertiliser_SourceData.Fertiliser_Products_Data3(), FertiliserProducts[[#Headers],[Company]],61)</f>
        <v/>
      </c>
      <c r="K170" s="200" cm="1">
        <f t="array" ref="K170">Common_InputFunctions.Utility_DisplayArrayInTable(Fertiliser_SourceData.Fertiliser_Products_Data3(), FertiliserProducts[[#Headers],[Company]],61)</f>
        <v>0</v>
      </c>
      <c r="L170" s="200" t="str" cm="1">
        <f t="array" ref="L170">Common_InputFunctions.Utility_DisplayArrayInTable(Fertiliser_SourceData.Fertiliser_Products_Data3(), FertiliserProducts[[#Headers],[Company]],61)</f>
        <v/>
      </c>
      <c r="M170" s="200" t="str" cm="1">
        <f t="array" ref="M170">Common_InputFunctions.Utility_DisplayArrayInTable(Fertiliser_SourceData.Fertiliser_Products_Data3(), FertiliserProducts[[#Headers],[Company]],61)</f>
        <v/>
      </c>
      <c r="N170" s="200" t="str" cm="1">
        <f t="array" ref="N170">Common_InputFunctions.Utility_DisplayArrayInTable(Fertiliser_SourceData.Fertiliser_Products_Data3(), FertiliserProducts[[#Headers],[Company]],61)</f>
        <v/>
      </c>
      <c r="O170" s="200" t="str" cm="1">
        <f t="array" ref="O170">Common_InputFunctions.Utility_DisplayArrayInTable(Fertiliser_SourceData.Fertiliser_Products_Data3(), FertiliserProducts[[#Headers],[Company]],61)</f>
        <v>Urea</v>
      </c>
      <c r="P170" s="200" cm="1">
        <f t="array" ref="P170">Common_InputFunctions.Utility_DisplayArrayInTable(Fertiliser_SourceData.Fertiliser_Products_Data3(), FertiliserProducts[[#Headers],[Company]],61)</f>
        <v>0.65217400000000003</v>
      </c>
      <c r="Q170" s="200" t="str" cm="1">
        <f t="array" ref="Q170">Common_InputFunctions.Utility_DisplayArrayInTable(Fertiliser_SourceData.Fertiliser_Products_Data3(), FertiliserProducts[[#Headers],[Company]],61)</f>
        <v/>
      </c>
      <c r="R170" s="200" t="str" cm="1">
        <f t="array" ref="R170">Common_InputFunctions.Utility_DisplayArrayInTable(Fertiliser_SourceData.Fertiliser_Products_Data3(), FertiliserProducts[[#Headers],[Company]],61)</f>
        <v/>
      </c>
      <c r="S170" s="200" t="str" cm="1">
        <f t="array" ref="S170">Common_InputFunctions.Utility_DisplayArrayInTable(Fertiliser_SourceData.Fertiliser_Products_Data3(), FertiliserProducts[[#Headers],[Company]],61)</f>
        <v/>
      </c>
      <c r="T170" s="200" t="str" cm="1">
        <f t="array" ref="T170">Common_InputFunctions.Utility_DisplayArrayInTable(Fertiliser_SourceData.Fertiliser_Products_Data3(), FertiliserProducts[[#Headers],[Company]],61)</f>
        <v/>
      </c>
      <c r="U170" s="200" t="str" cm="1">
        <f t="array" ref="U170">Common_InputFunctions.Utility_DisplayArrayInTable(Fertiliser_SourceData.Fertiliser_Products_Data3(), FertiliserProducts[[#Headers],[Company]],61)</f>
        <v/>
      </c>
      <c r="V170" s="200" t="str" cm="1">
        <f t="array" ref="V170">Common_InputFunctions.Utility_DisplayArrayInTable(Fertiliser_SourceData.Fertiliser_Products_Data3(), FertiliserProducts[[#Headers],[Company]],61)</f>
        <v/>
      </c>
      <c r="W170" s="200" t="str" cm="1">
        <f t="array" ref="W170">Common_InputFunctions.Utility_DisplayArrayInTable(Fertiliser_SourceData.Fertiliser_Products_Data3(), FertiliserProducts[[#Headers],[Company]],61)</f>
        <v/>
      </c>
      <c r="X170" s="200" t="str" cm="1">
        <f t="array" ref="X170">Common_InputFunctions.Utility_DisplayArrayInTable(Fertiliser_SourceData.Fertiliser_Products_Data3(), FertiliserProducts[[#Headers],[Company]],61)</f>
        <v/>
      </c>
      <c r="Y170" s="200" t="str" cm="1">
        <f t="array" ref="Y170">Common_InputFunctions.Utility_DisplayArrayInTable(Fertiliser_SourceData.Fertiliser_Products_Data3(), FertiliserProducts[[#Headers],[Company]],61)</f>
        <v/>
      </c>
      <c r="Z170" s="200" t="str" cm="1">
        <f t="array" ref="Z170">Common_InputFunctions.Utility_DisplayArrayInTable(Fertiliser_SourceData.Fertiliser_Products_Data3(), FertiliserProducts[[#Headers],[Company]],61)</f>
        <v/>
      </c>
      <c r="AA170" s="200" t="str" cm="1">
        <f t="array" ref="AA170">Common_InputFunctions.Utility_DisplayArrayInTable(Fertiliser_SourceData.Fertiliser_Products_Data3(), FertiliserProducts[[#Headers],[Company]],61)</f>
        <v/>
      </c>
      <c r="AB170" s="200" t="str" cm="1">
        <f t="array" ref="AB170">Common_InputFunctions.Utility_DisplayArrayInTable(Fertiliser_SourceData.Fertiliser_Products_Data3(), FertiliserProducts[[#Headers],[Company]],61)</f>
        <v/>
      </c>
      <c r="AC170" s="200" t="str" cm="1">
        <f t="array" ref="AC170">Common_InputFunctions.Utility_DisplayArrayInTable(Fertiliser_SourceData.Fertiliser_Products_Data3(), FertiliserProducts[[#Headers],[Company]],61)</f>
        <v/>
      </c>
      <c r="AD170" s="200" t="str" cm="1">
        <f t="array" ref="AD170">Common_InputFunctions.Utility_DisplayArrayInTable(Fertiliser_SourceData.Fertiliser_Products_Data3(), FertiliserProducts[[#Headers],[Company]],61)</f>
        <v/>
      </c>
      <c r="AE170" s="200" t="str" cm="1">
        <f t="array" ref="AE170">Common_InputFunctions.Utility_DisplayArrayInTable(Fertiliser_SourceData.Fertiliser_Products_Data3(), FertiliserProducts[[#Headers],[Company]],61)</f>
        <v/>
      </c>
      <c r="AF170" s="200" t="str" cm="1">
        <f t="array" ref="AF170">Common_InputFunctions.Utility_DisplayArrayInTable(Fertiliser_SourceData.Fertiliser_Products_Data3(), FertiliserProducts[[#Headers],[Company]],61)</f>
        <v/>
      </c>
      <c r="AG170" s="200" t="str" cm="1">
        <f t="array" ref="AG170">Common_InputFunctions.Utility_DisplayArrayInTable(Fertiliser_SourceData.Fertiliser_Products_Data3(), FertiliserProducts[[#Headers],[Company]],61)</f>
        <v/>
      </c>
      <c r="AH170" s="200" t="str" cm="1">
        <f t="array" ref="AH170">Common_InputFunctions.Utility_DisplayArrayInTable(Fertiliser_SourceData.Fertiliser_Products_Data3(), FertiliserProducts[[#Headers],[Company]],61)</f>
        <v/>
      </c>
      <c r="AK170" s="1"/>
    </row>
    <row r="171" spans="4:37" x14ac:dyDescent="0.25">
      <c r="D171" s="200" t="str" cm="1">
        <f t="array" ref="D171">Common_InputFunctions.Utility_DisplayArrayInTable(Fertiliser_SourceData.Fertiliser_Products_Data3(), FertiliserProducts[[#Headers],[Company]],61)</f>
        <v>Marnco [listed as SLTEC]</v>
      </c>
      <c r="E171" s="200" t="str" cm="1">
        <f t="array" ref="E171">Common_InputFunctions.Utility_DisplayArrayInTable(Fertiliser_SourceData.Fertiliser_Products_Data3(), FertiliserProducts[[#Headers],[Company]],61)</f>
        <v>Ammo 36N</v>
      </c>
      <c r="F171" s="200" t="str" cm="1">
        <f t="array" ref="F171">Common_InputFunctions.Utility_DisplayArrayInTable(Fertiliser_SourceData.Fertiliser_Products_Data3(), FertiliserProducts[[#Headers],[Company]],61)</f>
        <v>kg</v>
      </c>
      <c r="G171" s="200" cm="1">
        <f t="array" ref="G171">Common_InputFunctions.Utility_DisplayArrayInTable(Fertiliser_SourceData.Fertiliser_Products_Data3(), FertiliserProducts[[#Headers],[Company]],61)</f>
        <v>1</v>
      </c>
      <c r="H171" s="200" t="str" cm="1">
        <f t="array" ref="H171">Common_InputFunctions.Utility_DisplayArrayInTable(Fertiliser_SourceData.Fertiliser_Products_Data3(), FertiliserProducts[[#Headers],[Company]],61)</f>
        <v/>
      </c>
      <c r="I171" s="200" t="str" cm="1">
        <f t="array" ref="I171">Common_InputFunctions.Utility_DisplayArrayInTable(Fertiliser_SourceData.Fertiliser_Products_Data3(), FertiliserProducts[[#Headers],[Company]],61)</f>
        <v/>
      </c>
      <c r="J171" s="200" t="str" cm="1">
        <f t="array" ref="J171">Common_InputFunctions.Utility_DisplayArrayInTable(Fertiliser_SourceData.Fertiliser_Products_Data3(), FertiliserProducts[[#Headers],[Company]],61)</f>
        <v/>
      </c>
      <c r="K171" s="200" cm="1">
        <f t="array" ref="K171">Common_InputFunctions.Utility_DisplayArrayInTable(Fertiliser_SourceData.Fertiliser_Products_Data3(), FertiliserProducts[[#Headers],[Company]],61)</f>
        <v>36</v>
      </c>
      <c r="L171" s="200" t="str" cm="1">
        <f t="array" ref="L171">Common_InputFunctions.Utility_DisplayArrayInTable(Fertiliser_SourceData.Fertiliser_Products_Data3(), FertiliserProducts[[#Headers],[Company]],61)</f>
        <v/>
      </c>
      <c r="M171" s="200" t="str" cm="1">
        <f t="array" ref="M171">Common_InputFunctions.Utility_DisplayArrayInTable(Fertiliser_SourceData.Fertiliser_Products_Data3(), FertiliserProducts[[#Headers],[Company]],61)</f>
        <v/>
      </c>
      <c r="N171" s="200" cm="1">
        <f t="array" ref="N171">Common_InputFunctions.Utility_DisplayArrayInTable(Fertiliser_SourceData.Fertiliser_Products_Data3(), FertiliserProducts[[#Headers],[Company]],61)</f>
        <v>9.6</v>
      </c>
      <c r="O171" s="200" t="str" cm="1">
        <f t="array" ref="O171">Common_InputFunctions.Utility_DisplayArrayInTable(Fertiliser_SourceData.Fertiliser_Products_Data3(), FertiliserProducts[[#Headers],[Company]],61)</f>
        <v>Nitrogen - Generic</v>
      </c>
      <c r="P171" s="200" cm="1">
        <f t="array" ref="P171">Common_InputFunctions.Utility_DisplayArrayInTable(Fertiliser_SourceData.Fertiliser_Products_Data3(), FertiliserProducts[[#Headers],[Company]],61)</f>
        <v>0.36</v>
      </c>
      <c r="Q171" s="200" t="str" cm="1">
        <f t="array" ref="Q171">Common_InputFunctions.Utility_DisplayArrayInTable(Fertiliser_SourceData.Fertiliser_Products_Data3(), FertiliserProducts[[#Headers],[Company]],61)</f>
        <v>Sulfur - Generic</v>
      </c>
      <c r="R171" s="200" cm="1">
        <f t="array" ref="R171">Common_InputFunctions.Utility_DisplayArrayInTable(Fertiliser_SourceData.Fertiliser_Products_Data3(), FertiliserProducts[[#Headers],[Company]],61)</f>
        <v>9.6000000000000002E-2</v>
      </c>
      <c r="S171" s="200" t="str" cm="1">
        <f t="array" ref="S171">Common_InputFunctions.Utility_DisplayArrayInTable(Fertiliser_SourceData.Fertiliser_Products_Data3(), FertiliserProducts[[#Headers],[Company]],61)</f>
        <v/>
      </c>
      <c r="T171" s="200" t="str" cm="1">
        <f t="array" ref="T171">Common_InputFunctions.Utility_DisplayArrayInTable(Fertiliser_SourceData.Fertiliser_Products_Data3(), FertiliserProducts[[#Headers],[Company]],61)</f>
        <v/>
      </c>
      <c r="U171" s="200" t="str" cm="1">
        <f t="array" ref="U171">Common_InputFunctions.Utility_DisplayArrayInTable(Fertiliser_SourceData.Fertiliser_Products_Data3(), FertiliserProducts[[#Headers],[Company]],61)</f>
        <v/>
      </c>
      <c r="V171" s="200" t="str" cm="1">
        <f t="array" ref="V171">Common_InputFunctions.Utility_DisplayArrayInTable(Fertiliser_SourceData.Fertiliser_Products_Data3(), FertiliserProducts[[#Headers],[Company]],61)</f>
        <v/>
      </c>
      <c r="W171" s="200" t="str" cm="1">
        <f t="array" ref="W171">Common_InputFunctions.Utility_DisplayArrayInTable(Fertiliser_SourceData.Fertiliser_Products_Data3(), FertiliserProducts[[#Headers],[Company]],61)</f>
        <v/>
      </c>
      <c r="X171" s="200" t="str" cm="1">
        <f t="array" ref="X171">Common_InputFunctions.Utility_DisplayArrayInTable(Fertiliser_SourceData.Fertiliser_Products_Data3(), FertiliserProducts[[#Headers],[Company]],61)</f>
        <v/>
      </c>
      <c r="Y171" s="200" t="str" cm="1">
        <f t="array" ref="Y171">Common_InputFunctions.Utility_DisplayArrayInTable(Fertiliser_SourceData.Fertiliser_Products_Data3(), FertiliserProducts[[#Headers],[Company]],61)</f>
        <v/>
      </c>
      <c r="Z171" s="200" t="str" cm="1">
        <f t="array" ref="Z171">Common_InputFunctions.Utility_DisplayArrayInTable(Fertiliser_SourceData.Fertiliser_Products_Data3(), FertiliserProducts[[#Headers],[Company]],61)</f>
        <v/>
      </c>
      <c r="AA171" s="200" t="str" cm="1">
        <f t="array" ref="AA171">Common_InputFunctions.Utility_DisplayArrayInTable(Fertiliser_SourceData.Fertiliser_Products_Data3(), FertiliserProducts[[#Headers],[Company]],61)</f>
        <v/>
      </c>
      <c r="AB171" s="200" t="str" cm="1">
        <f t="array" ref="AB171">Common_InputFunctions.Utility_DisplayArrayInTable(Fertiliser_SourceData.Fertiliser_Products_Data3(), FertiliserProducts[[#Headers],[Company]],61)</f>
        <v/>
      </c>
      <c r="AC171" s="200" t="str" cm="1">
        <f t="array" ref="AC171">Common_InputFunctions.Utility_DisplayArrayInTable(Fertiliser_SourceData.Fertiliser_Products_Data3(), FertiliserProducts[[#Headers],[Company]],61)</f>
        <v/>
      </c>
      <c r="AD171" s="200" t="str" cm="1">
        <f t="array" ref="AD171">Common_InputFunctions.Utility_DisplayArrayInTable(Fertiliser_SourceData.Fertiliser_Products_Data3(), FertiliserProducts[[#Headers],[Company]],61)</f>
        <v/>
      </c>
      <c r="AE171" s="200" t="str" cm="1">
        <f t="array" ref="AE171">Common_InputFunctions.Utility_DisplayArrayInTable(Fertiliser_SourceData.Fertiliser_Products_Data3(), FertiliserProducts[[#Headers],[Company]],61)</f>
        <v/>
      </c>
      <c r="AF171" s="200" t="str" cm="1">
        <f t="array" ref="AF171">Common_InputFunctions.Utility_DisplayArrayInTable(Fertiliser_SourceData.Fertiliser_Products_Data3(), FertiliserProducts[[#Headers],[Company]],61)</f>
        <v/>
      </c>
      <c r="AG171" s="200" t="str" cm="1">
        <f t="array" ref="AG171">Common_InputFunctions.Utility_DisplayArrayInTable(Fertiliser_SourceData.Fertiliser_Products_Data3(), FertiliserProducts[[#Headers],[Company]],61)</f>
        <v/>
      </c>
      <c r="AH171" s="200" t="str" cm="1">
        <f t="array" ref="AH171">Common_InputFunctions.Utility_DisplayArrayInTable(Fertiliser_SourceData.Fertiliser_Products_Data3(), FertiliserProducts[[#Headers],[Company]],61)</f>
        <v/>
      </c>
      <c r="AK171" s="1"/>
    </row>
    <row r="172" spans="4:37" x14ac:dyDescent="0.25">
      <c r="D172" s="200" t="str" cm="1">
        <f t="array" ref="D172">Common_InputFunctions.Utility_DisplayArrayInTable(Fertiliser_SourceData.Fertiliser_Products_Data3(), FertiliserProducts[[#Headers],[Company]],61)</f>
        <v>Risso-Chemical</v>
      </c>
      <c r="E172" s="200" t="str" cm="1">
        <f t="array" ref="E172">Common_InputFunctions.Utility_DisplayArrayInTable(Fertiliser_SourceData.Fertiliser_Products_Data3(), FertiliserProducts[[#Headers],[Company]],61)</f>
        <v>Risso Liquid NPK (200-200-200)</v>
      </c>
      <c r="F172" s="200" t="str" cm="1">
        <f t="array" ref="F172">Common_InputFunctions.Utility_DisplayArrayInTable(Fertiliser_SourceData.Fertiliser_Products_Data3(), FertiliserProducts[[#Headers],[Company]],61)</f>
        <v>L</v>
      </c>
      <c r="G172" s="200" cm="1">
        <f t="array" ref="G172">Common_InputFunctions.Utility_DisplayArrayInTable(Fertiliser_SourceData.Fertiliser_Products_Data3(), FertiliserProducts[[#Headers],[Company]],61)</f>
        <v>1.3</v>
      </c>
      <c r="H172" s="200" t="str" cm="1">
        <f t="array" ref="H172">Common_InputFunctions.Utility_DisplayArrayInTable(Fertiliser_SourceData.Fertiliser_Products_Data3(), FertiliserProducts[[#Headers],[Company]],61)</f>
        <v/>
      </c>
      <c r="I172" s="200" t="str" cm="1">
        <f t="array" ref="I172">Common_InputFunctions.Utility_DisplayArrayInTable(Fertiliser_SourceData.Fertiliser_Products_Data3(), FertiliserProducts[[#Headers],[Company]],61)</f>
        <v/>
      </c>
      <c r="J172" s="200" t="str" cm="1">
        <f t="array" ref="J172">Common_InputFunctions.Utility_DisplayArrayInTable(Fertiliser_SourceData.Fertiliser_Products_Data3(), FertiliserProducts[[#Headers],[Company]],61)</f>
        <v/>
      </c>
      <c r="K172" s="200" cm="1">
        <f t="array" ref="K172">Common_InputFunctions.Utility_DisplayArrayInTable(Fertiliser_SourceData.Fertiliser_Products_Data3(), FertiliserProducts[[#Headers],[Company]],61)</f>
        <v>20</v>
      </c>
      <c r="L172" s="200" cm="1">
        <f t="array" ref="L172">Common_InputFunctions.Utility_DisplayArrayInTable(Fertiliser_SourceData.Fertiliser_Products_Data3(), FertiliserProducts[[#Headers],[Company]],61)</f>
        <v>8.73</v>
      </c>
      <c r="M172" s="200" cm="1">
        <f t="array" ref="M172">Common_InputFunctions.Utility_DisplayArrayInTable(Fertiliser_SourceData.Fertiliser_Products_Data3(), FertiliserProducts[[#Headers],[Company]],61)</f>
        <v>16.600000000000001</v>
      </c>
      <c r="N172" s="200" t="str" cm="1">
        <f t="array" ref="N172">Common_InputFunctions.Utility_DisplayArrayInTable(Fertiliser_SourceData.Fertiliser_Products_Data3(), FertiliserProducts[[#Headers],[Company]],61)</f>
        <v/>
      </c>
      <c r="O172" s="200" t="str" cm="1">
        <f t="array" ref="O172">Common_InputFunctions.Utility_DisplayArrayInTable(Fertiliser_SourceData.Fertiliser_Products_Data3(), FertiliserProducts[[#Headers],[Company]],61)</f>
        <v>Nitrogen - Generic</v>
      </c>
      <c r="P172" s="200" cm="1">
        <f t="array" ref="P172">Common_InputFunctions.Utility_DisplayArrayInTable(Fertiliser_SourceData.Fertiliser_Products_Data3(), FertiliserProducts[[#Headers],[Company]],61)</f>
        <v>0.2</v>
      </c>
      <c r="Q172" s="200" t="str" cm="1">
        <f t="array" ref="Q172">Common_InputFunctions.Utility_DisplayArrayInTable(Fertiliser_SourceData.Fertiliser_Products_Data3(), FertiliserProducts[[#Headers],[Company]],61)</f>
        <v>Phosphorus - Generic</v>
      </c>
      <c r="R172" s="200" cm="1">
        <f t="array" ref="R172">Common_InputFunctions.Utility_DisplayArrayInTable(Fertiliser_SourceData.Fertiliser_Products_Data3(), FertiliserProducts[[#Headers],[Company]],61)</f>
        <v>8.7279999999999996E-2</v>
      </c>
      <c r="S172" s="200" t="str" cm="1">
        <f t="array" ref="S172">Common_InputFunctions.Utility_DisplayArrayInTable(Fertiliser_SourceData.Fertiliser_Products_Data3(), FertiliserProducts[[#Headers],[Company]],61)</f>
        <v>Potassium - Generic</v>
      </c>
      <c r="T172" s="200" cm="1">
        <f t="array" ref="T172">Common_InputFunctions.Utility_DisplayArrayInTable(Fertiliser_SourceData.Fertiliser_Products_Data3(), FertiliserProducts[[#Headers],[Company]],61)</f>
        <v>0.16602</v>
      </c>
      <c r="U172" s="200" t="str" cm="1">
        <f t="array" ref="U172">Common_InputFunctions.Utility_DisplayArrayInTable(Fertiliser_SourceData.Fertiliser_Products_Data3(), FertiliserProducts[[#Headers],[Company]],61)</f>
        <v/>
      </c>
      <c r="V172" s="200" t="str" cm="1">
        <f t="array" ref="V172">Common_InputFunctions.Utility_DisplayArrayInTable(Fertiliser_SourceData.Fertiliser_Products_Data3(), FertiliserProducts[[#Headers],[Company]],61)</f>
        <v/>
      </c>
      <c r="W172" s="200" t="str" cm="1">
        <f t="array" ref="W172">Common_InputFunctions.Utility_DisplayArrayInTable(Fertiliser_SourceData.Fertiliser_Products_Data3(), FertiliserProducts[[#Headers],[Company]],61)</f>
        <v/>
      </c>
      <c r="X172" s="200" t="str" cm="1">
        <f t="array" ref="X172">Common_InputFunctions.Utility_DisplayArrayInTable(Fertiliser_SourceData.Fertiliser_Products_Data3(), FertiliserProducts[[#Headers],[Company]],61)</f>
        <v/>
      </c>
      <c r="Y172" s="200" t="str" cm="1">
        <f t="array" ref="Y172">Common_InputFunctions.Utility_DisplayArrayInTable(Fertiliser_SourceData.Fertiliser_Products_Data3(), FertiliserProducts[[#Headers],[Company]],61)</f>
        <v/>
      </c>
      <c r="Z172" s="200" t="str" cm="1">
        <f t="array" ref="Z172">Common_InputFunctions.Utility_DisplayArrayInTable(Fertiliser_SourceData.Fertiliser_Products_Data3(), FertiliserProducts[[#Headers],[Company]],61)</f>
        <v/>
      </c>
      <c r="AA172" s="200" t="str" cm="1">
        <f t="array" ref="AA172">Common_InputFunctions.Utility_DisplayArrayInTable(Fertiliser_SourceData.Fertiliser_Products_Data3(), FertiliserProducts[[#Headers],[Company]],61)</f>
        <v/>
      </c>
      <c r="AB172" s="200" t="str" cm="1">
        <f t="array" ref="AB172">Common_InputFunctions.Utility_DisplayArrayInTable(Fertiliser_SourceData.Fertiliser_Products_Data3(), FertiliserProducts[[#Headers],[Company]],61)</f>
        <v/>
      </c>
      <c r="AC172" s="200" t="str" cm="1">
        <f t="array" ref="AC172">Common_InputFunctions.Utility_DisplayArrayInTable(Fertiliser_SourceData.Fertiliser_Products_Data3(), FertiliserProducts[[#Headers],[Company]],61)</f>
        <v/>
      </c>
      <c r="AD172" s="200" t="str" cm="1">
        <f t="array" ref="AD172">Common_InputFunctions.Utility_DisplayArrayInTable(Fertiliser_SourceData.Fertiliser_Products_Data3(), FertiliserProducts[[#Headers],[Company]],61)</f>
        <v/>
      </c>
      <c r="AE172" s="200" t="str" cm="1">
        <f t="array" ref="AE172">Common_InputFunctions.Utility_DisplayArrayInTable(Fertiliser_SourceData.Fertiliser_Products_Data3(), FertiliserProducts[[#Headers],[Company]],61)</f>
        <v/>
      </c>
      <c r="AF172" s="200" t="str" cm="1">
        <f t="array" ref="AF172">Common_InputFunctions.Utility_DisplayArrayInTable(Fertiliser_SourceData.Fertiliser_Products_Data3(), FertiliserProducts[[#Headers],[Company]],61)</f>
        <v/>
      </c>
      <c r="AG172" s="200" t="str" cm="1">
        <f t="array" ref="AG172">Common_InputFunctions.Utility_DisplayArrayInTable(Fertiliser_SourceData.Fertiliser_Products_Data3(), FertiliserProducts[[#Headers],[Company]],61)</f>
        <v/>
      </c>
      <c r="AH172" s="200" t="str" cm="1">
        <f t="array" ref="AH172">Common_InputFunctions.Utility_DisplayArrayInTable(Fertiliser_SourceData.Fertiliser_Products_Data3(), FertiliserProducts[[#Headers],[Company]],61)</f>
        <v/>
      </c>
      <c r="AK172" s="1"/>
    </row>
    <row r="173" spans="4:37" x14ac:dyDescent="0.25">
      <c r="D173" s="200" t="str" cm="1">
        <f t="array" ref="D173">Common_InputFunctions.Utility_DisplayArrayInTable(Fertiliser_SourceData.Fertiliser_Products_Data3(), FertiliserProducts[[#Headers],[Company]],61)</f>
        <v>Turf Group Australia (Simplot)</v>
      </c>
      <c r="E173" s="200" t="str" cm="1">
        <f t="array" ref="E173">Common_InputFunctions.Utility_DisplayArrayInTable(Fertiliser_SourceData.Fertiliser_Products_Data3(), FertiliserProducts[[#Headers],[Company]],61)</f>
        <v>Super Cal 15-0-12</v>
      </c>
      <c r="F173" s="200" t="str" cm="1">
        <f t="array" ref="F173">Common_InputFunctions.Utility_DisplayArrayInTable(Fertiliser_SourceData.Fertiliser_Products_Data3(), FertiliserProducts[[#Headers],[Company]],61)</f>
        <v>kg</v>
      </c>
      <c r="G173" s="200" cm="1">
        <f t="array" ref="G173">Common_InputFunctions.Utility_DisplayArrayInTable(Fertiliser_SourceData.Fertiliser_Products_Data3(), FertiliserProducts[[#Headers],[Company]],61)</f>
        <v>1</v>
      </c>
      <c r="H173" s="200" t="str" cm="1">
        <f t="array" ref="H173">Common_InputFunctions.Utility_DisplayArrayInTable(Fertiliser_SourceData.Fertiliser_Products_Data3(), FertiliserProducts[[#Headers],[Company]],61)</f>
        <v/>
      </c>
      <c r="I173" s="200" t="str" cm="1">
        <f t="array" ref="I173">Common_InputFunctions.Utility_DisplayArrayInTable(Fertiliser_SourceData.Fertiliser_Products_Data3(), FertiliserProducts[[#Headers],[Company]],61)</f>
        <v/>
      </c>
      <c r="J173" s="200" t="str" cm="1">
        <f t="array" ref="J173">Common_InputFunctions.Utility_DisplayArrayInTable(Fertiliser_SourceData.Fertiliser_Products_Data3(), FertiliserProducts[[#Headers],[Company]],61)</f>
        <v/>
      </c>
      <c r="K173" s="200" cm="1">
        <f t="array" ref="K173">Common_InputFunctions.Utility_DisplayArrayInTable(Fertiliser_SourceData.Fertiliser_Products_Data3(), FertiliserProducts[[#Headers],[Company]],61)</f>
        <v>15</v>
      </c>
      <c r="L173" s="200" t="str" cm="1">
        <f t="array" ref="L173">Common_InputFunctions.Utility_DisplayArrayInTable(Fertiliser_SourceData.Fertiliser_Products_Data3(), FertiliserProducts[[#Headers],[Company]],61)</f>
        <v/>
      </c>
      <c r="M173" s="200" cm="1">
        <f t="array" ref="M173">Common_InputFunctions.Utility_DisplayArrayInTable(Fertiliser_SourceData.Fertiliser_Products_Data3(), FertiliserProducts[[#Headers],[Company]],61)</f>
        <v>9.9600000000000009</v>
      </c>
      <c r="N173" s="200" t="str" cm="1">
        <f t="array" ref="N173">Common_InputFunctions.Utility_DisplayArrayInTable(Fertiliser_SourceData.Fertiliser_Products_Data3(), FertiliserProducts[[#Headers],[Company]],61)</f>
        <v/>
      </c>
      <c r="O173" s="200" t="str" cm="1">
        <f t="array" ref="O173">Common_InputFunctions.Utility_DisplayArrayInTable(Fertiliser_SourceData.Fertiliser_Products_Data3(), FertiliserProducts[[#Headers],[Company]],61)</f>
        <v>Nitrogen - Nitrate</v>
      </c>
      <c r="P173" s="200" cm="1">
        <f t="array" ref="P173">Common_InputFunctions.Utility_DisplayArrayInTable(Fertiliser_SourceData.Fertiliser_Products_Data3(), FertiliserProducts[[#Headers],[Company]],61)</f>
        <v>8.4737000000000007E-2</v>
      </c>
      <c r="Q173" s="200" t="str" cm="1">
        <f t="array" ref="Q173">Common_InputFunctions.Utility_DisplayArrayInTable(Fertiliser_SourceData.Fertiliser_Products_Data3(), FertiliserProducts[[#Headers],[Company]],61)</f>
        <v>Potassium - Generic</v>
      </c>
      <c r="R173" s="200" cm="1">
        <f t="array" ref="R173">Common_InputFunctions.Utility_DisplayArrayInTable(Fertiliser_SourceData.Fertiliser_Products_Data3(), FertiliserProducts[[#Headers],[Company]],61)</f>
        <v>9.9612000000000006E-2</v>
      </c>
      <c r="S173" s="200" t="str" cm="1">
        <f t="array" ref="S173">Common_InputFunctions.Utility_DisplayArrayInTable(Fertiliser_SourceData.Fertiliser_Products_Data3(), FertiliserProducts[[#Headers],[Company]],61)</f>
        <v>Calcium nitrate</v>
      </c>
      <c r="T173" s="200" cm="1">
        <f t="array" ref="T173">Common_InputFunctions.Utility_DisplayArrayInTable(Fertiliser_SourceData.Fertiliser_Products_Data3(), FertiliserProducts[[#Headers],[Company]],61)</f>
        <v>0.42105300000000001</v>
      </c>
      <c r="U173" s="200" t="str" cm="1">
        <f t="array" ref="U173">Common_InputFunctions.Utility_DisplayArrayInTable(Fertiliser_SourceData.Fertiliser_Products_Data3(), FertiliserProducts[[#Headers],[Company]],61)</f>
        <v>Magnesium</v>
      </c>
      <c r="V173" s="200" cm="1">
        <f t="array" ref="V173">Common_InputFunctions.Utility_DisplayArrayInTable(Fertiliser_SourceData.Fertiliser_Products_Data3(), FertiliserProducts[[#Headers],[Company]],61)</f>
        <v>5.0000000000000001E-3</v>
      </c>
      <c r="W173" s="200" t="str" cm="1">
        <f t="array" ref="W173">Common_InputFunctions.Utility_DisplayArrayInTable(Fertiliser_SourceData.Fertiliser_Products_Data3(), FertiliserProducts[[#Headers],[Company]],61)</f>
        <v>Boron</v>
      </c>
      <c r="X173" s="200" cm="1">
        <f t="array" ref="X173">Common_InputFunctions.Utility_DisplayArrayInTable(Fertiliser_SourceData.Fertiliser_Products_Data3(), FertiliserProducts[[#Headers],[Company]],61)</f>
        <v>2.0000000000000001E-4</v>
      </c>
      <c r="Y173" s="200" t="str" cm="1">
        <f t="array" ref="Y173">Common_InputFunctions.Utility_DisplayArrayInTable(Fertiliser_SourceData.Fertiliser_Products_Data3(), FertiliserProducts[[#Headers],[Company]],61)</f>
        <v/>
      </c>
      <c r="Z173" s="200" t="str" cm="1">
        <f t="array" ref="Z173">Common_InputFunctions.Utility_DisplayArrayInTable(Fertiliser_SourceData.Fertiliser_Products_Data3(), FertiliserProducts[[#Headers],[Company]],61)</f>
        <v/>
      </c>
      <c r="AA173" s="200" t="str" cm="1">
        <f t="array" ref="AA173">Common_InputFunctions.Utility_DisplayArrayInTable(Fertiliser_SourceData.Fertiliser_Products_Data3(), FertiliserProducts[[#Headers],[Company]],61)</f>
        <v/>
      </c>
      <c r="AB173" s="200" t="str" cm="1">
        <f t="array" ref="AB173">Common_InputFunctions.Utility_DisplayArrayInTable(Fertiliser_SourceData.Fertiliser_Products_Data3(), FertiliserProducts[[#Headers],[Company]],61)</f>
        <v/>
      </c>
      <c r="AC173" s="200" t="str" cm="1">
        <f t="array" ref="AC173">Common_InputFunctions.Utility_DisplayArrayInTable(Fertiliser_SourceData.Fertiliser_Products_Data3(), FertiliserProducts[[#Headers],[Company]],61)</f>
        <v/>
      </c>
      <c r="AD173" s="200" t="str" cm="1">
        <f t="array" ref="AD173">Common_InputFunctions.Utility_DisplayArrayInTable(Fertiliser_SourceData.Fertiliser_Products_Data3(), FertiliserProducts[[#Headers],[Company]],61)</f>
        <v/>
      </c>
      <c r="AE173" s="200" t="str" cm="1">
        <f t="array" ref="AE173">Common_InputFunctions.Utility_DisplayArrayInTable(Fertiliser_SourceData.Fertiliser_Products_Data3(), FertiliserProducts[[#Headers],[Company]],61)</f>
        <v/>
      </c>
      <c r="AF173" s="200" t="str" cm="1">
        <f t="array" ref="AF173">Common_InputFunctions.Utility_DisplayArrayInTable(Fertiliser_SourceData.Fertiliser_Products_Data3(), FertiliserProducts[[#Headers],[Company]],61)</f>
        <v/>
      </c>
      <c r="AG173" s="200" t="str" cm="1">
        <f t="array" ref="AG173">Common_InputFunctions.Utility_DisplayArrayInTable(Fertiliser_SourceData.Fertiliser_Products_Data3(), FertiliserProducts[[#Headers],[Company]],61)</f>
        <v/>
      </c>
      <c r="AH173" s="200" t="str" cm="1">
        <f t="array" ref="AH173">Common_InputFunctions.Utility_DisplayArrayInTable(Fertiliser_SourceData.Fertiliser_Products_Data3(), FertiliserProducts[[#Headers],[Company]],61)</f>
        <v/>
      </c>
      <c r="AK173" s="1"/>
    </row>
    <row r="174" spans="4:37" x14ac:dyDescent="0.25">
      <c r="D174" s="200" t="str" cm="1">
        <f t="array" ref="D174">Common_InputFunctions.Utility_DisplayArrayInTable(Fertiliser_SourceData.Fertiliser_Products_Data3(), FertiliserProducts[[#Headers],[Company]],61)</f>
        <v>Incitec Pivot Fertilisers</v>
      </c>
      <c r="E174" s="200" t="str" cm="1">
        <f t="array" ref="E174">Common_InputFunctions.Utility_DisplayArrayInTable(Fertiliser_SourceData.Fertiliser_Products_Data3(), FertiliserProducts[[#Headers],[Company]],61)</f>
        <v>CK 88</v>
      </c>
      <c r="F174" s="200" t="str" cm="1">
        <f t="array" ref="F174">Common_InputFunctions.Utility_DisplayArrayInTable(Fertiliser_SourceData.Fertiliser_Products_Data3(), FertiliserProducts[[#Headers],[Company]],61)</f>
        <v>kg</v>
      </c>
      <c r="G174" s="200" cm="1">
        <f t="array" ref="G174">Common_InputFunctions.Utility_DisplayArrayInTable(Fertiliser_SourceData.Fertiliser_Products_Data3(), FertiliserProducts[[#Headers],[Company]],61)</f>
        <v>1</v>
      </c>
      <c r="H174" s="200" t="str" cm="1">
        <f t="array" ref="H174">Common_InputFunctions.Utility_DisplayArrayInTable(Fertiliser_SourceData.Fertiliser_Products_Data3(), FertiliserProducts[[#Headers],[Company]],61)</f>
        <v/>
      </c>
      <c r="I174" s="200" t="str" cm="1">
        <f t="array" ref="I174">Common_InputFunctions.Utility_DisplayArrayInTable(Fertiliser_SourceData.Fertiliser_Products_Data3(), FertiliserProducts[[#Headers],[Company]],61)</f>
        <v/>
      </c>
      <c r="J174" s="200" t="str" cm="1">
        <f t="array" ref="J174">Common_InputFunctions.Utility_DisplayArrayInTable(Fertiliser_SourceData.Fertiliser_Products_Data3(), FertiliserProducts[[#Headers],[Company]],61)</f>
        <v/>
      </c>
      <c r="K174" s="200" cm="1">
        <f t="array" ref="K174">Common_InputFunctions.Utility_DisplayArrayInTable(Fertiliser_SourceData.Fertiliser_Products_Data3(), FertiliserProducts[[#Headers],[Company]],61)</f>
        <v>15.1</v>
      </c>
      <c r="L174" s="200" cm="1">
        <f t="array" ref="L174">Common_InputFunctions.Utility_DisplayArrayInTable(Fertiliser_SourceData.Fertiliser_Products_Data3(), FertiliserProducts[[#Headers],[Company]],61)</f>
        <v>4.4000000000000004</v>
      </c>
      <c r="M174" s="200" cm="1">
        <f t="array" ref="M174">Common_InputFunctions.Utility_DisplayArrayInTable(Fertiliser_SourceData.Fertiliser_Products_Data3(), FertiliserProducts[[#Headers],[Company]],61)</f>
        <v>11.5</v>
      </c>
      <c r="N174" s="200" cm="1">
        <f t="array" ref="N174">Common_InputFunctions.Utility_DisplayArrayInTable(Fertiliser_SourceData.Fertiliser_Products_Data3(), FertiliserProducts[[#Headers],[Company]],61)</f>
        <v>13.6</v>
      </c>
      <c r="O174" s="200" t="str" cm="1">
        <f t="array" ref="O174">Common_InputFunctions.Utility_DisplayArrayInTable(Fertiliser_SourceData.Fertiliser_Products_Data3(), FertiliserProducts[[#Headers],[Company]],61)</f>
        <v>Nitrogen - Generic</v>
      </c>
      <c r="P174" s="200" cm="1">
        <f t="array" ref="P174">Common_InputFunctions.Utility_DisplayArrayInTable(Fertiliser_SourceData.Fertiliser_Products_Data3(), FertiliserProducts[[#Headers],[Company]],61)</f>
        <v>0.151</v>
      </c>
      <c r="Q174" s="200" t="str" cm="1">
        <f t="array" ref="Q174">Common_InputFunctions.Utility_DisplayArrayInTable(Fertiliser_SourceData.Fertiliser_Products_Data3(), FertiliserProducts[[#Headers],[Company]],61)</f>
        <v>Phosphorus - Generic</v>
      </c>
      <c r="R174" s="200" cm="1">
        <f t="array" ref="R174">Common_InputFunctions.Utility_DisplayArrayInTable(Fertiliser_SourceData.Fertiliser_Products_Data3(), FertiliserProducts[[#Headers],[Company]],61)</f>
        <v>4.3999999999999997E-2</v>
      </c>
      <c r="S174" s="200" t="str" cm="1">
        <f t="array" ref="S174">Common_InputFunctions.Utility_DisplayArrayInTable(Fertiliser_SourceData.Fertiliser_Products_Data3(), FertiliserProducts[[#Headers],[Company]],61)</f>
        <v>Potassium - Generic</v>
      </c>
      <c r="T174" s="200" cm="1">
        <f t="array" ref="T174">Common_InputFunctions.Utility_DisplayArrayInTable(Fertiliser_SourceData.Fertiliser_Products_Data3(), FertiliserProducts[[#Headers],[Company]],61)</f>
        <v>0.115</v>
      </c>
      <c r="U174" s="200" t="str" cm="1">
        <f t="array" ref="U174">Common_InputFunctions.Utility_DisplayArrayInTable(Fertiliser_SourceData.Fertiliser_Products_Data3(), FertiliserProducts[[#Headers],[Company]],61)</f>
        <v>Sulfur - Generic</v>
      </c>
      <c r="V174" s="200" cm="1">
        <f t="array" ref="V174">Common_InputFunctions.Utility_DisplayArrayInTable(Fertiliser_SourceData.Fertiliser_Products_Data3(), FertiliserProducts[[#Headers],[Company]],61)</f>
        <v>0.13600000000000001</v>
      </c>
      <c r="W174" s="200" t="str" cm="1">
        <f t="array" ref="W174">Common_InputFunctions.Utility_DisplayArrayInTable(Fertiliser_SourceData.Fertiliser_Products_Data3(), FertiliserProducts[[#Headers],[Company]],61)</f>
        <v/>
      </c>
      <c r="X174" s="200" t="str" cm="1">
        <f t="array" ref="X174">Common_InputFunctions.Utility_DisplayArrayInTable(Fertiliser_SourceData.Fertiliser_Products_Data3(), FertiliserProducts[[#Headers],[Company]],61)</f>
        <v/>
      </c>
      <c r="Y174" s="200" t="str" cm="1">
        <f t="array" ref="Y174">Common_InputFunctions.Utility_DisplayArrayInTable(Fertiliser_SourceData.Fertiliser_Products_Data3(), FertiliserProducts[[#Headers],[Company]],61)</f>
        <v/>
      </c>
      <c r="Z174" s="200" t="str" cm="1">
        <f t="array" ref="Z174">Common_InputFunctions.Utility_DisplayArrayInTable(Fertiliser_SourceData.Fertiliser_Products_Data3(), FertiliserProducts[[#Headers],[Company]],61)</f>
        <v/>
      </c>
      <c r="AA174" s="200" t="str" cm="1">
        <f t="array" ref="AA174">Common_InputFunctions.Utility_DisplayArrayInTable(Fertiliser_SourceData.Fertiliser_Products_Data3(), FertiliserProducts[[#Headers],[Company]],61)</f>
        <v/>
      </c>
      <c r="AB174" s="200" t="str" cm="1">
        <f t="array" ref="AB174">Common_InputFunctions.Utility_DisplayArrayInTable(Fertiliser_SourceData.Fertiliser_Products_Data3(), FertiliserProducts[[#Headers],[Company]],61)</f>
        <v/>
      </c>
      <c r="AC174" s="200" t="str" cm="1">
        <f t="array" ref="AC174">Common_InputFunctions.Utility_DisplayArrayInTable(Fertiliser_SourceData.Fertiliser_Products_Data3(), FertiliserProducts[[#Headers],[Company]],61)</f>
        <v/>
      </c>
      <c r="AD174" s="200" t="str" cm="1">
        <f t="array" ref="AD174">Common_InputFunctions.Utility_DisplayArrayInTable(Fertiliser_SourceData.Fertiliser_Products_Data3(), FertiliserProducts[[#Headers],[Company]],61)</f>
        <v/>
      </c>
      <c r="AE174" s="200" t="str" cm="1">
        <f t="array" ref="AE174">Common_InputFunctions.Utility_DisplayArrayInTable(Fertiliser_SourceData.Fertiliser_Products_Data3(), FertiliserProducts[[#Headers],[Company]],61)</f>
        <v/>
      </c>
      <c r="AF174" s="200" t="str" cm="1">
        <f t="array" ref="AF174">Common_InputFunctions.Utility_DisplayArrayInTable(Fertiliser_SourceData.Fertiliser_Products_Data3(), FertiliserProducts[[#Headers],[Company]],61)</f>
        <v/>
      </c>
      <c r="AG174" s="200" t="str" cm="1">
        <f t="array" ref="AG174">Common_InputFunctions.Utility_DisplayArrayInTable(Fertiliser_SourceData.Fertiliser_Products_Data3(), FertiliserProducts[[#Headers],[Company]],61)</f>
        <v/>
      </c>
      <c r="AH174" s="200" t="str" cm="1">
        <f t="array" ref="AH174">Common_InputFunctions.Utility_DisplayArrayInTable(Fertiliser_SourceData.Fertiliser_Products_Data3(), FertiliserProducts[[#Headers],[Company]],61)</f>
        <v/>
      </c>
      <c r="AK174" s="1"/>
    </row>
    <row r="175" spans="4:37" x14ac:dyDescent="0.25">
      <c r="D175" s="200" t="str" cm="1">
        <f t="array" ref="D175">Common_InputFunctions.Utility_DisplayArrayInTable(Fertiliser_SourceData.Fertiliser_Products_Data3(), FertiliserProducts[[#Headers],[Company]],61)</f>
        <v>Incitec Pivot Fertilisers</v>
      </c>
      <c r="E175" s="200" t="str" cm="1">
        <f t="array" ref="E175">Common_InputFunctions.Utility_DisplayArrayInTable(Fertiliser_SourceData.Fertiliser_Products_Data3(), FertiliserProducts[[#Headers],[Company]],61)</f>
        <v>CropLift 15</v>
      </c>
      <c r="F175" s="200" t="str" cm="1">
        <f t="array" ref="F175">Common_InputFunctions.Utility_DisplayArrayInTable(Fertiliser_SourceData.Fertiliser_Products_Data3(), FertiliserProducts[[#Headers],[Company]],61)</f>
        <v>kg</v>
      </c>
      <c r="G175" s="200" cm="1">
        <f t="array" ref="G175">Common_InputFunctions.Utility_DisplayArrayInTable(Fertiliser_SourceData.Fertiliser_Products_Data3(), FertiliserProducts[[#Headers],[Company]],61)</f>
        <v>1</v>
      </c>
      <c r="H175" s="200" t="str" cm="1">
        <f t="array" ref="H175">Common_InputFunctions.Utility_DisplayArrayInTable(Fertiliser_SourceData.Fertiliser_Products_Data3(), FertiliserProducts[[#Headers],[Company]],61)</f>
        <v/>
      </c>
      <c r="I175" s="200" t="str" cm="1">
        <f t="array" ref="I175">Common_InputFunctions.Utility_DisplayArrayInTable(Fertiliser_SourceData.Fertiliser_Products_Data3(), FertiliserProducts[[#Headers],[Company]],61)</f>
        <v/>
      </c>
      <c r="J175" s="200" t="str" cm="1">
        <f t="array" ref="J175">Common_InputFunctions.Utility_DisplayArrayInTable(Fertiliser_SourceData.Fertiliser_Products_Data3(), FertiliserProducts[[#Headers],[Company]],61)</f>
        <v/>
      </c>
      <c r="K175" s="200" cm="1">
        <f t="array" ref="K175">Common_InputFunctions.Utility_DisplayArrayInTable(Fertiliser_SourceData.Fertiliser_Products_Data3(), FertiliserProducts[[#Headers],[Company]],61)</f>
        <v>14.6</v>
      </c>
      <c r="L175" s="200" cm="1">
        <f t="array" ref="L175">Common_InputFunctions.Utility_DisplayArrayInTable(Fertiliser_SourceData.Fertiliser_Products_Data3(), FertiliserProducts[[#Headers],[Company]],61)</f>
        <v>12.1</v>
      </c>
      <c r="M175" s="200" t="str" cm="1">
        <f t="array" ref="M175">Common_InputFunctions.Utility_DisplayArrayInTable(Fertiliser_SourceData.Fertiliser_Products_Data3(), FertiliserProducts[[#Headers],[Company]],61)</f>
        <v/>
      </c>
      <c r="N175" s="200" cm="1">
        <f t="array" ref="N175">Common_InputFunctions.Utility_DisplayArrayInTable(Fertiliser_SourceData.Fertiliser_Products_Data3(), FertiliserProducts[[#Headers],[Company]],61)</f>
        <v>11.6</v>
      </c>
      <c r="O175" s="200" t="str" cm="1">
        <f t="array" ref="O175">Common_InputFunctions.Utility_DisplayArrayInTable(Fertiliser_SourceData.Fertiliser_Products_Data3(), FertiliserProducts[[#Headers],[Company]],61)</f>
        <v>Nitrogen - Generic</v>
      </c>
      <c r="P175" s="200" cm="1">
        <f t="array" ref="P175">Common_InputFunctions.Utility_DisplayArrayInTable(Fertiliser_SourceData.Fertiliser_Products_Data3(), FertiliserProducts[[#Headers],[Company]],61)</f>
        <v>0.14599999999999999</v>
      </c>
      <c r="Q175" s="200" t="str" cm="1">
        <f t="array" ref="Q175">Common_InputFunctions.Utility_DisplayArrayInTable(Fertiliser_SourceData.Fertiliser_Products_Data3(), FertiliserProducts[[#Headers],[Company]],61)</f>
        <v>Phosphorus - Generic</v>
      </c>
      <c r="R175" s="200" cm="1">
        <f t="array" ref="R175">Common_InputFunctions.Utility_DisplayArrayInTable(Fertiliser_SourceData.Fertiliser_Products_Data3(), FertiliserProducts[[#Headers],[Company]],61)</f>
        <v>0.121</v>
      </c>
      <c r="S175" s="200" t="str" cm="1">
        <f t="array" ref="S175">Common_InputFunctions.Utility_DisplayArrayInTable(Fertiliser_SourceData.Fertiliser_Products_Data3(), FertiliserProducts[[#Headers],[Company]],61)</f>
        <v>Sulfur - Generic</v>
      </c>
      <c r="T175" s="200" cm="1">
        <f t="array" ref="T175">Common_InputFunctions.Utility_DisplayArrayInTable(Fertiliser_SourceData.Fertiliser_Products_Data3(), FertiliserProducts[[#Headers],[Company]],61)</f>
        <v>0.11600000000000001</v>
      </c>
      <c r="U175" s="200" t="str" cm="1">
        <f t="array" ref="U175">Common_InputFunctions.Utility_DisplayArrayInTable(Fertiliser_SourceData.Fertiliser_Products_Data3(), FertiliserProducts[[#Headers],[Company]],61)</f>
        <v/>
      </c>
      <c r="V175" s="200" t="str" cm="1">
        <f t="array" ref="V175">Common_InputFunctions.Utility_DisplayArrayInTable(Fertiliser_SourceData.Fertiliser_Products_Data3(), FertiliserProducts[[#Headers],[Company]],61)</f>
        <v/>
      </c>
      <c r="W175" s="200" t="str" cm="1">
        <f t="array" ref="W175">Common_InputFunctions.Utility_DisplayArrayInTable(Fertiliser_SourceData.Fertiliser_Products_Data3(), FertiliserProducts[[#Headers],[Company]],61)</f>
        <v/>
      </c>
      <c r="X175" s="200" t="str" cm="1">
        <f t="array" ref="X175">Common_InputFunctions.Utility_DisplayArrayInTable(Fertiliser_SourceData.Fertiliser_Products_Data3(), FertiliserProducts[[#Headers],[Company]],61)</f>
        <v/>
      </c>
      <c r="Y175" s="200" t="str" cm="1">
        <f t="array" ref="Y175">Common_InputFunctions.Utility_DisplayArrayInTable(Fertiliser_SourceData.Fertiliser_Products_Data3(), FertiliserProducts[[#Headers],[Company]],61)</f>
        <v/>
      </c>
      <c r="Z175" s="200" t="str" cm="1">
        <f t="array" ref="Z175">Common_InputFunctions.Utility_DisplayArrayInTable(Fertiliser_SourceData.Fertiliser_Products_Data3(), FertiliserProducts[[#Headers],[Company]],61)</f>
        <v/>
      </c>
      <c r="AA175" s="200" t="str" cm="1">
        <f t="array" ref="AA175">Common_InputFunctions.Utility_DisplayArrayInTable(Fertiliser_SourceData.Fertiliser_Products_Data3(), FertiliserProducts[[#Headers],[Company]],61)</f>
        <v/>
      </c>
      <c r="AB175" s="200" t="str" cm="1">
        <f t="array" ref="AB175">Common_InputFunctions.Utility_DisplayArrayInTable(Fertiliser_SourceData.Fertiliser_Products_Data3(), FertiliserProducts[[#Headers],[Company]],61)</f>
        <v/>
      </c>
      <c r="AC175" s="200" t="str" cm="1">
        <f t="array" ref="AC175">Common_InputFunctions.Utility_DisplayArrayInTable(Fertiliser_SourceData.Fertiliser_Products_Data3(), FertiliserProducts[[#Headers],[Company]],61)</f>
        <v/>
      </c>
      <c r="AD175" s="200" t="str" cm="1">
        <f t="array" ref="AD175">Common_InputFunctions.Utility_DisplayArrayInTable(Fertiliser_SourceData.Fertiliser_Products_Data3(), FertiliserProducts[[#Headers],[Company]],61)</f>
        <v/>
      </c>
      <c r="AE175" s="200" t="str" cm="1">
        <f t="array" ref="AE175">Common_InputFunctions.Utility_DisplayArrayInTable(Fertiliser_SourceData.Fertiliser_Products_Data3(), FertiliserProducts[[#Headers],[Company]],61)</f>
        <v/>
      </c>
      <c r="AF175" s="200" t="str" cm="1">
        <f t="array" ref="AF175">Common_InputFunctions.Utility_DisplayArrayInTable(Fertiliser_SourceData.Fertiliser_Products_Data3(), FertiliserProducts[[#Headers],[Company]],61)</f>
        <v/>
      </c>
      <c r="AG175" s="200" t="str" cm="1">
        <f t="array" ref="AG175">Common_InputFunctions.Utility_DisplayArrayInTable(Fertiliser_SourceData.Fertiliser_Products_Data3(), FertiliserProducts[[#Headers],[Company]],61)</f>
        <v/>
      </c>
      <c r="AH175" s="200" t="str" cm="1">
        <f t="array" ref="AH175">Common_InputFunctions.Utility_DisplayArrayInTable(Fertiliser_SourceData.Fertiliser_Products_Data3(), FertiliserProducts[[#Headers],[Company]],61)</f>
        <v/>
      </c>
      <c r="AK175" s="1"/>
    </row>
    <row r="176" spans="4:37" x14ac:dyDescent="0.25">
      <c r="D176" s="200" t="str" cm="1">
        <f t="array" ref="D176">Common_InputFunctions.Utility_DisplayArrayInTable(Fertiliser_SourceData.Fertiliser_Products_Data3(), FertiliserProducts[[#Headers],[Company]],61)</f>
        <v>Incitec Pivot Fertilisers</v>
      </c>
      <c r="E176" s="200" t="str" cm="1">
        <f t="array" ref="E176">Common_InputFunctions.Utility_DisplayArrayInTable(Fertiliser_SourceData.Fertiliser_Products_Data3(), FertiliserProducts[[#Headers],[Company]],61)</f>
        <v>NPKS 19-13-0-9</v>
      </c>
      <c r="F176" s="200" t="str" cm="1">
        <f t="array" ref="F176">Common_InputFunctions.Utility_DisplayArrayInTable(Fertiliser_SourceData.Fertiliser_Products_Data3(), FertiliserProducts[[#Headers],[Company]],61)</f>
        <v>kg</v>
      </c>
      <c r="G176" s="200" cm="1">
        <f t="array" ref="G176">Common_InputFunctions.Utility_DisplayArrayInTable(Fertiliser_SourceData.Fertiliser_Products_Data3(), FertiliserProducts[[#Headers],[Company]],61)</f>
        <v>1</v>
      </c>
      <c r="H176" s="200" t="str" cm="1">
        <f t="array" ref="H176">Common_InputFunctions.Utility_DisplayArrayInTable(Fertiliser_SourceData.Fertiliser_Products_Data3(), FertiliserProducts[[#Headers],[Company]],61)</f>
        <v/>
      </c>
      <c r="I176" s="200" t="str" cm="1">
        <f t="array" ref="I176">Common_InputFunctions.Utility_DisplayArrayInTable(Fertiliser_SourceData.Fertiliser_Products_Data3(), FertiliserProducts[[#Headers],[Company]],61)</f>
        <v/>
      </c>
      <c r="J176" s="200" t="str" cm="1">
        <f t="array" ref="J176">Common_InputFunctions.Utility_DisplayArrayInTable(Fertiliser_SourceData.Fertiliser_Products_Data3(), FertiliserProducts[[#Headers],[Company]],61)</f>
        <v/>
      </c>
      <c r="K176" s="200" cm="1">
        <f t="array" ref="K176">Common_InputFunctions.Utility_DisplayArrayInTable(Fertiliser_SourceData.Fertiliser_Products_Data3(), FertiliserProducts[[#Headers],[Company]],61)</f>
        <v>19</v>
      </c>
      <c r="L176" s="200" cm="1">
        <f t="array" ref="L176">Common_InputFunctions.Utility_DisplayArrayInTable(Fertiliser_SourceData.Fertiliser_Products_Data3(), FertiliserProducts[[#Headers],[Company]],61)</f>
        <v>13</v>
      </c>
      <c r="M176" s="200" cm="1">
        <f t="array" ref="M176">Common_InputFunctions.Utility_DisplayArrayInTable(Fertiliser_SourceData.Fertiliser_Products_Data3(), FertiliserProducts[[#Headers],[Company]],61)</f>
        <v>0</v>
      </c>
      <c r="N176" s="200" cm="1">
        <f t="array" ref="N176">Common_InputFunctions.Utility_DisplayArrayInTable(Fertiliser_SourceData.Fertiliser_Products_Data3(), FertiliserProducts[[#Headers],[Company]],61)</f>
        <v>9</v>
      </c>
      <c r="O176" s="200" t="str" cm="1">
        <f t="array" ref="O176">Common_InputFunctions.Utility_DisplayArrayInTable(Fertiliser_SourceData.Fertiliser_Products_Data3(), FertiliserProducts[[#Headers],[Company]],61)</f>
        <v>Nitrogen - Generic</v>
      </c>
      <c r="P176" s="200" cm="1">
        <f t="array" ref="P176">Common_InputFunctions.Utility_DisplayArrayInTable(Fertiliser_SourceData.Fertiliser_Products_Data3(), FertiliserProducts[[#Headers],[Company]],61)</f>
        <v>0.19</v>
      </c>
      <c r="Q176" s="200" t="str" cm="1">
        <f t="array" ref="Q176">Common_InputFunctions.Utility_DisplayArrayInTable(Fertiliser_SourceData.Fertiliser_Products_Data3(), FertiliserProducts[[#Headers],[Company]],61)</f>
        <v>Phosphorus - Generic</v>
      </c>
      <c r="R176" s="200" cm="1">
        <f t="array" ref="R176">Common_InputFunctions.Utility_DisplayArrayInTable(Fertiliser_SourceData.Fertiliser_Products_Data3(), FertiliserProducts[[#Headers],[Company]],61)</f>
        <v>0.13</v>
      </c>
      <c r="S176" s="200" t="str" cm="1">
        <f t="array" ref="S176">Common_InputFunctions.Utility_DisplayArrayInTable(Fertiliser_SourceData.Fertiliser_Products_Data3(), FertiliserProducts[[#Headers],[Company]],61)</f>
        <v>Sulfur - Generic</v>
      </c>
      <c r="T176" s="200" cm="1">
        <f t="array" ref="T176">Common_InputFunctions.Utility_DisplayArrayInTable(Fertiliser_SourceData.Fertiliser_Products_Data3(), FertiliserProducts[[#Headers],[Company]],61)</f>
        <v>0.09</v>
      </c>
      <c r="U176" s="200" t="str" cm="1">
        <f t="array" ref="U176">Common_InputFunctions.Utility_DisplayArrayInTable(Fertiliser_SourceData.Fertiliser_Products_Data3(), FertiliserProducts[[#Headers],[Company]],61)</f>
        <v/>
      </c>
      <c r="V176" s="200" t="str" cm="1">
        <f t="array" ref="V176">Common_InputFunctions.Utility_DisplayArrayInTable(Fertiliser_SourceData.Fertiliser_Products_Data3(), FertiliserProducts[[#Headers],[Company]],61)</f>
        <v/>
      </c>
      <c r="W176" s="200" t="str" cm="1">
        <f t="array" ref="W176">Common_InputFunctions.Utility_DisplayArrayInTable(Fertiliser_SourceData.Fertiliser_Products_Data3(), FertiliserProducts[[#Headers],[Company]],61)</f>
        <v/>
      </c>
      <c r="X176" s="200" t="str" cm="1">
        <f t="array" ref="X176">Common_InputFunctions.Utility_DisplayArrayInTable(Fertiliser_SourceData.Fertiliser_Products_Data3(), FertiliserProducts[[#Headers],[Company]],61)</f>
        <v/>
      </c>
      <c r="Y176" s="200" t="str" cm="1">
        <f t="array" ref="Y176">Common_InputFunctions.Utility_DisplayArrayInTable(Fertiliser_SourceData.Fertiliser_Products_Data3(), FertiliserProducts[[#Headers],[Company]],61)</f>
        <v/>
      </c>
      <c r="Z176" s="200" t="str" cm="1">
        <f t="array" ref="Z176">Common_InputFunctions.Utility_DisplayArrayInTable(Fertiliser_SourceData.Fertiliser_Products_Data3(), FertiliserProducts[[#Headers],[Company]],61)</f>
        <v/>
      </c>
      <c r="AA176" s="200" t="str" cm="1">
        <f t="array" ref="AA176">Common_InputFunctions.Utility_DisplayArrayInTable(Fertiliser_SourceData.Fertiliser_Products_Data3(), FertiliserProducts[[#Headers],[Company]],61)</f>
        <v/>
      </c>
      <c r="AB176" s="200" t="str" cm="1">
        <f t="array" ref="AB176">Common_InputFunctions.Utility_DisplayArrayInTable(Fertiliser_SourceData.Fertiliser_Products_Data3(), FertiliserProducts[[#Headers],[Company]],61)</f>
        <v/>
      </c>
      <c r="AC176" s="200" t="str" cm="1">
        <f t="array" ref="AC176">Common_InputFunctions.Utility_DisplayArrayInTable(Fertiliser_SourceData.Fertiliser_Products_Data3(), FertiliserProducts[[#Headers],[Company]],61)</f>
        <v/>
      </c>
      <c r="AD176" s="200" t="str" cm="1">
        <f t="array" ref="AD176">Common_InputFunctions.Utility_DisplayArrayInTable(Fertiliser_SourceData.Fertiliser_Products_Data3(), FertiliserProducts[[#Headers],[Company]],61)</f>
        <v/>
      </c>
      <c r="AE176" s="200" t="str" cm="1">
        <f t="array" ref="AE176">Common_InputFunctions.Utility_DisplayArrayInTable(Fertiliser_SourceData.Fertiliser_Products_Data3(), FertiliserProducts[[#Headers],[Company]],61)</f>
        <v/>
      </c>
      <c r="AF176" s="200" t="str" cm="1">
        <f t="array" ref="AF176">Common_InputFunctions.Utility_DisplayArrayInTable(Fertiliser_SourceData.Fertiliser_Products_Data3(), FertiliserProducts[[#Headers],[Company]],61)</f>
        <v/>
      </c>
      <c r="AG176" s="200" t="str" cm="1">
        <f t="array" ref="AG176">Common_InputFunctions.Utility_DisplayArrayInTable(Fertiliser_SourceData.Fertiliser_Products_Data3(), FertiliserProducts[[#Headers],[Company]],61)</f>
        <v/>
      </c>
      <c r="AH176" s="200" t="str" cm="1">
        <f t="array" ref="AH176">Common_InputFunctions.Utility_DisplayArrayInTable(Fertiliser_SourceData.Fertiliser_Products_Data3(), FertiliserProducts[[#Headers],[Company]],61)</f>
        <v/>
      </c>
      <c r="AK176" s="1"/>
    </row>
    <row r="177" spans="4:37" x14ac:dyDescent="0.25">
      <c r="D177" s="200" t="str" cm="1">
        <f t="array" ref="D177">Common_InputFunctions.Utility_DisplayArrayInTable(Fertiliser_SourceData.Fertiliser_Products_Data3(), FertiliserProducts[[#Headers],[Company]],61)</f>
        <v>Incitec Pivot Fertilisers</v>
      </c>
      <c r="E177" s="200" t="str" cm="1">
        <f t="array" ref="E177">Common_InputFunctions.Utility_DisplayArrayInTable(Fertiliser_SourceData.Fertiliser_Products_Data3(), FertiliserProducts[[#Headers],[Company]],61)</f>
        <v>PastureBoosta</v>
      </c>
      <c r="F177" s="200" t="str" cm="1">
        <f t="array" ref="F177">Common_InputFunctions.Utility_DisplayArrayInTable(Fertiliser_SourceData.Fertiliser_Products_Data3(), FertiliserProducts[[#Headers],[Company]],61)</f>
        <v>kg</v>
      </c>
      <c r="G177" s="200" cm="1">
        <f t="array" ref="G177">Common_InputFunctions.Utility_DisplayArrayInTable(Fertiliser_SourceData.Fertiliser_Products_Data3(), FertiliserProducts[[#Headers],[Company]],61)</f>
        <v>1</v>
      </c>
      <c r="H177" s="200" t="str" cm="1">
        <f t="array" ref="H177">Common_InputFunctions.Utility_DisplayArrayInTable(Fertiliser_SourceData.Fertiliser_Products_Data3(), FertiliserProducts[[#Headers],[Company]],61)</f>
        <v/>
      </c>
      <c r="I177" s="200" t="str" cm="1">
        <f t="array" ref="I177">Common_InputFunctions.Utility_DisplayArrayInTable(Fertiliser_SourceData.Fertiliser_Products_Data3(), FertiliserProducts[[#Headers],[Company]],61)</f>
        <v/>
      </c>
      <c r="J177" s="200" t="str" cm="1">
        <f t="array" ref="J177">Common_InputFunctions.Utility_DisplayArrayInTable(Fertiliser_SourceData.Fertiliser_Products_Data3(), FertiliserProducts[[#Headers],[Company]],61)</f>
        <v/>
      </c>
      <c r="K177" s="200" cm="1">
        <f t="array" ref="K177">Common_InputFunctions.Utility_DisplayArrayInTable(Fertiliser_SourceData.Fertiliser_Products_Data3(), FertiliserProducts[[#Headers],[Company]],61)</f>
        <v>23.8</v>
      </c>
      <c r="L177" s="200" cm="1">
        <f t="array" ref="L177">Common_InputFunctions.Utility_DisplayArrayInTable(Fertiliser_SourceData.Fertiliser_Products_Data3(), FertiliserProducts[[#Headers],[Company]],61)</f>
        <v>3.7</v>
      </c>
      <c r="M177" s="200" cm="1">
        <f t="array" ref="M177">Common_InputFunctions.Utility_DisplayArrayInTable(Fertiliser_SourceData.Fertiliser_Products_Data3(), FertiliserProducts[[#Headers],[Company]],61)</f>
        <v>13</v>
      </c>
      <c r="N177" s="200" cm="1">
        <f t="array" ref="N177">Common_InputFunctions.Utility_DisplayArrayInTable(Fertiliser_SourceData.Fertiliser_Products_Data3(), FertiliserProducts[[#Headers],[Company]],61)</f>
        <v>4.0999999999999996</v>
      </c>
      <c r="O177" s="200" t="str" cm="1">
        <f t="array" ref="O177">Common_InputFunctions.Utility_DisplayArrayInTable(Fertiliser_SourceData.Fertiliser_Products_Data3(), FertiliserProducts[[#Headers],[Company]],61)</f>
        <v>Nitrogen - Generic</v>
      </c>
      <c r="P177" s="200" cm="1">
        <f t="array" ref="P177">Common_InputFunctions.Utility_DisplayArrayInTable(Fertiliser_SourceData.Fertiliser_Products_Data3(), FertiliserProducts[[#Headers],[Company]],61)</f>
        <v>0.23799999999999999</v>
      </c>
      <c r="Q177" s="200" t="str" cm="1">
        <f t="array" ref="Q177">Common_InputFunctions.Utility_DisplayArrayInTable(Fertiliser_SourceData.Fertiliser_Products_Data3(), FertiliserProducts[[#Headers],[Company]],61)</f>
        <v>Phosphorus - Generic</v>
      </c>
      <c r="R177" s="200" cm="1">
        <f t="array" ref="R177">Common_InputFunctions.Utility_DisplayArrayInTable(Fertiliser_SourceData.Fertiliser_Products_Data3(), FertiliserProducts[[#Headers],[Company]],61)</f>
        <v>3.6999999999999998E-2</v>
      </c>
      <c r="S177" s="200" t="str" cm="1">
        <f t="array" ref="S177">Common_InputFunctions.Utility_DisplayArrayInTable(Fertiliser_SourceData.Fertiliser_Products_Data3(), FertiliserProducts[[#Headers],[Company]],61)</f>
        <v>Potassium - Generic</v>
      </c>
      <c r="T177" s="200" cm="1">
        <f t="array" ref="T177">Common_InputFunctions.Utility_DisplayArrayInTable(Fertiliser_SourceData.Fertiliser_Products_Data3(), FertiliserProducts[[#Headers],[Company]],61)</f>
        <v>0.13</v>
      </c>
      <c r="U177" s="200" t="str" cm="1">
        <f t="array" ref="U177">Common_InputFunctions.Utility_DisplayArrayInTable(Fertiliser_SourceData.Fertiliser_Products_Data3(), FertiliserProducts[[#Headers],[Company]],61)</f>
        <v>Sulfur - Generic</v>
      </c>
      <c r="V177" s="200" cm="1">
        <f t="array" ref="V177">Common_InputFunctions.Utility_DisplayArrayInTable(Fertiliser_SourceData.Fertiliser_Products_Data3(), FertiliserProducts[[#Headers],[Company]],61)</f>
        <v>4.1000000000000002E-2</v>
      </c>
      <c r="W177" s="200" t="str" cm="1">
        <f t="array" ref="W177">Common_InputFunctions.Utility_DisplayArrayInTable(Fertiliser_SourceData.Fertiliser_Products_Data3(), FertiliserProducts[[#Headers],[Company]],61)</f>
        <v/>
      </c>
      <c r="X177" s="200" t="str" cm="1">
        <f t="array" ref="X177">Common_InputFunctions.Utility_DisplayArrayInTable(Fertiliser_SourceData.Fertiliser_Products_Data3(), FertiliserProducts[[#Headers],[Company]],61)</f>
        <v/>
      </c>
      <c r="Y177" s="200" t="str" cm="1">
        <f t="array" ref="Y177">Common_InputFunctions.Utility_DisplayArrayInTable(Fertiliser_SourceData.Fertiliser_Products_Data3(), FertiliserProducts[[#Headers],[Company]],61)</f>
        <v/>
      </c>
      <c r="Z177" s="200" t="str" cm="1">
        <f t="array" ref="Z177">Common_InputFunctions.Utility_DisplayArrayInTable(Fertiliser_SourceData.Fertiliser_Products_Data3(), FertiliserProducts[[#Headers],[Company]],61)</f>
        <v/>
      </c>
      <c r="AA177" s="200" t="str" cm="1">
        <f t="array" ref="AA177">Common_InputFunctions.Utility_DisplayArrayInTable(Fertiliser_SourceData.Fertiliser_Products_Data3(), FertiliserProducts[[#Headers],[Company]],61)</f>
        <v/>
      </c>
      <c r="AB177" s="200" t="str" cm="1">
        <f t="array" ref="AB177">Common_InputFunctions.Utility_DisplayArrayInTable(Fertiliser_SourceData.Fertiliser_Products_Data3(), FertiliserProducts[[#Headers],[Company]],61)</f>
        <v/>
      </c>
      <c r="AC177" s="200" t="str" cm="1">
        <f t="array" ref="AC177">Common_InputFunctions.Utility_DisplayArrayInTable(Fertiliser_SourceData.Fertiliser_Products_Data3(), FertiliserProducts[[#Headers],[Company]],61)</f>
        <v/>
      </c>
      <c r="AD177" s="200" t="str" cm="1">
        <f t="array" ref="AD177">Common_InputFunctions.Utility_DisplayArrayInTable(Fertiliser_SourceData.Fertiliser_Products_Data3(), FertiliserProducts[[#Headers],[Company]],61)</f>
        <v/>
      </c>
      <c r="AE177" s="200" t="str" cm="1">
        <f t="array" ref="AE177">Common_InputFunctions.Utility_DisplayArrayInTable(Fertiliser_SourceData.Fertiliser_Products_Data3(), FertiliserProducts[[#Headers],[Company]],61)</f>
        <v/>
      </c>
      <c r="AF177" s="200" t="str" cm="1">
        <f t="array" ref="AF177">Common_InputFunctions.Utility_DisplayArrayInTable(Fertiliser_SourceData.Fertiliser_Products_Data3(), FertiliserProducts[[#Headers],[Company]],61)</f>
        <v/>
      </c>
      <c r="AG177" s="200" t="str" cm="1">
        <f t="array" ref="AG177">Common_InputFunctions.Utility_DisplayArrayInTable(Fertiliser_SourceData.Fertiliser_Products_Data3(), FertiliserProducts[[#Headers],[Company]],61)</f>
        <v/>
      </c>
      <c r="AH177" s="200" t="str" cm="1">
        <f t="array" ref="AH177">Common_InputFunctions.Utility_DisplayArrayInTable(Fertiliser_SourceData.Fertiliser_Products_Data3(), FertiliserProducts[[#Headers],[Company]],61)</f>
        <v/>
      </c>
      <c r="AK177" s="1"/>
    </row>
    <row r="178" spans="4:37" x14ac:dyDescent="0.25">
      <c r="D178" s="200" t="str" cm="1">
        <f t="array" ref="D178">Common_InputFunctions.Utility_DisplayArrayInTable(Fertiliser_SourceData.Fertiliser_Products_Data3(), FertiliserProducts[[#Headers],[Company]],61)</f>
        <v>Incitec Pivot Fertilisers</v>
      </c>
      <c r="E178" s="200" t="str" cm="1">
        <f t="array" ref="E178">Common_InputFunctions.Utility_DisplayArrayInTable(Fertiliser_SourceData.Fertiliser_Products_Data3(), FertiliserProducts[[#Headers],[Company]],61)</f>
        <v>Greentop K</v>
      </c>
      <c r="F178" s="200" t="str" cm="1">
        <f t="array" ref="F178">Common_InputFunctions.Utility_DisplayArrayInTable(Fertiliser_SourceData.Fertiliser_Products_Data3(), FertiliserProducts[[#Headers],[Company]],61)</f>
        <v>kg</v>
      </c>
      <c r="G178" s="200" cm="1">
        <f t="array" ref="G178">Common_InputFunctions.Utility_DisplayArrayInTable(Fertiliser_SourceData.Fertiliser_Products_Data3(), FertiliserProducts[[#Headers],[Company]],61)</f>
        <v>1</v>
      </c>
      <c r="H178" s="200" t="str" cm="1">
        <f t="array" ref="H178">Common_InputFunctions.Utility_DisplayArrayInTable(Fertiliser_SourceData.Fertiliser_Products_Data3(), FertiliserProducts[[#Headers],[Company]],61)</f>
        <v/>
      </c>
      <c r="I178" s="200" t="str" cm="1">
        <f t="array" ref="I178">Common_InputFunctions.Utility_DisplayArrayInTable(Fertiliser_SourceData.Fertiliser_Products_Data3(), FertiliserProducts[[#Headers],[Company]],61)</f>
        <v/>
      </c>
      <c r="J178" s="200" t="str" cm="1">
        <f t="array" ref="J178">Common_InputFunctions.Utility_DisplayArrayInTable(Fertiliser_SourceData.Fertiliser_Products_Data3(), FertiliserProducts[[#Headers],[Company]],61)</f>
        <v/>
      </c>
      <c r="K178" s="200" cm="1">
        <f t="array" ref="K178">Common_InputFunctions.Utility_DisplayArrayInTable(Fertiliser_SourceData.Fertiliser_Products_Data3(), FertiliserProducts[[#Headers],[Company]],61)</f>
        <v>32.799999999999997</v>
      </c>
      <c r="L178" s="200" t="str" cm="1">
        <f t="array" ref="L178">Common_InputFunctions.Utility_DisplayArrayInTable(Fertiliser_SourceData.Fertiliser_Products_Data3(), FertiliserProducts[[#Headers],[Company]],61)</f>
        <v/>
      </c>
      <c r="M178" s="200" cm="1">
        <f t="array" ref="M178">Common_InputFunctions.Utility_DisplayArrayInTable(Fertiliser_SourceData.Fertiliser_Products_Data3(), FertiliserProducts[[#Headers],[Company]],61)</f>
        <v>11</v>
      </c>
      <c r="N178" s="200" cm="1">
        <f t="array" ref="N178">Common_InputFunctions.Utility_DisplayArrayInTable(Fertiliser_SourceData.Fertiliser_Products_Data3(), FertiliserProducts[[#Headers],[Company]],61)</f>
        <v>2.9</v>
      </c>
      <c r="O178" s="200" t="str" cm="1">
        <f t="array" ref="O178">Common_InputFunctions.Utility_DisplayArrayInTable(Fertiliser_SourceData.Fertiliser_Products_Data3(), FertiliserProducts[[#Headers],[Company]],61)</f>
        <v>Urea</v>
      </c>
      <c r="P178" s="200" cm="1">
        <f t="array" ref="P178">Common_InputFunctions.Utility_DisplayArrayInTable(Fertiliser_SourceData.Fertiliser_Products_Data3(), FertiliserProducts[[#Headers],[Company]],61)</f>
        <v>0.66086999999999996</v>
      </c>
      <c r="Q178" s="200" t="str" cm="1">
        <f t="array" ref="Q178">Common_InputFunctions.Utility_DisplayArrayInTable(Fertiliser_SourceData.Fertiliser_Products_Data3(), FertiliserProducts[[#Headers],[Company]],61)</f>
        <v>Nitrogen - Ammoniacal</v>
      </c>
      <c r="R178" s="200" cm="1">
        <f t="array" ref="R178">Common_InputFunctions.Utility_DisplayArrayInTable(Fertiliser_SourceData.Fertiliser_Products_Data3(), FertiliserProducts[[#Headers],[Company]],61)</f>
        <v>2.4E-2</v>
      </c>
      <c r="S178" s="200" t="str" cm="1">
        <f t="array" ref="S178">Common_InputFunctions.Utility_DisplayArrayInTable(Fertiliser_SourceData.Fertiliser_Products_Data3(), FertiliserProducts[[#Headers],[Company]],61)</f>
        <v>Potassium - Generic</v>
      </c>
      <c r="T178" s="200" cm="1">
        <f t="array" ref="T178">Common_InputFunctions.Utility_DisplayArrayInTable(Fertiliser_SourceData.Fertiliser_Products_Data3(), FertiliserProducts[[#Headers],[Company]],61)</f>
        <v>0.11</v>
      </c>
      <c r="U178" s="200" t="str" cm="1">
        <f t="array" ref="U178">Common_InputFunctions.Utility_DisplayArrayInTable(Fertiliser_SourceData.Fertiliser_Products_Data3(), FertiliserProducts[[#Headers],[Company]],61)</f>
        <v>Sulfur - Generic</v>
      </c>
      <c r="V178" s="200" cm="1">
        <f t="array" ref="V178">Common_InputFunctions.Utility_DisplayArrayInTable(Fertiliser_SourceData.Fertiliser_Products_Data3(), FertiliserProducts[[#Headers],[Company]],61)</f>
        <v>2.9000000000000001E-2</v>
      </c>
      <c r="W178" s="200" t="str" cm="1">
        <f t="array" ref="W178">Common_InputFunctions.Utility_DisplayArrayInTable(Fertiliser_SourceData.Fertiliser_Products_Data3(), FertiliserProducts[[#Headers],[Company]],61)</f>
        <v/>
      </c>
      <c r="X178" s="200" t="str" cm="1">
        <f t="array" ref="X178">Common_InputFunctions.Utility_DisplayArrayInTable(Fertiliser_SourceData.Fertiliser_Products_Data3(), FertiliserProducts[[#Headers],[Company]],61)</f>
        <v/>
      </c>
      <c r="Y178" s="200" t="str" cm="1">
        <f t="array" ref="Y178">Common_InputFunctions.Utility_DisplayArrayInTable(Fertiliser_SourceData.Fertiliser_Products_Data3(), FertiliserProducts[[#Headers],[Company]],61)</f>
        <v/>
      </c>
      <c r="Z178" s="200" t="str" cm="1">
        <f t="array" ref="Z178">Common_InputFunctions.Utility_DisplayArrayInTable(Fertiliser_SourceData.Fertiliser_Products_Data3(), FertiliserProducts[[#Headers],[Company]],61)</f>
        <v/>
      </c>
      <c r="AA178" s="200" t="str" cm="1">
        <f t="array" ref="AA178">Common_InputFunctions.Utility_DisplayArrayInTable(Fertiliser_SourceData.Fertiliser_Products_Data3(), FertiliserProducts[[#Headers],[Company]],61)</f>
        <v/>
      </c>
      <c r="AB178" s="200" t="str" cm="1">
        <f t="array" ref="AB178">Common_InputFunctions.Utility_DisplayArrayInTable(Fertiliser_SourceData.Fertiliser_Products_Data3(), FertiliserProducts[[#Headers],[Company]],61)</f>
        <v/>
      </c>
      <c r="AC178" s="200" t="str" cm="1">
        <f t="array" ref="AC178">Common_InputFunctions.Utility_DisplayArrayInTable(Fertiliser_SourceData.Fertiliser_Products_Data3(), FertiliserProducts[[#Headers],[Company]],61)</f>
        <v/>
      </c>
      <c r="AD178" s="200" t="str" cm="1">
        <f t="array" ref="AD178">Common_InputFunctions.Utility_DisplayArrayInTable(Fertiliser_SourceData.Fertiliser_Products_Data3(), FertiliserProducts[[#Headers],[Company]],61)</f>
        <v/>
      </c>
      <c r="AE178" s="200" t="str" cm="1">
        <f t="array" ref="AE178">Common_InputFunctions.Utility_DisplayArrayInTable(Fertiliser_SourceData.Fertiliser_Products_Data3(), FertiliserProducts[[#Headers],[Company]],61)</f>
        <v/>
      </c>
      <c r="AF178" s="200" t="str" cm="1">
        <f t="array" ref="AF178">Common_InputFunctions.Utility_DisplayArrayInTable(Fertiliser_SourceData.Fertiliser_Products_Data3(), FertiliserProducts[[#Headers],[Company]],61)</f>
        <v/>
      </c>
      <c r="AG178" s="200" t="str" cm="1">
        <f t="array" ref="AG178">Common_InputFunctions.Utility_DisplayArrayInTable(Fertiliser_SourceData.Fertiliser_Products_Data3(), FertiliserProducts[[#Headers],[Company]],61)</f>
        <v/>
      </c>
      <c r="AH178" s="200" t="str" cm="1">
        <f t="array" ref="AH178">Common_InputFunctions.Utility_DisplayArrayInTable(Fertiliser_SourceData.Fertiliser_Products_Data3(), FertiliserProducts[[#Headers],[Company]],61)</f>
        <v/>
      </c>
      <c r="AK178" s="1"/>
    </row>
    <row r="179" spans="4:37" x14ac:dyDescent="0.25">
      <c r="D179" s="200" t="str" cm="1">
        <f t="array" ref="D179">Common_InputFunctions.Utility_DisplayArrayInTable(Fertiliser_SourceData.Fertiliser_Products_Data3(), FertiliserProducts[[#Headers],[Company]],61)</f>
        <v>Incitec Pivot Fertilisers</v>
      </c>
      <c r="E179" s="200" t="str" cm="1">
        <f t="array" ref="E179">Common_InputFunctions.Utility_DisplayArrayInTable(Fertiliser_SourceData.Fertiliser_Products_Data3(), FertiliserProducts[[#Headers],[Company]],61)</f>
        <v>HayBoosta</v>
      </c>
      <c r="F179" s="200" t="str" cm="1">
        <f t="array" ref="F179">Common_InputFunctions.Utility_DisplayArrayInTable(Fertiliser_SourceData.Fertiliser_Products_Data3(), FertiliserProducts[[#Headers],[Company]],61)</f>
        <v>kg</v>
      </c>
      <c r="G179" s="200" cm="1">
        <f t="array" ref="G179">Common_InputFunctions.Utility_DisplayArrayInTable(Fertiliser_SourceData.Fertiliser_Products_Data3(), FertiliserProducts[[#Headers],[Company]],61)</f>
        <v>1</v>
      </c>
      <c r="H179" s="200" t="str" cm="1">
        <f t="array" ref="H179">Common_InputFunctions.Utility_DisplayArrayInTable(Fertiliser_SourceData.Fertiliser_Products_Data3(), FertiliserProducts[[#Headers],[Company]],61)</f>
        <v/>
      </c>
      <c r="I179" s="200" t="str" cm="1">
        <f t="array" ref="I179">Common_InputFunctions.Utility_DisplayArrayInTable(Fertiliser_SourceData.Fertiliser_Products_Data3(), FertiliserProducts[[#Headers],[Company]],61)</f>
        <v/>
      </c>
      <c r="J179" s="200" t="str" cm="1">
        <f t="array" ref="J179">Common_InputFunctions.Utility_DisplayArrayInTable(Fertiliser_SourceData.Fertiliser_Products_Data3(), FertiliserProducts[[#Headers],[Company]],61)</f>
        <v/>
      </c>
      <c r="K179" s="200" cm="1">
        <f t="array" ref="K179">Common_InputFunctions.Utility_DisplayArrayInTable(Fertiliser_SourceData.Fertiliser_Products_Data3(), FertiliserProducts[[#Headers],[Company]],61)</f>
        <v>11.7</v>
      </c>
      <c r="L179" s="200" cm="1">
        <f t="array" ref="L179">Common_InputFunctions.Utility_DisplayArrayInTable(Fertiliser_SourceData.Fertiliser_Products_Data3(), FertiliserProducts[[#Headers],[Company]],61)</f>
        <v>4.7</v>
      </c>
      <c r="M179" s="200" cm="1">
        <f t="array" ref="M179">Common_InputFunctions.Utility_DisplayArrayInTable(Fertiliser_SourceData.Fertiliser_Products_Data3(), FertiliserProducts[[#Headers],[Company]],61)</f>
        <v>23.9</v>
      </c>
      <c r="N179" s="200" cm="1">
        <f t="array" ref="N179">Common_InputFunctions.Utility_DisplayArrayInTable(Fertiliser_SourceData.Fertiliser_Products_Data3(), FertiliserProducts[[#Headers],[Company]],61)</f>
        <v>4.5999999999999996</v>
      </c>
      <c r="O179" s="200" t="str" cm="1">
        <f t="array" ref="O179">Common_InputFunctions.Utility_DisplayArrayInTable(Fertiliser_SourceData.Fertiliser_Products_Data3(), FertiliserProducts[[#Headers],[Company]],61)</f>
        <v>Nitrogen - Generic</v>
      </c>
      <c r="P179" s="200" cm="1">
        <f t="array" ref="P179">Common_InputFunctions.Utility_DisplayArrayInTable(Fertiliser_SourceData.Fertiliser_Products_Data3(), FertiliserProducts[[#Headers],[Company]],61)</f>
        <v>0.11700000000000001</v>
      </c>
      <c r="Q179" s="200" t="str" cm="1">
        <f t="array" ref="Q179">Common_InputFunctions.Utility_DisplayArrayInTable(Fertiliser_SourceData.Fertiliser_Products_Data3(), FertiliserProducts[[#Headers],[Company]],61)</f>
        <v>Phosphorus - Generic</v>
      </c>
      <c r="R179" s="200" cm="1">
        <f t="array" ref="R179">Common_InputFunctions.Utility_DisplayArrayInTable(Fertiliser_SourceData.Fertiliser_Products_Data3(), FertiliserProducts[[#Headers],[Company]],61)</f>
        <v>4.7E-2</v>
      </c>
      <c r="S179" s="200" t="str" cm="1">
        <f t="array" ref="S179">Common_InputFunctions.Utility_DisplayArrayInTable(Fertiliser_SourceData.Fertiliser_Products_Data3(), FertiliserProducts[[#Headers],[Company]],61)</f>
        <v>Potassium - Generic</v>
      </c>
      <c r="T179" s="200" cm="1">
        <f t="array" ref="T179">Common_InputFunctions.Utility_DisplayArrayInTable(Fertiliser_SourceData.Fertiliser_Products_Data3(), FertiliserProducts[[#Headers],[Company]],61)</f>
        <v>0.23899999999999999</v>
      </c>
      <c r="U179" s="200" t="str" cm="1">
        <f t="array" ref="U179">Common_InputFunctions.Utility_DisplayArrayInTable(Fertiliser_SourceData.Fertiliser_Products_Data3(), FertiliserProducts[[#Headers],[Company]],61)</f>
        <v>Sulfur - Generic</v>
      </c>
      <c r="V179" s="200" cm="1">
        <f t="array" ref="V179">Common_InputFunctions.Utility_DisplayArrayInTable(Fertiliser_SourceData.Fertiliser_Products_Data3(), FertiliserProducts[[#Headers],[Company]],61)</f>
        <v>4.5999999999999999E-2</v>
      </c>
      <c r="W179" s="200" t="str" cm="1">
        <f t="array" ref="W179">Common_InputFunctions.Utility_DisplayArrayInTable(Fertiliser_SourceData.Fertiliser_Products_Data3(), FertiliserProducts[[#Headers],[Company]],61)</f>
        <v/>
      </c>
      <c r="X179" s="200" t="str" cm="1">
        <f t="array" ref="X179">Common_InputFunctions.Utility_DisplayArrayInTable(Fertiliser_SourceData.Fertiliser_Products_Data3(), FertiliserProducts[[#Headers],[Company]],61)</f>
        <v/>
      </c>
      <c r="Y179" s="200" t="str" cm="1">
        <f t="array" ref="Y179">Common_InputFunctions.Utility_DisplayArrayInTable(Fertiliser_SourceData.Fertiliser_Products_Data3(), FertiliserProducts[[#Headers],[Company]],61)</f>
        <v/>
      </c>
      <c r="Z179" s="200" t="str" cm="1">
        <f t="array" ref="Z179">Common_InputFunctions.Utility_DisplayArrayInTable(Fertiliser_SourceData.Fertiliser_Products_Data3(), FertiliserProducts[[#Headers],[Company]],61)</f>
        <v/>
      </c>
      <c r="AA179" s="200" t="str" cm="1">
        <f t="array" ref="AA179">Common_InputFunctions.Utility_DisplayArrayInTable(Fertiliser_SourceData.Fertiliser_Products_Data3(), FertiliserProducts[[#Headers],[Company]],61)</f>
        <v/>
      </c>
      <c r="AB179" s="200" t="str" cm="1">
        <f t="array" ref="AB179">Common_InputFunctions.Utility_DisplayArrayInTable(Fertiliser_SourceData.Fertiliser_Products_Data3(), FertiliserProducts[[#Headers],[Company]],61)</f>
        <v/>
      </c>
      <c r="AC179" s="200" t="str" cm="1">
        <f t="array" ref="AC179">Common_InputFunctions.Utility_DisplayArrayInTable(Fertiliser_SourceData.Fertiliser_Products_Data3(), FertiliserProducts[[#Headers],[Company]],61)</f>
        <v/>
      </c>
      <c r="AD179" s="200" t="str" cm="1">
        <f t="array" ref="AD179">Common_InputFunctions.Utility_DisplayArrayInTable(Fertiliser_SourceData.Fertiliser_Products_Data3(), FertiliserProducts[[#Headers],[Company]],61)</f>
        <v/>
      </c>
      <c r="AE179" s="200" t="str" cm="1">
        <f t="array" ref="AE179">Common_InputFunctions.Utility_DisplayArrayInTable(Fertiliser_SourceData.Fertiliser_Products_Data3(), FertiliserProducts[[#Headers],[Company]],61)</f>
        <v/>
      </c>
      <c r="AF179" s="200" t="str" cm="1">
        <f t="array" ref="AF179">Common_InputFunctions.Utility_DisplayArrayInTable(Fertiliser_SourceData.Fertiliser_Products_Data3(), FertiliserProducts[[#Headers],[Company]],61)</f>
        <v/>
      </c>
      <c r="AG179" s="200" t="str" cm="1">
        <f t="array" ref="AG179">Common_InputFunctions.Utility_DisplayArrayInTable(Fertiliser_SourceData.Fertiliser_Products_Data3(), FertiliserProducts[[#Headers],[Company]],61)</f>
        <v/>
      </c>
      <c r="AH179" s="200" t="str" cm="1">
        <f t="array" ref="AH179">Common_InputFunctions.Utility_DisplayArrayInTable(Fertiliser_SourceData.Fertiliser_Products_Data3(), FertiliserProducts[[#Headers],[Company]],61)</f>
        <v/>
      </c>
      <c r="AK179" s="1"/>
    </row>
    <row r="180" spans="4:37" x14ac:dyDescent="0.25">
      <c r="D180" s="200" t="str" cm="1">
        <f t="array" ref="D180">Common_InputFunctions.Utility_DisplayArrayInTable(Fertiliser_SourceData.Fertiliser_Products_Data4(),FertiliserProducts[[#Headers],[Company]], 91)</f>
        <v>Impact Fertilisers</v>
      </c>
      <c r="E180" s="200" t="str" cm="1">
        <f t="array" ref="E180">Common_InputFunctions.Utility_DisplayArrayInTable(Fertiliser_SourceData.Fertiliser_Products_Data4(),FertiliserProducts[[#Headers],[Company]], 91)</f>
        <v>Impact Super Potash 1&amp;1</v>
      </c>
      <c r="F180" s="200" t="str" cm="1">
        <f t="array" ref="F180">Common_InputFunctions.Utility_DisplayArrayInTable(Fertiliser_SourceData.Fertiliser_Products_Data4(),FertiliserProducts[[#Headers],[Company]], 91)</f>
        <v>kg</v>
      </c>
      <c r="G180" s="200" cm="1">
        <f t="array" ref="G180">Common_InputFunctions.Utility_DisplayArrayInTable(Fertiliser_SourceData.Fertiliser_Products_Data4(),FertiliserProducts[[#Headers],[Company]], 91)</f>
        <v>1</v>
      </c>
      <c r="H180" s="200" t="str" cm="1">
        <f t="array" ref="H180">Common_InputFunctions.Utility_DisplayArrayInTable(Fertiliser_SourceData.Fertiliser_Products_Data4(),FertiliserProducts[[#Headers],[Company]], 91)</f>
        <v/>
      </c>
      <c r="I180" s="200" t="str" cm="1">
        <f t="array" ref="I180">Common_InputFunctions.Utility_DisplayArrayInTable(Fertiliser_SourceData.Fertiliser_Products_Data4(),FertiliserProducts[[#Headers],[Company]], 91)</f>
        <v/>
      </c>
      <c r="J180" s="200" t="str" cm="1">
        <f t="array" ref="J180">Common_InputFunctions.Utility_DisplayArrayInTable(Fertiliser_SourceData.Fertiliser_Products_Data4(),FertiliserProducts[[#Headers],[Company]], 91)</f>
        <v/>
      </c>
      <c r="K180" s="200" t="str" cm="1">
        <f t="array" ref="K180">Common_InputFunctions.Utility_DisplayArrayInTable(Fertiliser_SourceData.Fertiliser_Products_Data4(),FertiliserProducts[[#Headers],[Company]], 91)</f>
        <v/>
      </c>
      <c r="L180" s="200" cm="1">
        <f t="array" ref="L180">Common_InputFunctions.Utility_DisplayArrayInTable(Fertiliser_SourceData.Fertiliser_Products_Data4(),FertiliserProducts[[#Headers],[Company]], 91)</f>
        <v>4.4000000000000004</v>
      </c>
      <c r="M180" s="200" cm="1">
        <f t="array" ref="M180">Common_InputFunctions.Utility_DisplayArrayInTable(Fertiliser_SourceData.Fertiliser_Products_Data4(),FertiliserProducts[[#Headers],[Company]], 91)</f>
        <v>25</v>
      </c>
      <c r="N180" s="200" cm="1">
        <f t="array" ref="N180">Common_InputFunctions.Utility_DisplayArrayInTable(Fertiliser_SourceData.Fertiliser_Products_Data4(),FertiliserProducts[[#Headers],[Company]], 91)</f>
        <v>5.5</v>
      </c>
      <c r="O180" s="200" t="str" cm="1">
        <f t="array" ref="O180">Common_InputFunctions.Utility_DisplayArrayInTable(Fertiliser_SourceData.Fertiliser_Products_Data4(),FertiliserProducts[[#Headers],[Company]], 91)</f>
        <v>Single superphosphate (SSP)</v>
      </c>
      <c r="P180" s="200" cm="1">
        <f t="array" ref="P180">Common_InputFunctions.Utility_DisplayArrayInTable(Fertiliser_SourceData.Fertiliser_Products_Data4(),FertiliserProducts[[#Headers],[Company]], 91)</f>
        <v>0.5</v>
      </c>
      <c r="Q180" s="200" t="str" cm="1">
        <f t="array" ref="Q180">Common_InputFunctions.Utility_DisplayArrayInTable(Fertiliser_SourceData.Fertiliser_Products_Data4(),FertiliserProducts[[#Headers],[Company]], 91)</f>
        <v>Muriate of potash (MOP)</v>
      </c>
      <c r="R180" s="200" cm="1">
        <f t="array" ref="R180">Common_InputFunctions.Utility_DisplayArrayInTable(Fertiliser_SourceData.Fertiliser_Products_Data4(),FertiliserProducts[[#Headers],[Company]], 91)</f>
        <v>0.5</v>
      </c>
      <c r="S180" s="200" t="str" cm="1">
        <f t="array" ref="S180">Common_InputFunctions.Utility_DisplayArrayInTable(Fertiliser_SourceData.Fertiliser_Products_Data4(),FertiliserProducts[[#Headers],[Company]], 91)</f>
        <v/>
      </c>
      <c r="T180" s="200" t="str" cm="1">
        <f t="array" ref="T180">Common_InputFunctions.Utility_DisplayArrayInTable(Fertiliser_SourceData.Fertiliser_Products_Data4(),FertiliserProducts[[#Headers],[Company]], 91)</f>
        <v/>
      </c>
      <c r="U180" s="200" t="str" cm="1">
        <f t="array" ref="U180">Common_InputFunctions.Utility_DisplayArrayInTable(Fertiliser_SourceData.Fertiliser_Products_Data4(),FertiliserProducts[[#Headers],[Company]], 91)</f>
        <v/>
      </c>
      <c r="V180" s="200" t="str" cm="1">
        <f t="array" ref="V180">Common_InputFunctions.Utility_DisplayArrayInTable(Fertiliser_SourceData.Fertiliser_Products_Data4(),FertiliserProducts[[#Headers],[Company]], 91)</f>
        <v/>
      </c>
      <c r="W180" s="200" t="str" cm="1">
        <f t="array" ref="W180">Common_InputFunctions.Utility_DisplayArrayInTable(Fertiliser_SourceData.Fertiliser_Products_Data4(),FertiliserProducts[[#Headers],[Company]], 91)</f>
        <v/>
      </c>
      <c r="X180" s="200" t="str" cm="1">
        <f t="array" ref="X180">Common_InputFunctions.Utility_DisplayArrayInTable(Fertiliser_SourceData.Fertiliser_Products_Data4(),FertiliserProducts[[#Headers],[Company]], 91)</f>
        <v/>
      </c>
      <c r="Y180" s="200" t="str" cm="1">
        <f t="array" ref="Y180">Common_InputFunctions.Utility_DisplayArrayInTable(Fertiliser_SourceData.Fertiliser_Products_Data4(),FertiliserProducts[[#Headers],[Company]], 91)</f>
        <v/>
      </c>
      <c r="Z180" s="200" t="str" cm="1">
        <f t="array" ref="Z180">Common_InputFunctions.Utility_DisplayArrayInTable(Fertiliser_SourceData.Fertiliser_Products_Data4(),FertiliserProducts[[#Headers],[Company]], 91)</f>
        <v/>
      </c>
      <c r="AA180" s="200" t="str" cm="1">
        <f t="array" ref="AA180">Common_InputFunctions.Utility_DisplayArrayInTable(Fertiliser_SourceData.Fertiliser_Products_Data4(),FertiliserProducts[[#Headers],[Company]], 91)</f>
        <v/>
      </c>
      <c r="AB180" s="200" t="str" cm="1">
        <f t="array" ref="AB180">Common_InputFunctions.Utility_DisplayArrayInTable(Fertiliser_SourceData.Fertiliser_Products_Data4(),FertiliserProducts[[#Headers],[Company]], 91)</f>
        <v/>
      </c>
      <c r="AC180" s="200" t="str" cm="1">
        <f t="array" ref="AC180">Common_InputFunctions.Utility_DisplayArrayInTable(Fertiliser_SourceData.Fertiliser_Products_Data4(),FertiliserProducts[[#Headers],[Company]], 91)</f>
        <v/>
      </c>
      <c r="AD180" s="200" t="str" cm="1">
        <f t="array" ref="AD180">Common_InputFunctions.Utility_DisplayArrayInTable(Fertiliser_SourceData.Fertiliser_Products_Data4(),FertiliserProducts[[#Headers],[Company]], 91)</f>
        <v/>
      </c>
      <c r="AE180" s="200" t="str" cm="1">
        <f t="array" ref="AE180">Common_InputFunctions.Utility_DisplayArrayInTable(Fertiliser_SourceData.Fertiliser_Products_Data4(),FertiliserProducts[[#Headers],[Company]], 91)</f>
        <v/>
      </c>
      <c r="AF180" s="200" t="str" cm="1">
        <f t="array" ref="AF180">Common_InputFunctions.Utility_DisplayArrayInTable(Fertiliser_SourceData.Fertiliser_Products_Data4(),FertiliserProducts[[#Headers],[Company]], 91)</f>
        <v/>
      </c>
      <c r="AG180" s="200" t="str" cm="1">
        <f t="array" ref="AG180">Common_InputFunctions.Utility_DisplayArrayInTable(Fertiliser_SourceData.Fertiliser_Products_Data4(),FertiliserProducts[[#Headers],[Company]], 91)</f>
        <v/>
      </c>
      <c r="AH180" s="200" t="str" cm="1">
        <f t="array" ref="AH180">Common_InputFunctions.Utility_DisplayArrayInTable(Fertiliser_SourceData.Fertiliser_Products_Data4(),FertiliserProducts[[#Headers],[Company]], 91)</f>
        <v/>
      </c>
    </row>
    <row r="181" spans="4:37" x14ac:dyDescent="0.25">
      <c r="D181" s="200" t="str" cm="1">
        <f t="array" ref="D181">Common_InputFunctions.Utility_DisplayArrayInTable(Fertiliser_SourceData.Fertiliser_Products_Data4(),FertiliserProducts[[#Headers],[Company]], 91)</f>
        <v>Impact Fertilisers</v>
      </c>
      <c r="E181" s="200" t="str" cm="1">
        <f t="array" ref="E181">Common_InputFunctions.Utility_DisplayArrayInTable(Fertiliser_SourceData.Fertiliser_Products_Data4(),FertiliserProducts[[#Headers],[Company]], 91)</f>
        <v>Impact Super Potash 2&amp;1</v>
      </c>
      <c r="F181" s="200" t="str" cm="1">
        <f t="array" ref="F181">Common_InputFunctions.Utility_DisplayArrayInTable(Fertiliser_SourceData.Fertiliser_Products_Data4(),FertiliserProducts[[#Headers],[Company]], 91)</f>
        <v>kg</v>
      </c>
      <c r="G181" s="200" cm="1">
        <f t="array" ref="G181">Common_InputFunctions.Utility_DisplayArrayInTable(Fertiliser_SourceData.Fertiliser_Products_Data4(),FertiliserProducts[[#Headers],[Company]], 91)</f>
        <v>1</v>
      </c>
      <c r="H181" s="200" t="str" cm="1">
        <f t="array" ref="H181">Common_InputFunctions.Utility_DisplayArrayInTable(Fertiliser_SourceData.Fertiliser_Products_Data4(),FertiliserProducts[[#Headers],[Company]], 91)</f>
        <v/>
      </c>
      <c r="I181" s="200" t="str" cm="1">
        <f t="array" ref="I181">Common_InputFunctions.Utility_DisplayArrayInTable(Fertiliser_SourceData.Fertiliser_Products_Data4(),FertiliserProducts[[#Headers],[Company]], 91)</f>
        <v/>
      </c>
      <c r="J181" s="200" t="str" cm="1">
        <f t="array" ref="J181">Common_InputFunctions.Utility_DisplayArrayInTable(Fertiliser_SourceData.Fertiliser_Products_Data4(),FertiliserProducts[[#Headers],[Company]], 91)</f>
        <v/>
      </c>
      <c r="K181" s="200" t="str" cm="1">
        <f t="array" ref="K181">Common_InputFunctions.Utility_DisplayArrayInTable(Fertiliser_SourceData.Fertiliser_Products_Data4(),FertiliserProducts[[#Headers],[Company]], 91)</f>
        <v/>
      </c>
      <c r="L181" s="200" cm="1">
        <f t="array" ref="L181">Common_InputFunctions.Utility_DisplayArrayInTable(Fertiliser_SourceData.Fertiliser_Products_Data4(),FertiliserProducts[[#Headers],[Company]], 91)</f>
        <v>5.84</v>
      </c>
      <c r="M181" s="200" cm="1">
        <f t="array" ref="M181">Common_InputFunctions.Utility_DisplayArrayInTable(Fertiliser_SourceData.Fertiliser_Products_Data4(),FertiliserProducts[[#Headers],[Company]], 91)</f>
        <v>16.8</v>
      </c>
      <c r="N181" s="200" cm="1">
        <f t="array" ref="N181">Common_InputFunctions.Utility_DisplayArrayInTable(Fertiliser_SourceData.Fertiliser_Products_Data4(),FertiliserProducts[[#Headers],[Company]], 91)</f>
        <v>7.29</v>
      </c>
      <c r="O181" s="200" t="str" cm="1">
        <f t="array" ref="O181">Common_InputFunctions.Utility_DisplayArrayInTable(Fertiliser_SourceData.Fertiliser_Products_Data4(),FertiliserProducts[[#Headers],[Company]], 91)</f>
        <v>Single superphosphate (SSP)</v>
      </c>
      <c r="P181" s="200" cm="1">
        <f t="array" ref="P181">Common_InputFunctions.Utility_DisplayArrayInTable(Fertiliser_SourceData.Fertiliser_Products_Data4(),FertiliserProducts[[#Headers],[Company]], 91)</f>
        <v>0.66315800000000003</v>
      </c>
      <c r="Q181" s="200" t="str" cm="1">
        <f t="array" ref="Q181">Common_InputFunctions.Utility_DisplayArrayInTable(Fertiliser_SourceData.Fertiliser_Products_Data4(),FertiliserProducts[[#Headers],[Company]], 91)</f>
        <v>Muriate of potash (MOP)</v>
      </c>
      <c r="R181" s="200" cm="1">
        <f t="array" ref="R181">Common_InputFunctions.Utility_DisplayArrayInTable(Fertiliser_SourceData.Fertiliser_Products_Data4(),FertiliserProducts[[#Headers],[Company]], 91)</f>
        <v>0.33600000000000002</v>
      </c>
      <c r="S181" s="200" t="str" cm="1">
        <f t="array" ref="S181">Common_InputFunctions.Utility_DisplayArrayInTable(Fertiliser_SourceData.Fertiliser_Products_Data4(),FertiliserProducts[[#Headers],[Company]], 91)</f>
        <v/>
      </c>
      <c r="T181" s="200" t="str" cm="1">
        <f t="array" ref="T181">Common_InputFunctions.Utility_DisplayArrayInTable(Fertiliser_SourceData.Fertiliser_Products_Data4(),FertiliserProducts[[#Headers],[Company]], 91)</f>
        <v/>
      </c>
      <c r="U181" s="200" t="str" cm="1">
        <f t="array" ref="U181">Common_InputFunctions.Utility_DisplayArrayInTable(Fertiliser_SourceData.Fertiliser_Products_Data4(),FertiliserProducts[[#Headers],[Company]], 91)</f>
        <v/>
      </c>
      <c r="V181" s="200" t="str" cm="1">
        <f t="array" ref="V181">Common_InputFunctions.Utility_DisplayArrayInTable(Fertiliser_SourceData.Fertiliser_Products_Data4(),FertiliserProducts[[#Headers],[Company]], 91)</f>
        <v/>
      </c>
      <c r="W181" s="200" t="str" cm="1">
        <f t="array" ref="W181">Common_InputFunctions.Utility_DisplayArrayInTable(Fertiliser_SourceData.Fertiliser_Products_Data4(),FertiliserProducts[[#Headers],[Company]], 91)</f>
        <v/>
      </c>
      <c r="X181" s="200" t="str" cm="1">
        <f t="array" ref="X181">Common_InputFunctions.Utility_DisplayArrayInTable(Fertiliser_SourceData.Fertiliser_Products_Data4(),FertiliserProducts[[#Headers],[Company]], 91)</f>
        <v/>
      </c>
      <c r="Y181" s="200" t="str" cm="1">
        <f t="array" ref="Y181">Common_InputFunctions.Utility_DisplayArrayInTable(Fertiliser_SourceData.Fertiliser_Products_Data4(),FertiliserProducts[[#Headers],[Company]], 91)</f>
        <v/>
      </c>
      <c r="Z181" s="200" t="str" cm="1">
        <f t="array" ref="Z181">Common_InputFunctions.Utility_DisplayArrayInTable(Fertiliser_SourceData.Fertiliser_Products_Data4(),FertiliserProducts[[#Headers],[Company]], 91)</f>
        <v/>
      </c>
      <c r="AA181" s="200" t="str" cm="1">
        <f t="array" ref="AA181">Common_InputFunctions.Utility_DisplayArrayInTable(Fertiliser_SourceData.Fertiliser_Products_Data4(),FertiliserProducts[[#Headers],[Company]], 91)</f>
        <v/>
      </c>
      <c r="AB181" s="200" t="str" cm="1">
        <f t="array" ref="AB181">Common_InputFunctions.Utility_DisplayArrayInTable(Fertiliser_SourceData.Fertiliser_Products_Data4(),FertiliserProducts[[#Headers],[Company]], 91)</f>
        <v/>
      </c>
      <c r="AC181" s="200" t="str" cm="1">
        <f t="array" ref="AC181">Common_InputFunctions.Utility_DisplayArrayInTable(Fertiliser_SourceData.Fertiliser_Products_Data4(),FertiliserProducts[[#Headers],[Company]], 91)</f>
        <v/>
      </c>
      <c r="AD181" s="200" t="str" cm="1">
        <f t="array" ref="AD181">Common_InputFunctions.Utility_DisplayArrayInTable(Fertiliser_SourceData.Fertiliser_Products_Data4(),FertiliserProducts[[#Headers],[Company]], 91)</f>
        <v/>
      </c>
      <c r="AE181" s="200" t="str" cm="1">
        <f t="array" ref="AE181">Common_InputFunctions.Utility_DisplayArrayInTable(Fertiliser_SourceData.Fertiliser_Products_Data4(),FertiliserProducts[[#Headers],[Company]], 91)</f>
        <v/>
      </c>
      <c r="AF181" s="200" t="str" cm="1">
        <f t="array" ref="AF181">Common_InputFunctions.Utility_DisplayArrayInTable(Fertiliser_SourceData.Fertiliser_Products_Data4(),FertiliserProducts[[#Headers],[Company]], 91)</f>
        <v/>
      </c>
      <c r="AG181" s="200" t="str" cm="1">
        <f t="array" ref="AG181">Common_InputFunctions.Utility_DisplayArrayInTable(Fertiliser_SourceData.Fertiliser_Products_Data4(),FertiliserProducts[[#Headers],[Company]], 91)</f>
        <v/>
      </c>
      <c r="AH181" s="200" t="str" cm="1">
        <f t="array" ref="AH181">Common_InputFunctions.Utility_DisplayArrayInTable(Fertiliser_SourceData.Fertiliser_Products_Data4(),FertiliserProducts[[#Headers],[Company]], 91)</f>
        <v/>
      </c>
    </row>
    <row r="182" spans="4:37" x14ac:dyDescent="0.25">
      <c r="D182" s="200" t="str" cm="1">
        <f t="array" ref="D182">Common_InputFunctions.Utility_DisplayArrayInTable(Fertiliser_SourceData.Fertiliser_Products_Data4(),FertiliserProducts[[#Headers],[Company]], 91)</f>
        <v>Impact Fertilisers</v>
      </c>
      <c r="E182" s="200" t="str" cm="1">
        <f t="array" ref="E182">Common_InputFunctions.Utility_DisplayArrayInTable(Fertiliser_SourceData.Fertiliser_Products_Data4(),FertiliserProducts[[#Headers],[Company]], 91)</f>
        <v>Impact Super Potash 3&amp;1</v>
      </c>
      <c r="F182" s="200" t="str" cm="1">
        <f t="array" ref="F182">Common_InputFunctions.Utility_DisplayArrayInTable(Fertiliser_SourceData.Fertiliser_Products_Data4(),FertiliserProducts[[#Headers],[Company]], 91)</f>
        <v>kg</v>
      </c>
      <c r="G182" s="200" cm="1">
        <f t="array" ref="G182">Common_InputFunctions.Utility_DisplayArrayInTable(Fertiliser_SourceData.Fertiliser_Products_Data4(),FertiliserProducts[[#Headers],[Company]], 91)</f>
        <v>1</v>
      </c>
      <c r="H182" s="200" t="str" cm="1">
        <f t="array" ref="H182">Common_InputFunctions.Utility_DisplayArrayInTable(Fertiliser_SourceData.Fertiliser_Products_Data4(),FertiliserProducts[[#Headers],[Company]], 91)</f>
        <v/>
      </c>
      <c r="I182" s="200" t="str" cm="1">
        <f t="array" ref="I182">Common_InputFunctions.Utility_DisplayArrayInTable(Fertiliser_SourceData.Fertiliser_Products_Data4(),FertiliserProducts[[#Headers],[Company]], 91)</f>
        <v/>
      </c>
      <c r="J182" s="200" t="str" cm="1">
        <f t="array" ref="J182">Common_InputFunctions.Utility_DisplayArrayInTable(Fertiliser_SourceData.Fertiliser_Products_Data4(),FertiliserProducts[[#Headers],[Company]], 91)</f>
        <v/>
      </c>
      <c r="K182" s="200" t="str" cm="1">
        <f t="array" ref="K182">Common_InputFunctions.Utility_DisplayArrayInTable(Fertiliser_SourceData.Fertiliser_Products_Data4(),FertiliserProducts[[#Headers],[Company]], 91)</f>
        <v/>
      </c>
      <c r="L182" s="200" cm="1">
        <f t="array" ref="L182">Common_InputFunctions.Utility_DisplayArrayInTable(Fertiliser_SourceData.Fertiliser_Products_Data4(),FertiliserProducts[[#Headers],[Company]], 91)</f>
        <v>6.58</v>
      </c>
      <c r="M182" s="200" cm="1">
        <f t="array" ref="M182">Common_InputFunctions.Utility_DisplayArrayInTable(Fertiliser_SourceData.Fertiliser_Products_Data4(),FertiliserProducts[[#Headers],[Company]], 91)</f>
        <v>12.5</v>
      </c>
      <c r="N182" s="200" cm="1">
        <f t="array" ref="N182">Common_InputFunctions.Utility_DisplayArrayInTable(Fertiliser_SourceData.Fertiliser_Products_Data4(),FertiliserProducts[[#Headers],[Company]], 91)</f>
        <v>8.2200000000000006</v>
      </c>
      <c r="O182" s="200" t="str" cm="1">
        <f t="array" ref="O182">Common_InputFunctions.Utility_DisplayArrayInTable(Fertiliser_SourceData.Fertiliser_Products_Data4(),FertiliserProducts[[#Headers],[Company]], 91)</f>
        <v>Single superphosphate (SSP)</v>
      </c>
      <c r="P182" s="200" cm="1">
        <f t="array" ref="P182">Common_InputFunctions.Utility_DisplayArrayInTable(Fertiliser_SourceData.Fertiliser_Products_Data4(),FertiliserProducts[[#Headers],[Company]], 91)</f>
        <v>0.74736800000000003</v>
      </c>
      <c r="Q182" s="200" t="str" cm="1">
        <f t="array" ref="Q182">Common_InputFunctions.Utility_DisplayArrayInTable(Fertiliser_SourceData.Fertiliser_Products_Data4(),FertiliserProducts[[#Headers],[Company]], 91)</f>
        <v>Muriate of potash (MOP)</v>
      </c>
      <c r="R182" s="200" cm="1">
        <f t="array" ref="R182">Common_InputFunctions.Utility_DisplayArrayInTable(Fertiliser_SourceData.Fertiliser_Products_Data4(),FertiliserProducts[[#Headers],[Company]], 91)</f>
        <v>0.25</v>
      </c>
      <c r="S182" s="200" t="str" cm="1">
        <f t="array" ref="S182">Common_InputFunctions.Utility_DisplayArrayInTable(Fertiliser_SourceData.Fertiliser_Products_Data4(),FertiliserProducts[[#Headers],[Company]], 91)</f>
        <v/>
      </c>
      <c r="T182" s="200" t="str" cm="1">
        <f t="array" ref="T182">Common_InputFunctions.Utility_DisplayArrayInTable(Fertiliser_SourceData.Fertiliser_Products_Data4(),FertiliserProducts[[#Headers],[Company]], 91)</f>
        <v/>
      </c>
      <c r="U182" s="200" t="str" cm="1">
        <f t="array" ref="U182">Common_InputFunctions.Utility_DisplayArrayInTable(Fertiliser_SourceData.Fertiliser_Products_Data4(),FertiliserProducts[[#Headers],[Company]], 91)</f>
        <v/>
      </c>
      <c r="V182" s="200" t="str" cm="1">
        <f t="array" ref="V182">Common_InputFunctions.Utility_DisplayArrayInTable(Fertiliser_SourceData.Fertiliser_Products_Data4(),FertiliserProducts[[#Headers],[Company]], 91)</f>
        <v/>
      </c>
      <c r="W182" s="200" t="str" cm="1">
        <f t="array" ref="W182">Common_InputFunctions.Utility_DisplayArrayInTable(Fertiliser_SourceData.Fertiliser_Products_Data4(),FertiliserProducts[[#Headers],[Company]], 91)</f>
        <v/>
      </c>
      <c r="X182" s="200" t="str" cm="1">
        <f t="array" ref="X182">Common_InputFunctions.Utility_DisplayArrayInTable(Fertiliser_SourceData.Fertiliser_Products_Data4(),FertiliserProducts[[#Headers],[Company]], 91)</f>
        <v/>
      </c>
      <c r="Y182" s="200" t="str" cm="1">
        <f t="array" ref="Y182">Common_InputFunctions.Utility_DisplayArrayInTable(Fertiliser_SourceData.Fertiliser_Products_Data4(),FertiliserProducts[[#Headers],[Company]], 91)</f>
        <v/>
      </c>
      <c r="Z182" s="200" t="str" cm="1">
        <f t="array" ref="Z182">Common_InputFunctions.Utility_DisplayArrayInTable(Fertiliser_SourceData.Fertiliser_Products_Data4(),FertiliserProducts[[#Headers],[Company]], 91)</f>
        <v/>
      </c>
      <c r="AA182" s="200" t="str" cm="1">
        <f t="array" ref="AA182">Common_InputFunctions.Utility_DisplayArrayInTable(Fertiliser_SourceData.Fertiliser_Products_Data4(),FertiliserProducts[[#Headers],[Company]], 91)</f>
        <v/>
      </c>
      <c r="AB182" s="200" t="str" cm="1">
        <f t="array" ref="AB182">Common_InputFunctions.Utility_DisplayArrayInTable(Fertiliser_SourceData.Fertiliser_Products_Data4(),FertiliserProducts[[#Headers],[Company]], 91)</f>
        <v/>
      </c>
      <c r="AC182" s="200" t="str" cm="1">
        <f t="array" ref="AC182">Common_InputFunctions.Utility_DisplayArrayInTable(Fertiliser_SourceData.Fertiliser_Products_Data4(),FertiliserProducts[[#Headers],[Company]], 91)</f>
        <v/>
      </c>
      <c r="AD182" s="200" t="str" cm="1">
        <f t="array" ref="AD182">Common_InputFunctions.Utility_DisplayArrayInTable(Fertiliser_SourceData.Fertiliser_Products_Data4(),FertiliserProducts[[#Headers],[Company]], 91)</f>
        <v/>
      </c>
      <c r="AE182" s="200" t="str" cm="1">
        <f t="array" ref="AE182">Common_InputFunctions.Utility_DisplayArrayInTable(Fertiliser_SourceData.Fertiliser_Products_Data4(),FertiliserProducts[[#Headers],[Company]], 91)</f>
        <v/>
      </c>
      <c r="AF182" s="200" t="str" cm="1">
        <f t="array" ref="AF182">Common_InputFunctions.Utility_DisplayArrayInTable(Fertiliser_SourceData.Fertiliser_Products_Data4(),FertiliserProducts[[#Headers],[Company]], 91)</f>
        <v/>
      </c>
      <c r="AG182" s="200" t="str" cm="1">
        <f t="array" ref="AG182">Common_InputFunctions.Utility_DisplayArrayInTable(Fertiliser_SourceData.Fertiliser_Products_Data4(),FertiliserProducts[[#Headers],[Company]], 91)</f>
        <v/>
      </c>
      <c r="AH182" s="200" t="str" cm="1">
        <f t="array" ref="AH182">Common_InputFunctions.Utility_DisplayArrayInTable(Fertiliser_SourceData.Fertiliser_Products_Data4(),FertiliserProducts[[#Headers],[Company]], 91)</f>
        <v/>
      </c>
    </row>
    <row r="183" spans="4:37" x14ac:dyDescent="0.25">
      <c r="D183" s="200" t="str" cm="1">
        <f t="array" ref="D183">Common_InputFunctions.Utility_DisplayArrayInTable(Fertiliser_SourceData.Fertiliser_Products_Data4(),FertiliserProducts[[#Headers],[Company]], 91)</f>
        <v>Impact Fertilisers</v>
      </c>
      <c r="E183" s="200" t="str" cm="1">
        <f t="array" ref="E183">Common_InputFunctions.Utility_DisplayArrayInTable(Fertiliser_SourceData.Fertiliser_Products_Data4(),FertiliserProducts[[#Headers],[Company]], 91)</f>
        <v>Impact Super Potash 4&amp;1</v>
      </c>
      <c r="F183" s="200" t="str" cm="1">
        <f t="array" ref="F183">Common_InputFunctions.Utility_DisplayArrayInTable(Fertiliser_SourceData.Fertiliser_Products_Data4(),FertiliserProducts[[#Headers],[Company]], 91)</f>
        <v>kg</v>
      </c>
      <c r="G183" s="200" cm="1">
        <f t="array" ref="G183">Common_InputFunctions.Utility_DisplayArrayInTable(Fertiliser_SourceData.Fertiliser_Products_Data4(),FertiliserProducts[[#Headers],[Company]], 91)</f>
        <v>1</v>
      </c>
      <c r="H183" s="200" t="str" cm="1">
        <f t="array" ref="H183">Common_InputFunctions.Utility_DisplayArrayInTable(Fertiliser_SourceData.Fertiliser_Products_Data4(),FertiliserProducts[[#Headers],[Company]], 91)</f>
        <v/>
      </c>
      <c r="I183" s="200" t="str" cm="1">
        <f t="array" ref="I183">Common_InputFunctions.Utility_DisplayArrayInTable(Fertiliser_SourceData.Fertiliser_Products_Data4(),FertiliserProducts[[#Headers],[Company]], 91)</f>
        <v/>
      </c>
      <c r="J183" s="200" t="str" cm="1">
        <f t="array" ref="J183">Common_InputFunctions.Utility_DisplayArrayInTable(Fertiliser_SourceData.Fertiliser_Products_Data4(),FertiliserProducts[[#Headers],[Company]], 91)</f>
        <v/>
      </c>
      <c r="K183" s="200" t="str" cm="1">
        <f t="array" ref="K183">Common_InputFunctions.Utility_DisplayArrayInTable(Fertiliser_SourceData.Fertiliser_Products_Data4(),FertiliserProducts[[#Headers],[Company]], 91)</f>
        <v/>
      </c>
      <c r="L183" s="200" cm="1">
        <f t="array" ref="L183">Common_InputFunctions.Utility_DisplayArrayInTable(Fertiliser_SourceData.Fertiliser_Products_Data4(),FertiliserProducts[[#Headers],[Company]], 91)</f>
        <v>7.04</v>
      </c>
      <c r="M183" s="200" cm="1">
        <f t="array" ref="M183">Common_InputFunctions.Utility_DisplayArrayInTable(Fertiliser_SourceData.Fertiliser_Products_Data4(),FertiliserProducts[[#Headers],[Company]], 91)</f>
        <v>10</v>
      </c>
      <c r="N183" s="200" cm="1">
        <f t="array" ref="N183">Common_InputFunctions.Utility_DisplayArrayInTable(Fertiliser_SourceData.Fertiliser_Products_Data4(),FertiliserProducts[[#Headers],[Company]], 91)</f>
        <v>8.8000000000000007</v>
      </c>
      <c r="O183" s="200" t="str" cm="1">
        <f t="array" ref="O183">Common_InputFunctions.Utility_DisplayArrayInTable(Fertiliser_SourceData.Fertiliser_Products_Data4(),FertiliserProducts[[#Headers],[Company]], 91)</f>
        <v>Single superphosphate (SSP)</v>
      </c>
      <c r="P183" s="200" cm="1">
        <f t="array" ref="P183">Common_InputFunctions.Utility_DisplayArrayInTable(Fertiliser_SourceData.Fertiliser_Products_Data4(),FertiliserProducts[[#Headers],[Company]], 91)</f>
        <v>0.8</v>
      </c>
      <c r="Q183" s="200" t="str" cm="1">
        <f t="array" ref="Q183">Common_InputFunctions.Utility_DisplayArrayInTable(Fertiliser_SourceData.Fertiliser_Products_Data4(),FertiliserProducts[[#Headers],[Company]], 91)</f>
        <v>Muriate of potash (MOP)</v>
      </c>
      <c r="R183" s="200" cm="1">
        <f t="array" ref="R183">Common_InputFunctions.Utility_DisplayArrayInTable(Fertiliser_SourceData.Fertiliser_Products_Data4(),FertiliserProducts[[#Headers],[Company]], 91)</f>
        <v>0.2</v>
      </c>
      <c r="S183" s="200" t="str" cm="1">
        <f t="array" ref="S183">Common_InputFunctions.Utility_DisplayArrayInTable(Fertiliser_SourceData.Fertiliser_Products_Data4(),FertiliserProducts[[#Headers],[Company]], 91)</f>
        <v/>
      </c>
      <c r="T183" s="200" t="str" cm="1">
        <f t="array" ref="T183">Common_InputFunctions.Utility_DisplayArrayInTable(Fertiliser_SourceData.Fertiliser_Products_Data4(),FertiliserProducts[[#Headers],[Company]], 91)</f>
        <v/>
      </c>
      <c r="U183" s="200" t="str" cm="1">
        <f t="array" ref="U183">Common_InputFunctions.Utility_DisplayArrayInTable(Fertiliser_SourceData.Fertiliser_Products_Data4(),FertiliserProducts[[#Headers],[Company]], 91)</f>
        <v/>
      </c>
      <c r="V183" s="200" t="str" cm="1">
        <f t="array" ref="V183">Common_InputFunctions.Utility_DisplayArrayInTable(Fertiliser_SourceData.Fertiliser_Products_Data4(),FertiliserProducts[[#Headers],[Company]], 91)</f>
        <v/>
      </c>
      <c r="W183" s="200" t="str" cm="1">
        <f t="array" ref="W183">Common_InputFunctions.Utility_DisplayArrayInTable(Fertiliser_SourceData.Fertiliser_Products_Data4(),FertiliserProducts[[#Headers],[Company]], 91)</f>
        <v/>
      </c>
      <c r="X183" s="200" t="str" cm="1">
        <f t="array" ref="X183">Common_InputFunctions.Utility_DisplayArrayInTable(Fertiliser_SourceData.Fertiliser_Products_Data4(),FertiliserProducts[[#Headers],[Company]], 91)</f>
        <v/>
      </c>
      <c r="Y183" s="200" t="str" cm="1">
        <f t="array" ref="Y183">Common_InputFunctions.Utility_DisplayArrayInTable(Fertiliser_SourceData.Fertiliser_Products_Data4(),FertiliserProducts[[#Headers],[Company]], 91)</f>
        <v/>
      </c>
      <c r="Z183" s="200" t="str" cm="1">
        <f t="array" ref="Z183">Common_InputFunctions.Utility_DisplayArrayInTable(Fertiliser_SourceData.Fertiliser_Products_Data4(),FertiliserProducts[[#Headers],[Company]], 91)</f>
        <v/>
      </c>
      <c r="AA183" s="200" t="str" cm="1">
        <f t="array" ref="AA183">Common_InputFunctions.Utility_DisplayArrayInTable(Fertiliser_SourceData.Fertiliser_Products_Data4(),FertiliserProducts[[#Headers],[Company]], 91)</f>
        <v/>
      </c>
      <c r="AB183" s="200" t="str" cm="1">
        <f t="array" ref="AB183">Common_InputFunctions.Utility_DisplayArrayInTable(Fertiliser_SourceData.Fertiliser_Products_Data4(),FertiliserProducts[[#Headers],[Company]], 91)</f>
        <v/>
      </c>
      <c r="AC183" s="200" t="str" cm="1">
        <f t="array" ref="AC183">Common_InputFunctions.Utility_DisplayArrayInTable(Fertiliser_SourceData.Fertiliser_Products_Data4(),FertiliserProducts[[#Headers],[Company]], 91)</f>
        <v/>
      </c>
      <c r="AD183" s="200" t="str" cm="1">
        <f t="array" ref="AD183">Common_InputFunctions.Utility_DisplayArrayInTable(Fertiliser_SourceData.Fertiliser_Products_Data4(),FertiliserProducts[[#Headers],[Company]], 91)</f>
        <v/>
      </c>
      <c r="AE183" s="200" t="str" cm="1">
        <f t="array" ref="AE183">Common_InputFunctions.Utility_DisplayArrayInTable(Fertiliser_SourceData.Fertiliser_Products_Data4(),FertiliserProducts[[#Headers],[Company]], 91)</f>
        <v/>
      </c>
      <c r="AF183" s="200" t="str" cm="1">
        <f t="array" ref="AF183">Common_InputFunctions.Utility_DisplayArrayInTable(Fertiliser_SourceData.Fertiliser_Products_Data4(),FertiliserProducts[[#Headers],[Company]], 91)</f>
        <v/>
      </c>
      <c r="AG183" s="200" t="str" cm="1">
        <f t="array" ref="AG183">Common_InputFunctions.Utility_DisplayArrayInTable(Fertiliser_SourceData.Fertiliser_Products_Data4(),FertiliserProducts[[#Headers],[Company]], 91)</f>
        <v/>
      </c>
      <c r="AH183" s="200" t="str" cm="1">
        <f t="array" ref="AH183">Common_InputFunctions.Utility_DisplayArrayInTable(Fertiliser_SourceData.Fertiliser_Products_Data4(),FertiliserProducts[[#Headers],[Company]], 91)</f>
        <v/>
      </c>
    </row>
    <row r="184" spans="4:37" x14ac:dyDescent="0.25">
      <c r="D184" s="200" t="str" cm="1">
        <f t="array" ref="D184">Common_InputFunctions.Utility_DisplayArrayInTable(Fertiliser_SourceData.Fertiliser_Products_Data4(),FertiliserProducts[[#Headers],[Company]], 91)</f>
        <v>Impact Fertilisers</v>
      </c>
      <c r="E184" s="200" t="str" cm="1">
        <f t="array" ref="E184">Common_InputFunctions.Utility_DisplayArrayInTable(Fertiliser_SourceData.Fertiliser_Products_Data4(),FertiliserProducts[[#Headers],[Company]], 91)</f>
        <v>Impact Super Potash 5&amp;1</v>
      </c>
      <c r="F184" s="200" t="str" cm="1">
        <f t="array" ref="F184">Common_InputFunctions.Utility_DisplayArrayInTable(Fertiliser_SourceData.Fertiliser_Products_Data4(),FertiliserProducts[[#Headers],[Company]], 91)</f>
        <v>kg</v>
      </c>
      <c r="G184" s="200" cm="1">
        <f t="array" ref="G184">Common_InputFunctions.Utility_DisplayArrayInTable(Fertiliser_SourceData.Fertiliser_Products_Data4(),FertiliserProducts[[#Headers],[Company]], 91)</f>
        <v>1</v>
      </c>
      <c r="H184" s="200" t="str" cm="1">
        <f t="array" ref="H184">Common_InputFunctions.Utility_DisplayArrayInTable(Fertiliser_SourceData.Fertiliser_Products_Data4(),FertiliserProducts[[#Headers],[Company]], 91)</f>
        <v/>
      </c>
      <c r="I184" s="200" t="str" cm="1">
        <f t="array" ref="I184">Common_InputFunctions.Utility_DisplayArrayInTable(Fertiliser_SourceData.Fertiliser_Products_Data4(),FertiliserProducts[[#Headers],[Company]], 91)</f>
        <v/>
      </c>
      <c r="J184" s="200" t="str" cm="1">
        <f t="array" ref="J184">Common_InputFunctions.Utility_DisplayArrayInTable(Fertiliser_SourceData.Fertiliser_Products_Data4(),FertiliserProducts[[#Headers],[Company]], 91)</f>
        <v/>
      </c>
      <c r="K184" s="200" t="str" cm="1">
        <f t="array" ref="K184">Common_InputFunctions.Utility_DisplayArrayInTable(Fertiliser_SourceData.Fertiliser_Products_Data4(),FertiliserProducts[[#Headers],[Company]], 91)</f>
        <v/>
      </c>
      <c r="L184" s="200" cm="1">
        <f t="array" ref="L184">Common_InputFunctions.Utility_DisplayArrayInTable(Fertiliser_SourceData.Fertiliser_Products_Data4(),FertiliserProducts[[#Headers],[Company]], 91)</f>
        <v>7.32</v>
      </c>
      <c r="M184" s="200" cm="1">
        <f t="array" ref="M184">Common_InputFunctions.Utility_DisplayArrayInTable(Fertiliser_SourceData.Fertiliser_Products_Data4(),FertiliserProducts[[#Headers],[Company]], 91)</f>
        <v>8.4</v>
      </c>
      <c r="N184" s="200" cm="1">
        <f t="array" ref="N184">Common_InputFunctions.Utility_DisplayArrayInTable(Fertiliser_SourceData.Fertiliser_Products_Data4(),FertiliserProducts[[#Headers],[Company]], 91)</f>
        <v>9.15</v>
      </c>
      <c r="O184" s="200" t="str" cm="1">
        <f t="array" ref="O184">Common_InputFunctions.Utility_DisplayArrayInTable(Fertiliser_SourceData.Fertiliser_Products_Data4(),FertiliserProducts[[#Headers],[Company]], 91)</f>
        <v>Single superphosphate (SSP)</v>
      </c>
      <c r="P184" s="200" cm="1">
        <f t="array" ref="P184">Common_InputFunctions.Utility_DisplayArrayInTable(Fertiliser_SourceData.Fertiliser_Products_Data4(),FertiliserProducts[[#Headers],[Company]], 91)</f>
        <v>0.83157899999999996</v>
      </c>
      <c r="Q184" s="200" t="str" cm="1">
        <f t="array" ref="Q184">Common_InputFunctions.Utility_DisplayArrayInTable(Fertiliser_SourceData.Fertiliser_Products_Data4(),FertiliserProducts[[#Headers],[Company]], 91)</f>
        <v>Muriate of potash (MOP)</v>
      </c>
      <c r="R184" s="200" cm="1">
        <f t="array" ref="R184">Common_InputFunctions.Utility_DisplayArrayInTable(Fertiliser_SourceData.Fertiliser_Products_Data4(),FertiliserProducts[[#Headers],[Company]], 91)</f>
        <v>0.16800000000000001</v>
      </c>
      <c r="S184" s="200" t="str" cm="1">
        <f t="array" ref="S184">Common_InputFunctions.Utility_DisplayArrayInTable(Fertiliser_SourceData.Fertiliser_Products_Data4(),FertiliserProducts[[#Headers],[Company]], 91)</f>
        <v/>
      </c>
      <c r="T184" s="200" t="str" cm="1">
        <f t="array" ref="T184">Common_InputFunctions.Utility_DisplayArrayInTable(Fertiliser_SourceData.Fertiliser_Products_Data4(),FertiliserProducts[[#Headers],[Company]], 91)</f>
        <v/>
      </c>
      <c r="U184" s="200" t="str" cm="1">
        <f t="array" ref="U184">Common_InputFunctions.Utility_DisplayArrayInTable(Fertiliser_SourceData.Fertiliser_Products_Data4(),FertiliserProducts[[#Headers],[Company]], 91)</f>
        <v/>
      </c>
      <c r="V184" s="200" t="str" cm="1">
        <f t="array" ref="V184">Common_InputFunctions.Utility_DisplayArrayInTable(Fertiliser_SourceData.Fertiliser_Products_Data4(),FertiliserProducts[[#Headers],[Company]], 91)</f>
        <v/>
      </c>
      <c r="W184" s="200" t="str" cm="1">
        <f t="array" ref="W184">Common_InputFunctions.Utility_DisplayArrayInTable(Fertiliser_SourceData.Fertiliser_Products_Data4(),FertiliserProducts[[#Headers],[Company]], 91)</f>
        <v/>
      </c>
      <c r="X184" s="200" t="str" cm="1">
        <f t="array" ref="X184">Common_InputFunctions.Utility_DisplayArrayInTable(Fertiliser_SourceData.Fertiliser_Products_Data4(),FertiliserProducts[[#Headers],[Company]], 91)</f>
        <v/>
      </c>
      <c r="Y184" s="200" t="str" cm="1">
        <f t="array" ref="Y184">Common_InputFunctions.Utility_DisplayArrayInTable(Fertiliser_SourceData.Fertiliser_Products_Data4(),FertiliserProducts[[#Headers],[Company]], 91)</f>
        <v/>
      </c>
      <c r="Z184" s="200" t="str" cm="1">
        <f t="array" ref="Z184">Common_InputFunctions.Utility_DisplayArrayInTable(Fertiliser_SourceData.Fertiliser_Products_Data4(),FertiliserProducts[[#Headers],[Company]], 91)</f>
        <v/>
      </c>
      <c r="AA184" s="200" t="str" cm="1">
        <f t="array" ref="AA184">Common_InputFunctions.Utility_DisplayArrayInTable(Fertiliser_SourceData.Fertiliser_Products_Data4(),FertiliserProducts[[#Headers],[Company]], 91)</f>
        <v/>
      </c>
      <c r="AB184" s="200" t="str" cm="1">
        <f t="array" ref="AB184">Common_InputFunctions.Utility_DisplayArrayInTable(Fertiliser_SourceData.Fertiliser_Products_Data4(),FertiliserProducts[[#Headers],[Company]], 91)</f>
        <v/>
      </c>
      <c r="AC184" s="200" t="str" cm="1">
        <f t="array" ref="AC184">Common_InputFunctions.Utility_DisplayArrayInTable(Fertiliser_SourceData.Fertiliser_Products_Data4(),FertiliserProducts[[#Headers],[Company]], 91)</f>
        <v/>
      </c>
      <c r="AD184" s="200" t="str" cm="1">
        <f t="array" ref="AD184">Common_InputFunctions.Utility_DisplayArrayInTable(Fertiliser_SourceData.Fertiliser_Products_Data4(),FertiliserProducts[[#Headers],[Company]], 91)</f>
        <v/>
      </c>
      <c r="AE184" s="200" t="str" cm="1">
        <f t="array" ref="AE184">Common_InputFunctions.Utility_DisplayArrayInTable(Fertiliser_SourceData.Fertiliser_Products_Data4(),FertiliserProducts[[#Headers],[Company]], 91)</f>
        <v/>
      </c>
      <c r="AF184" s="200" t="str" cm="1">
        <f t="array" ref="AF184">Common_InputFunctions.Utility_DisplayArrayInTable(Fertiliser_SourceData.Fertiliser_Products_Data4(),FertiliserProducts[[#Headers],[Company]], 91)</f>
        <v/>
      </c>
      <c r="AG184" s="200" t="str" cm="1">
        <f t="array" ref="AG184">Common_InputFunctions.Utility_DisplayArrayInTable(Fertiliser_SourceData.Fertiliser_Products_Data4(),FertiliserProducts[[#Headers],[Company]], 91)</f>
        <v/>
      </c>
      <c r="AH184" s="200" t="str" cm="1">
        <f t="array" ref="AH184">Common_InputFunctions.Utility_DisplayArrayInTable(Fertiliser_SourceData.Fertiliser_Products_Data4(),FertiliserProducts[[#Headers],[Company]], 91)</f>
        <v/>
      </c>
    </row>
    <row r="185" spans="4:37" x14ac:dyDescent="0.25">
      <c r="D185" s="200" t="str" cm="1">
        <f t="array" ref="D185">Common_InputFunctions.Utility_DisplayArrayInTable(Fertiliser_SourceData.Fertiliser_Products_Data4(),FertiliserProducts[[#Headers],[Company]], 91)</f>
        <v>Pacific Fertiliser / Incitec Pivot Fertilisers</v>
      </c>
      <c r="E185" s="200" t="str" cm="1">
        <f t="array" ref="E185">Common_InputFunctions.Utility_DisplayArrayInTable(Fertiliser_SourceData.Fertiliser_Products_Data4(),FertiliserProducts[[#Headers],[Company]], 91)</f>
        <v>Cal-Gran</v>
      </c>
      <c r="F185" s="200" t="str" cm="1">
        <f t="array" ref="F185">Common_InputFunctions.Utility_DisplayArrayInTable(Fertiliser_SourceData.Fertiliser_Products_Data4(),FertiliserProducts[[#Headers],[Company]], 91)</f>
        <v>kg</v>
      </c>
      <c r="G185" s="200" cm="1">
        <f t="array" ref="G185">Common_InputFunctions.Utility_DisplayArrayInTable(Fertiliser_SourceData.Fertiliser_Products_Data4(),FertiliserProducts[[#Headers],[Company]], 91)</f>
        <v>1</v>
      </c>
      <c r="H185" s="200" t="str" cm="1">
        <f t="array" ref="H185">Common_InputFunctions.Utility_DisplayArrayInTable(Fertiliser_SourceData.Fertiliser_Products_Data4(),FertiliserProducts[[#Headers],[Company]], 91)</f>
        <v/>
      </c>
      <c r="I185" s="200" t="str" cm="1">
        <f t="array" ref="I185">Common_InputFunctions.Utility_DisplayArrayInTable(Fertiliser_SourceData.Fertiliser_Products_Data4(),FertiliserProducts[[#Headers],[Company]], 91)</f>
        <v/>
      </c>
      <c r="J185" s="200" t="str" cm="1">
        <f t="array" ref="J185">Common_InputFunctions.Utility_DisplayArrayInTable(Fertiliser_SourceData.Fertiliser_Products_Data4(),FertiliserProducts[[#Headers],[Company]], 91)</f>
        <v/>
      </c>
      <c r="K185" s="200" cm="1">
        <f t="array" ref="K185">Common_InputFunctions.Utility_DisplayArrayInTable(Fertiliser_SourceData.Fertiliser_Products_Data4(),FertiliserProducts[[#Headers],[Company]], 91)</f>
        <v>23.9</v>
      </c>
      <c r="L185" s="200" t="str" cm="1">
        <f t="array" ref="L185">Common_InputFunctions.Utility_DisplayArrayInTable(Fertiliser_SourceData.Fertiliser_Products_Data4(),FertiliserProducts[[#Headers],[Company]], 91)</f>
        <v/>
      </c>
      <c r="M185" s="200" t="str" cm="1">
        <f t="array" ref="M185">Common_InputFunctions.Utility_DisplayArrayInTable(Fertiliser_SourceData.Fertiliser_Products_Data4(),FertiliserProducts[[#Headers],[Company]], 91)</f>
        <v/>
      </c>
      <c r="N185" s="200" cm="1">
        <f t="array" ref="N185">Common_InputFunctions.Utility_DisplayArrayInTable(Fertiliser_SourceData.Fertiliser_Products_Data4(),FertiliserProducts[[#Headers],[Company]], 91)</f>
        <v>10.8</v>
      </c>
      <c r="O185" s="200" t="str" cm="1">
        <f t="array" ref="O185">Common_InputFunctions.Utility_DisplayArrayInTable(Fertiliser_SourceData.Fertiliser_Products_Data4(),FertiliserProducts[[#Headers],[Company]], 91)</f>
        <v>Nitrogen - Nitrate</v>
      </c>
      <c r="P185" s="200" cm="1">
        <f t="array" ref="P185">Common_InputFunctions.Utility_DisplayArrayInTable(Fertiliser_SourceData.Fertiliser_Products_Data4(),FertiliserProducts[[#Headers],[Company]], 91)</f>
        <v>7.3999999999999996E-2</v>
      </c>
      <c r="Q185" s="200" t="str" cm="1">
        <f t="array" ref="Q185">Common_InputFunctions.Utility_DisplayArrayInTable(Fertiliser_SourceData.Fertiliser_Products_Data4(),FertiliserProducts[[#Headers],[Company]], 91)</f>
        <v>Nitrogen - Ammoniacal</v>
      </c>
      <c r="R185" s="200" cm="1">
        <f t="array" ref="R185">Common_InputFunctions.Utility_DisplayArrayInTable(Fertiliser_SourceData.Fertiliser_Products_Data4(),FertiliserProducts[[#Headers],[Company]], 91)</f>
        <v>0.16500000000000001</v>
      </c>
      <c r="S185" s="200" t="str" cm="1">
        <f t="array" ref="S185">Common_InputFunctions.Utility_DisplayArrayInTable(Fertiliser_SourceData.Fertiliser_Products_Data4(),FertiliserProducts[[#Headers],[Company]], 91)</f>
        <v>Sulfur - Generic</v>
      </c>
      <c r="T185" s="200" cm="1">
        <f t="array" ref="T185">Common_InputFunctions.Utility_DisplayArrayInTable(Fertiliser_SourceData.Fertiliser_Products_Data4(),FertiliserProducts[[#Headers],[Company]], 91)</f>
        <v>0.108</v>
      </c>
      <c r="U185" s="200" t="str" cm="1">
        <f t="array" ref="U185">Common_InputFunctions.Utility_DisplayArrayInTable(Fertiliser_SourceData.Fertiliser_Products_Data4(),FertiliserProducts[[#Headers],[Company]], 91)</f>
        <v>Calcium</v>
      </c>
      <c r="V185" s="200" cm="1">
        <f t="array" ref="V185">Common_InputFunctions.Utility_DisplayArrayInTable(Fertiliser_SourceData.Fertiliser_Products_Data4(),FertiliserProducts[[#Headers],[Company]], 91)</f>
        <v>4.3999999999999997E-2</v>
      </c>
      <c r="W185" s="200" t="str" cm="1">
        <f t="array" ref="W185">Common_InputFunctions.Utility_DisplayArrayInTable(Fertiliser_SourceData.Fertiliser_Products_Data4(),FertiliserProducts[[#Headers],[Company]], 91)</f>
        <v/>
      </c>
      <c r="X185" s="200" t="str" cm="1">
        <f t="array" ref="X185">Common_InputFunctions.Utility_DisplayArrayInTable(Fertiliser_SourceData.Fertiliser_Products_Data4(),FertiliserProducts[[#Headers],[Company]], 91)</f>
        <v/>
      </c>
      <c r="Y185" s="200" t="str" cm="1">
        <f t="array" ref="Y185">Common_InputFunctions.Utility_DisplayArrayInTable(Fertiliser_SourceData.Fertiliser_Products_Data4(),FertiliserProducts[[#Headers],[Company]], 91)</f>
        <v/>
      </c>
      <c r="Z185" s="200" t="str" cm="1">
        <f t="array" ref="Z185">Common_InputFunctions.Utility_DisplayArrayInTable(Fertiliser_SourceData.Fertiliser_Products_Data4(),FertiliserProducts[[#Headers],[Company]], 91)</f>
        <v/>
      </c>
      <c r="AA185" s="200" t="str" cm="1">
        <f t="array" ref="AA185">Common_InputFunctions.Utility_DisplayArrayInTable(Fertiliser_SourceData.Fertiliser_Products_Data4(),FertiliserProducts[[#Headers],[Company]], 91)</f>
        <v/>
      </c>
      <c r="AB185" s="200" t="str" cm="1">
        <f t="array" ref="AB185">Common_InputFunctions.Utility_DisplayArrayInTable(Fertiliser_SourceData.Fertiliser_Products_Data4(),FertiliserProducts[[#Headers],[Company]], 91)</f>
        <v/>
      </c>
      <c r="AC185" s="200" t="str" cm="1">
        <f t="array" ref="AC185">Common_InputFunctions.Utility_DisplayArrayInTable(Fertiliser_SourceData.Fertiliser_Products_Data4(),FertiliserProducts[[#Headers],[Company]], 91)</f>
        <v/>
      </c>
      <c r="AD185" s="200" t="str" cm="1">
        <f t="array" ref="AD185">Common_InputFunctions.Utility_DisplayArrayInTable(Fertiliser_SourceData.Fertiliser_Products_Data4(),FertiliserProducts[[#Headers],[Company]], 91)</f>
        <v/>
      </c>
      <c r="AE185" s="200" t="str" cm="1">
        <f t="array" ref="AE185">Common_InputFunctions.Utility_DisplayArrayInTable(Fertiliser_SourceData.Fertiliser_Products_Data4(),FertiliserProducts[[#Headers],[Company]], 91)</f>
        <v/>
      </c>
      <c r="AF185" s="200" t="str" cm="1">
        <f t="array" ref="AF185">Common_InputFunctions.Utility_DisplayArrayInTable(Fertiliser_SourceData.Fertiliser_Products_Data4(),FertiliserProducts[[#Headers],[Company]], 91)</f>
        <v/>
      </c>
      <c r="AG185" s="200" t="str" cm="1">
        <f t="array" ref="AG185">Common_InputFunctions.Utility_DisplayArrayInTable(Fertiliser_SourceData.Fertiliser_Products_Data4(),FertiliserProducts[[#Headers],[Company]], 91)</f>
        <v/>
      </c>
      <c r="AH185" s="200" t="str" cm="1">
        <f t="array" ref="AH185">Common_InputFunctions.Utility_DisplayArrayInTable(Fertiliser_SourceData.Fertiliser_Products_Data4(),FertiliserProducts[[#Headers],[Company]], 91)</f>
        <v/>
      </c>
    </row>
    <row r="186" spans="4:37" x14ac:dyDescent="0.25">
      <c r="D186" s="200" t="str" cm="1">
        <f t="array" ref="D186">Common_InputFunctions.Utility_DisplayArrayInTable(Fertiliser_SourceData.Fertiliser_Products_Data4(),FertiliserProducts[[#Headers],[Company]], 91)</f>
        <v>Pacific Fertiliser / Incitec Pivot Fertilisers</v>
      </c>
      <c r="E186" s="200" t="str" cm="1">
        <f t="array" ref="E186">Common_InputFunctions.Utility_DisplayArrayInTable(Fertiliser_SourceData.Fertiliser_Products_Data4(),FertiliserProducts[[#Headers],[Company]], 91)</f>
        <v>Cal-Gran 50/50</v>
      </c>
      <c r="F186" s="200" t="str" cm="1">
        <f t="array" ref="F186">Common_InputFunctions.Utility_DisplayArrayInTable(Fertiliser_SourceData.Fertiliser_Products_Data4(),FertiliserProducts[[#Headers],[Company]], 91)</f>
        <v>kg</v>
      </c>
      <c r="G186" s="200" cm="1">
        <f t="array" ref="G186">Common_InputFunctions.Utility_DisplayArrayInTable(Fertiliser_SourceData.Fertiliser_Products_Data4(),FertiliserProducts[[#Headers],[Company]], 91)</f>
        <v>1</v>
      </c>
      <c r="H186" s="200" t="str" cm="1">
        <f t="array" ref="H186">Common_InputFunctions.Utility_DisplayArrayInTable(Fertiliser_SourceData.Fertiliser_Products_Data4(),FertiliserProducts[[#Headers],[Company]], 91)</f>
        <v/>
      </c>
      <c r="I186" s="200" t="str" cm="1">
        <f t="array" ref="I186">Common_InputFunctions.Utility_DisplayArrayInTable(Fertiliser_SourceData.Fertiliser_Products_Data4(),FertiliserProducts[[#Headers],[Company]], 91)</f>
        <v/>
      </c>
      <c r="J186" s="200" t="str" cm="1">
        <f t="array" ref="J186">Common_InputFunctions.Utility_DisplayArrayInTable(Fertiliser_SourceData.Fertiliser_Products_Data4(),FertiliserProducts[[#Headers],[Company]], 91)</f>
        <v/>
      </c>
      <c r="K186" s="200" cm="1">
        <f t="array" ref="K186">Common_InputFunctions.Utility_DisplayArrayInTable(Fertiliser_SourceData.Fertiliser_Products_Data4(),FertiliserProducts[[#Headers],[Company]], 91)</f>
        <v>17.899999999999999</v>
      </c>
      <c r="L186" s="200" t="str" cm="1">
        <f t="array" ref="L186">Common_InputFunctions.Utility_DisplayArrayInTable(Fertiliser_SourceData.Fertiliser_Products_Data4(),FertiliserProducts[[#Headers],[Company]], 91)</f>
        <v/>
      </c>
      <c r="M186" s="200" cm="1">
        <f t="array" ref="M186">Common_InputFunctions.Utility_DisplayArrayInTable(Fertiliser_SourceData.Fertiliser_Products_Data4(),FertiliserProducts[[#Headers],[Company]], 91)</f>
        <v>15</v>
      </c>
      <c r="N186" s="200" cm="1">
        <f t="array" ref="N186">Common_InputFunctions.Utility_DisplayArrayInTable(Fertiliser_SourceData.Fertiliser_Products_Data4(),FertiliserProducts[[#Headers],[Company]], 91)</f>
        <v>3.6</v>
      </c>
      <c r="O186" s="200" t="str" cm="1">
        <f t="array" ref="O186">Common_InputFunctions.Utility_DisplayArrayInTable(Fertiliser_SourceData.Fertiliser_Products_Data4(),FertiliserProducts[[#Headers],[Company]], 91)</f>
        <v>Nitrogen - Nitrate</v>
      </c>
      <c r="P186" s="200" cm="1">
        <f t="array" ref="P186">Common_InputFunctions.Utility_DisplayArrayInTable(Fertiliser_SourceData.Fertiliser_Products_Data4(),FertiliserProducts[[#Headers],[Company]], 91)</f>
        <v>5.5E-2</v>
      </c>
      <c r="Q186" s="200" t="str" cm="1">
        <f t="array" ref="Q186">Common_InputFunctions.Utility_DisplayArrayInTable(Fertiliser_SourceData.Fertiliser_Products_Data4(),FertiliserProducts[[#Headers],[Company]], 91)</f>
        <v>Nitrogen - Ammoniacal</v>
      </c>
      <c r="R186" s="200" cm="1">
        <f t="array" ref="R186">Common_InputFunctions.Utility_DisplayArrayInTable(Fertiliser_SourceData.Fertiliser_Products_Data4(),FertiliserProducts[[#Headers],[Company]], 91)</f>
        <v>0.124</v>
      </c>
      <c r="S186" s="200" t="str" cm="1">
        <f t="array" ref="S186">Common_InputFunctions.Utility_DisplayArrayInTable(Fertiliser_SourceData.Fertiliser_Products_Data4(),FertiliserProducts[[#Headers],[Company]], 91)</f>
        <v>Potassium - Generic</v>
      </c>
      <c r="T186" s="200" cm="1">
        <f t="array" ref="T186">Common_InputFunctions.Utility_DisplayArrayInTable(Fertiliser_SourceData.Fertiliser_Products_Data4(),FertiliserProducts[[#Headers],[Company]], 91)</f>
        <v>0.15</v>
      </c>
      <c r="U186" s="200" t="str" cm="1">
        <f t="array" ref="U186">Common_InputFunctions.Utility_DisplayArrayInTable(Fertiliser_SourceData.Fertiliser_Products_Data4(),FertiliserProducts[[#Headers],[Company]], 91)</f>
        <v>Sulfur - Generic</v>
      </c>
      <c r="V186" s="200" cm="1">
        <f t="array" ref="V186">Common_InputFunctions.Utility_DisplayArrayInTable(Fertiliser_SourceData.Fertiliser_Products_Data4(),FertiliserProducts[[#Headers],[Company]], 91)</f>
        <v>3.5999999999999997E-2</v>
      </c>
      <c r="W186" s="200" t="str" cm="1">
        <f t="array" ref="W186">Common_InputFunctions.Utility_DisplayArrayInTable(Fertiliser_SourceData.Fertiliser_Products_Data4(),FertiliserProducts[[#Headers],[Company]], 91)</f>
        <v>Calcium</v>
      </c>
      <c r="X186" s="200" cm="1">
        <f t="array" ref="X186">Common_InputFunctions.Utility_DisplayArrayInTable(Fertiliser_SourceData.Fertiliser_Products_Data4(),FertiliserProducts[[#Headers],[Company]], 91)</f>
        <v>4.3999999999999997E-2</v>
      </c>
      <c r="Y186" s="200" t="str" cm="1">
        <f t="array" ref="Y186">Common_InputFunctions.Utility_DisplayArrayInTable(Fertiliser_SourceData.Fertiliser_Products_Data4(),FertiliserProducts[[#Headers],[Company]], 91)</f>
        <v/>
      </c>
      <c r="Z186" s="200" t="str" cm="1">
        <f t="array" ref="Z186">Common_InputFunctions.Utility_DisplayArrayInTable(Fertiliser_SourceData.Fertiliser_Products_Data4(),FertiliserProducts[[#Headers],[Company]], 91)</f>
        <v/>
      </c>
      <c r="AA186" s="200" t="str" cm="1">
        <f t="array" ref="AA186">Common_InputFunctions.Utility_DisplayArrayInTable(Fertiliser_SourceData.Fertiliser_Products_Data4(),FertiliserProducts[[#Headers],[Company]], 91)</f>
        <v/>
      </c>
      <c r="AB186" s="200" t="str" cm="1">
        <f t="array" ref="AB186">Common_InputFunctions.Utility_DisplayArrayInTable(Fertiliser_SourceData.Fertiliser_Products_Data4(),FertiliserProducts[[#Headers],[Company]], 91)</f>
        <v/>
      </c>
      <c r="AC186" s="200" t="str" cm="1">
        <f t="array" ref="AC186">Common_InputFunctions.Utility_DisplayArrayInTable(Fertiliser_SourceData.Fertiliser_Products_Data4(),FertiliserProducts[[#Headers],[Company]], 91)</f>
        <v/>
      </c>
      <c r="AD186" s="200" t="str" cm="1">
        <f t="array" ref="AD186">Common_InputFunctions.Utility_DisplayArrayInTable(Fertiliser_SourceData.Fertiliser_Products_Data4(),FertiliserProducts[[#Headers],[Company]], 91)</f>
        <v/>
      </c>
      <c r="AE186" s="200" t="str" cm="1">
        <f t="array" ref="AE186">Common_InputFunctions.Utility_DisplayArrayInTable(Fertiliser_SourceData.Fertiliser_Products_Data4(),FertiliserProducts[[#Headers],[Company]], 91)</f>
        <v/>
      </c>
      <c r="AF186" s="200" t="str" cm="1">
        <f t="array" ref="AF186">Common_InputFunctions.Utility_DisplayArrayInTable(Fertiliser_SourceData.Fertiliser_Products_Data4(),FertiliserProducts[[#Headers],[Company]], 91)</f>
        <v/>
      </c>
      <c r="AG186" s="200" t="str" cm="1">
        <f t="array" ref="AG186">Common_InputFunctions.Utility_DisplayArrayInTable(Fertiliser_SourceData.Fertiliser_Products_Data4(),FertiliserProducts[[#Headers],[Company]], 91)</f>
        <v/>
      </c>
      <c r="AH186" s="200" t="str" cm="1">
        <f t="array" ref="AH186">Common_InputFunctions.Utility_DisplayArrayInTable(Fertiliser_SourceData.Fertiliser_Products_Data4(),FertiliserProducts[[#Headers],[Company]], 91)</f>
        <v/>
      </c>
    </row>
    <row r="187" spans="4:37" x14ac:dyDescent="0.25">
      <c r="D187" s="200" t="str" cm="1">
        <f t="array" ref="D187">Common_InputFunctions.Utility_DisplayArrayInTable(Fertiliser_SourceData.Fertiliser_Products_Data4(),FertiliserProducts[[#Headers],[Company]], 91)</f>
        <v>Pacific Fertiliser / Incitec Pivot Fertilisers</v>
      </c>
      <c r="E187" s="200" t="str" cm="1">
        <f t="array" ref="E187">Common_InputFunctions.Utility_DisplayArrayInTable(Fertiliser_SourceData.Fertiliser_Products_Data4(),FertiliserProducts[[#Headers],[Company]], 91)</f>
        <v>Cal-Gran 50/50 (S)</v>
      </c>
      <c r="F187" s="200" t="str" cm="1">
        <f t="array" ref="F187">Common_InputFunctions.Utility_DisplayArrayInTable(Fertiliser_SourceData.Fertiliser_Products_Data4(),FertiliserProducts[[#Headers],[Company]], 91)</f>
        <v>kg</v>
      </c>
      <c r="G187" s="200" cm="1">
        <f t="array" ref="G187">Common_InputFunctions.Utility_DisplayArrayInTable(Fertiliser_SourceData.Fertiliser_Products_Data4(),FertiliserProducts[[#Headers],[Company]], 91)</f>
        <v>1</v>
      </c>
      <c r="H187" s="200" t="str" cm="1">
        <f t="array" ref="H187">Common_InputFunctions.Utility_DisplayArrayInTable(Fertiliser_SourceData.Fertiliser_Products_Data4(),FertiliserProducts[[#Headers],[Company]], 91)</f>
        <v/>
      </c>
      <c r="I187" s="200" t="str" cm="1">
        <f t="array" ref="I187">Common_InputFunctions.Utility_DisplayArrayInTable(Fertiliser_SourceData.Fertiliser_Products_Data4(),FertiliserProducts[[#Headers],[Company]], 91)</f>
        <v/>
      </c>
      <c r="J187" s="200" t="str" cm="1">
        <f t="array" ref="J187">Common_InputFunctions.Utility_DisplayArrayInTable(Fertiliser_SourceData.Fertiliser_Products_Data4(),FertiliserProducts[[#Headers],[Company]], 91)</f>
        <v/>
      </c>
      <c r="K187" s="200" cm="1">
        <f t="array" ref="K187">Common_InputFunctions.Utility_DisplayArrayInTable(Fertiliser_SourceData.Fertiliser_Products_Data4(),FertiliserProducts[[#Headers],[Company]], 91)</f>
        <v>16.899999999999999</v>
      </c>
      <c r="L187" s="200" t="str" cm="1">
        <f t="array" ref="L187">Common_InputFunctions.Utility_DisplayArrayInTable(Fertiliser_SourceData.Fertiliser_Products_Data4(),FertiliserProducts[[#Headers],[Company]], 91)</f>
        <v/>
      </c>
      <c r="M187" s="200" cm="1">
        <f t="array" ref="M187">Common_InputFunctions.Utility_DisplayArrayInTable(Fertiliser_SourceData.Fertiliser_Products_Data4(),FertiliserProducts[[#Headers],[Company]], 91)</f>
        <v>14.4</v>
      </c>
      <c r="N187" s="200" cm="1">
        <f t="array" ref="N187">Common_InputFunctions.Utility_DisplayArrayInTable(Fertiliser_SourceData.Fertiliser_Products_Data4(),FertiliserProducts[[#Headers],[Company]], 91)</f>
        <v>8.6999999999999993</v>
      </c>
      <c r="O187" s="200" t="str" cm="1">
        <f t="array" ref="O187">Common_InputFunctions.Utility_DisplayArrayInTable(Fertiliser_SourceData.Fertiliser_Products_Data4(),FertiliserProducts[[#Headers],[Company]], 91)</f>
        <v>Nitrogen - Nitrate</v>
      </c>
      <c r="P187" s="200" cm="1">
        <f t="array" ref="P187">Common_InputFunctions.Utility_DisplayArrayInTable(Fertiliser_SourceData.Fertiliser_Products_Data4(),FertiliserProducts[[#Headers],[Company]], 91)</f>
        <v>5.1999999999999998E-2</v>
      </c>
      <c r="Q187" s="200" t="str" cm="1">
        <f t="array" ref="Q187">Common_InputFunctions.Utility_DisplayArrayInTable(Fertiliser_SourceData.Fertiliser_Products_Data4(),FertiliserProducts[[#Headers],[Company]], 91)</f>
        <v>Nitrogen - Ammoniacal</v>
      </c>
      <c r="R187" s="200" cm="1">
        <f t="array" ref="R187">Common_InputFunctions.Utility_DisplayArrayInTable(Fertiliser_SourceData.Fertiliser_Products_Data4(),FertiliserProducts[[#Headers],[Company]], 91)</f>
        <v>0.11700000000000001</v>
      </c>
      <c r="S187" s="200" t="str" cm="1">
        <f t="array" ref="S187">Common_InputFunctions.Utility_DisplayArrayInTable(Fertiliser_SourceData.Fertiliser_Products_Data4(),FertiliserProducts[[#Headers],[Company]], 91)</f>
        <v>Potassium - Generic</v>
      </c>
      <c r="T187" s="200" cm="1">
        <f t="array" ref="T187">Common_InputFunctions.Utility_DisplayArrayInTable(Fertiliser_SourceData.Fertiliser_Products_Data4(),FertiliserProducts[[#Headers],[Company]], 91)</f>
        <v>0.14399999999999999</v>
      </c>
      <c r="U187" s="200" t="str" cm="1">
        <f t="array" ref="U187">Common_InputFunctions.Utility_DisplayArrayInTable(Fertiliser_SourceData.Fertiliser_Products_Data4(),FertiliserProducts[[#Headers],[Company]], 91)</f>
        <v>Sulfur - Generic</v>
      </c>
      <c r="V187" s="200" cm="1">
        <f t="array" ref="V187">Common_InputFunctions.Utility_DisplayArrayInTable(Fertiliser_SourceData.Fertiliser_Products_Data4(),FertiliserProducts[[#Headers],[Company]], 91)</f>
        <v>8.6999999999999994E-2</v>
      </c>
      <c r="W187" s="200" t="str" cm="1">
        <f t="array" ref="W187">Common_InputFunctions.Utility_DisplayArrayInTable(Fertiliser_SourceData.Fertiliser_Products_Data4(),FertiliserProducts[[#Headers],[Company]], 91)</f>
        <v>Calcium</v>
      </c>
      <c r="X187" s="200" cm="1">
        <f t="array" ref="X187">Common_InputFunctions.Utility_DisplayArrayInTable(Fertiliser_SourceData.Fertiliser_Products_Data4(),FertiliserProducts[[#Headers],[Company]], 91)</f>
        <v>4.3999999999999997E-2</v>
      </c>
      <c r="Y187" s="200" t="str" cm="1">
        <f t="array" ref="Y187">Common_InputFunctions.Utility_DisplayArrayInTable(Fertiliser_SourceData.Fertiliser_Products_Data4(),FertiliserProducts[[#Headers],[Company]], 91)</f>
        <v/>
      </c>
      <c r="Z187" s="200" t="str" cm="1">
        <f t="array" ref="Z187">Common_InputFunctions.Utility_DisplayArrayInTable(Fertiliser_SourceData.Fertiliser_Products_Data4(),FertiliserProducts[[#Headers],[Company]], 91)</f>
        <v/>
      </c>
      <c r="AA187" s="200" t="str" cm="1">
        <f t="array" ref="AA187">Common_InputFunctions.Utility_DisplayArrayInTable(Fertiliser_SourceData.Fertiliser_Products_Data4(),FertiliserProducts[[#Headers],[Company]], 91)</f>
        <v/>
      </c>
      <c r="AB187" s="200" t="str" cm="1">
        <f t="array" ref="AB187">Common_InputFunctions.Utility_DisplayArrayInTable(Fertiliser_SourceData.Fertiliser_Products_Data4(),FertiliserProducts[[#Headers],[Company]], 91)</f>
        <v/>
      </c>
      <c r="AC187" s="200" t="str" cm="1">
        <f t="array" ref="AC187">Common_InputFunctions.Utility_DisplayArrayInTable(Fertiliser_SourceData.Fertiliser_Products_Data4(),FertiliserProducts[[#Headers],[Company]], 91)</f>
        <v/>
      </c>
      <c r="AD187" s="200" t="str" cm="1">
        <f t="array" ref="AD187">Common_InputFunctions.Utility_DisplayArrayInTable(Fertiliser_SourceData.Fertiliser_Products_Data4(),FertiliserProducts[[#Headers],[Company]], 91)</f>
        <v/>
      </c>
      <c r="AE187" s="200" t="str" cm="1">
        <f t="array" ref="AE187">Common_InputFunctions.Utility_DisplayArrayInTable(Fertiliser_SourceData.Fertiliser_Products_Data4(),FertiliserProducts[[#Headers],[Company]], 91)</f>
        <v/>
      </c>
      <c r="AF187" s="200" t="str" cm="1">
        <f t="array" ref="AF187">Common_InputFunctions.Utility_DisplayArrayInTable(Fertiliser_SourceData.Fertiliser_Products_Data4(),FertiliserProducts[[#Headers],[Company]], 91)</f>
        <v/>
      </c>
      <c r="AG187" s="200" t="str" cm="1">
        <f t="array" ref="AG187">Common_InputFunctions.Utility_DisplayArrayInTable(Fertiliser_SourceData.Fertiliser_Products_Data4(),FertiliserProducts[[#Headers],[Company]], 91)</f>
        <v/>
      </c>
      <c r="AH187" s="200" t="str" cm="1">
        <f t="array" ref="AH187">Common_InputFunctions.Utility_DisplayArrayInTable(Fertiliser_SourceData.Fertiliser_Products_Data4(),FertiliserProducts[[#Headers],[Company]], 91)</f>
        <v/>
      </c>
    </row>
    <row r="188" spans="4:37" x14ac:dyDescent="0.25">
      <c r="D188" s="200" t="str" cm="1">
        <f t="array" ref="D188">Common_InputFunctions.Utility_DisplayArrayInTable(Fertiliser_SourceData.Fertiliser_Products_Data4(),FertiliserProducts[[#Headers],[Company]], 91)</f>
        <v>Pacific Fertiliser / Incitec Pivot Fertilisers</v>
      </c>
      <c r="E188" s="200" t="str" cm="1">
        <f t="array" ref="E188">Common_InputFunctions.Utility_DisplayArrayInTable(Fertiliser_SourceData.Fertiliser_Products_Data4(),FertiliserProducts[[#Headers],[Company]], 91)</f>
        <v>Cal-Gran 130</v>
      </c>
      <c r="F188" s="200" t="str" cm="1">
        <f t="array" ref="F188">Common_InputFunctions.Utility_DisplayArrayInTable(Fertiliser_SourceData.Fertiliser_Products_Data4(),FertiliserProducts[[#Headers],[Company]], 91)</f>
        <v>kg</v>
      </c>
      <c r="G188" s="200" cm="1">
        <f t="array" ref="G188">Common_InputFunctions.Utility_DisplayArrayInTable(Fertiliser_SourceData.Fertiliser_Products_Data4(),FertiliserProducts[[#Headers],[Company]], 91)</f>
        <v>1</v>
      </c>
      <c r="H188" s="200" t="str" cm="1">
        <f t="array" ref="H188">Common_InputFunctions.Utility_DisplayArrayInTable(Fertiliser_SourceData.Fertiliser_Products_Data4(),FertiliserProducts[[#Headers],[Company]], 91)</f>
        <v/>
      </c>
      <c r="I188" s="200" t="str" cm="1">
        <f t="array" ref="I188">Common_InputFunctions.Utility_DisplayArrayInTable(Fertiliser_SourceData.Fertiliser_Products_Data4(),FertiliserProducts[[#Headers],[Company]], 91)</f>
        <v/>
      </c>
      <c r="J188" s="200" t="str" cm="1">
        <f t="array" ref="J188">Common_InputFunctions.Utility_DisplayArrayInTable(Fertiliser_SourceData.Fertiliser_Products_Data4(),FertiliserProducts[[#Headers],[Company]], 91)</f>
        <v/>
      </c>
      <c r="K188" s="200" cm="1">
        <f t="array" ref="K188">Common_InputFunctions.Utility_DisplayArrayInTable(Fertiliser_SourceData.Fertiliser_Products_Data4(),FertiliserProducts[[#Headers],[Company]], 91)</f>
        <v>18.8</v>
      </c>
      <c r="L188" s="200" cm="1">
        <f t="array" ref="L188">Common_InputFunctions.Utility_DisplayArrayInTable(Fertiliser_SourceData.Fertiliser_Products_Data4(),FertiliserProducts[[#Headers],[Company]], 91)</f>
        <v>1</v>
      </c>
      <c r="M188" s="200" cm="1">
        <f t="array" ref="M188">Common_InputFunctions.Utility_DisplayArrayInTable(Fertiliser_SourceData.Fertiliser_Products_Data4(),FertiliserProducts[[#Headers],[Company]], 91)</f>
        <v>12.5</v>
      </c>
      <c r="N188" s="200" cm="1">
        <f t="array" ref="N188">Common_InputFunctions.Utility_DisplayArrayInTable(Fertiliser_SourceData.Fertiliser_Products_Data4(),FertiliserProducts[[#Headers],[Company]], 91)</f>
        <v>3.7</v>
      </c>
      <c r="O188" s="200" t="str" cm="1">
        <f t="array" ref="O188">Common_InputFunctions.Utility_DisplayArrayInTable(Fertiliser_SourceData.Fertiliser_Products_Data4(),FertiliserProducts[[#Headers],[Company]], 91)</f>
        <v>Nitrogen - Nitrate</v>
      </c>
      <c r="P188" s="200" cm="1">
        <f t="array" ref="P188">Common_InputFunctions.Utility_DisplayArrayInTable(Fertiliser_SourceData.Fertiliser_Products_Data4(),FertiliserProducts[[#Headers],[Company]], 91)</f>
        <v>5.8000000000000003E-2</v>
      </c>
      <c r="Q188" s="200" t="str" cm="1">
        <f t="array" ref="Q188">Common_InputFunctions.Utility_DisplayArrayInTable(Fertiliser_SourceData.Fertiliser_Products_Data4(),FertiliserProducts[[#Headers],[Company]], 91)</f>
        <v>Nitrogen - Ammoniacal</v>
      </c>
      <c r="R188" s="200" cm="1">
        <f t="array" ref="R188">Common_InputFunctions.Utility_DisplayArrayInTable(Fertiliser_SourceData.Fertiliser_Products_Data4(),FertiliserProducts[[#Headers],[Company]], 91)</f>
        <v>0.13</v>
      </c>
      <c r="S188" s="200" t="str" cm="1">
        <f t="array" ref="S188">Common_InputFunctions.Utility_DisplayArrayInTable(Fertiliser_SourceData.Fertiliser_Products_Data4(),FertiliserProducts[[#Headers],[Company]], 91)</f>
        <v>Phosphorus - Generic</v>
      </c>
      <c r="T188" s="200" cm="1">
        <f t="array" ref="T188">Common_InputFunctions.Utility_DisplayArrayInTable(Fertiliser_SourceData.Fertiliser_Products_Data4(),FertiliserProducts[[#Headers],[Company]], 91)</f>
        <v>0.01</v>
      </c>
      <c r="U188" s="200" t="str" cm="1">
        <f t="array" ref="U188">Common_InputFunctions.Utility_DisplayArrayInTable(Fertiliser_SourceData.Fertiliser_Products_Data4(),FertiliserProducts[[#Headers],[Company]], 91)</f>
        <v>Potassium - Generic</v>
      </c>
      <c r="V188" s="200" cm="1">
        <f t="array" ref="V188">Common_InputFunctions.Utility_DisplayArrayInTable(Fertiliser_SourceData.Fertiliser_Products_Data4(),FertiliserProducts[[#Headers],[Company]], 91)</f>
        <v>0.125</v>
      </c>
      <c r="W188" s="200" t="str" cm="1">
        <f t="array" ref="W188">Common_InputFunctions.Utility_DisplayArrayInTable(Fertiliser_SourceData.Fertiliser_Products_Data4(),FertiliserProducts[[#Headers],[Company]], 91)</f>
        <v>Sulfur - Generic</v>
      </c>
      <c r="X188" s="200" cm="1">
        <f t="array" ref="X188">Common_InputFunctions.Utility_DisplayArrayInTable(Fertiliser_SourceData.Fertiliser_Products_Data4(),FertiliserProducts[[#Headers],[Company]], 91)</f>
        <v>3.6999999999999998E-2</v>
      </c>
      <c r="Y188" s="200" t="str" cm="1">
        <f t="array" ref="Y188">Common_InputFunctions.Utility_DisplayArrayInTable(Fertiliser_SourceData.Fertiliser_Products_Data4(),FertiliserProducts[[#Headers],[Company]], 91)</f>
        <v>Calcium</v>
      </c>
      <c r="Z188" s="200" cm="1">
        <f t="array" ref="Z188">Common_InputFunctions.Utility_DisplayArrayInTable(Fertiliser_SourceData.Fertiliser_Products_Data4(),FertiliserProducts[[#Headers],[Company]], 91)</f>
        <v>4.3999999999999997E-2</v>
      </c>
      <c r="AA188" s="200" t="str" cm="1">
        <f t="array" ref="AA188">Common_InputFunctions.Utility_DisplayArrayInTable(Fertiliser_SourceData.Fertiliser_Products_Data4(),FertiliserProducts[[#Headers],[Company]], 91)</f>
        <v/>
      </c>
      <c r="AB188" s="200" t="str" cm="1">
        <f t="array" ref="AB188">Common_InputFunctions.Utility_DisplayArrayInTable(Fertiliser_SourceData.Fertiliser_Products_Data4(),FertiliserProducts[[#Headers],[Company]], 91)</f>
        <v/>
      </c>
      <c r="AC188" s="200" t="str" cm="1">
        <f t="array" ref="AC188">Common_InputFunctions.Utility_DisplayArrayInTable(Fertiliser_SourceData.Fertiliser_Products_Data4(),FertiliserProducts[[#Headers],[Company]], 91)</f>
        <v/>
      </c>
      <c r="AD188" s="200" t="str" cm="1">
        <f t="array" ref="AD188">Common_InputFunctions.Utility_DisplayArrayInTable(Fertiliser_SourceData.Fertiliser_Products_Data4(),FertiliserProducts[[#Headers],[Company]], 91)</f>
        <v/>
      </c>
      <c r="AE188" s="200" t="str" cm="1">
        <f t="array" ref="AE188">Common_InputFunctions.Utility_DisplayArrayInTable(Fertiliser_SourceData.Fertiliser_Products_Data4(),FertiliserProducts[[#Headers],[Company]], 91)</f>
        <v/>
      </c>
      <c r="AF188" s="200" t="str" cm="1">
        <f t="array" ref="AF188">Common_InputFunctions.Utility_DisplayArrayInTable(Fertiliser_SourceData.Fertiliser_Products_Data4(),FertiliserProducts[[#Headers],[Company]], 91)</f>
        <v/>
      </c>
      <c r="AG188" s="200" t="str" cm="1">
        <f t="array" ref="AG188">Common_InputFunctions.Utility_DisplayArrayInTable(Fertiliser_SourceData.Fertiliser_Products_Data4(),FertiliserProducts[[#Headers],[Company]], 91)</f>
        <v/>
      </c>
      <c r="AH188" s="200" t="str" cm="1">
        <f t="array" ref="AH188">Common_InputFunctions.Utility_DisplayArrayInTable(Fertiliser_SourceData.Fertiliser_Products_Data4(),FertiliserProducts[[#Headers],[Company]], 91)</f>
        <v/>
      </c>
    </row>
    <row r="189" spans="4:37" x14ac:dyDescent="0.25">
      <c r="D189" s="200" t="str" cm="1">
        <f t="array" ref="D189">Common_InputFunctions.Utility_DisplayArrayInTable(Fertiliser_SourceData.Fertiliser_Products_Data4(),FertiliserProducts[[#Headers],[Company]], 91)</f>
        <v>Pacific Fertiliser / Incitec Pivot Fertilisers</v>
      </c>
      <c r="E189" s="200" t="str" cm="1">
        <f t="array" ref="E189">Common_InputFunctions.Utility_DisplayArrayInTable(Fertiliser_SourceData.Fertiliser_Products_Data4(),FertiliserProducts[[#Headers],[Company]], 91)</f>
        <v>Cal-Gran 150</v>
      </c>
      <c r="F189" s="200" t="str" cm="1">
        <f t="array" ref="F189">Common_InputFunctions.Utility_DisplayArrayInTable(Fertiliser_SourceData.Fertiliser_Products_Data4(),FertiliserProducts[[#Headers],[Company]], 91)</f>
        <v>kg</v>
      </c>
      <c r="G189" s="200" cm="1">
        <f t="array" ref="G189">Common_InputFunctions.Utility_DisplayArrayInTable(Fertiliser_SourceData.Fertiliser_Products_Data4(),FertiliserProducts[[#Headers],[Company]], 91)</f>
        <v>1</v>
      </c>
      <c r="H189" s="200" t="str" cm="1">
        <f t="array" ref="H189">Common_InputFunctions.Utility_DisplayArrayInTable(Fertiliser_SourceData.Fertiliser_Products_Data4(),FertiliserProducts[[#Headers],[Company]], 91)</f>
        <v/>
      </c>
      <c r="I189" s="200" t="str" cm="1">
        <f t="array" ref="I189">Common_InputFunctions.Utility_DisplayArrayInTable(Fertiliser_SourceData.Fertiliser_Products_Data4(),FertiliserProducts[[#Headers],[Company]], 91)</f>
        <v/>
      </c>
      <c r="J189" s="200" t="str" cm="1">
        <f t="array" ref="J189">Common_InputFunctions.Utility_DisplayArrayInTable(Fertiliser_SourceData.Fertiliser_Products_Data4(),FertiliserProducts[[#Headers],[Company]], 91)</f>
        <v/>
      </c>
      <c r="K189" s="200" cm="1">
        <f t="array" ref="K189">Common_InputFunctions.Utility_DisplayArrayInTable(Fertiliser_SourceData.Fertiliser_Products_Data4(),FertiliserProducts[[#Headers],[Company]], 91)</f>
        <v>18.600000000000001</v>
      </c>
      <c r="L189" s="200" cm="1">
        <f t="array" ref="L189">Common_InputFunctions.Utility_DisplayArrayInTable(Fertiliser_SourceData.Fertiliser_Products_Data4(),FertiliserProducts[[#Headers],[Company]], 91)</f>
        <v>3</v>
      </c>
      <c r="M189" s="200" cm="1">
        <f t="array" ref="M189">Common_InputFunctions.Utility_DisplayArrayInTable(Fertiliser_SourceData.Fertiliser_Products_Data4(),FertiliserProducts[[#Headers],[Company]], 91)</f>
        <v>12.5</v>
      </c>
      <c r="N189" s="200" cm="1">
        <f t="array" ref="N189">Common_InputFunctions.Utility_DisplayArrayInTable(Fertiliser_SourceData.Fertiliser_Products_Data4(),FertiliserProducts[[#Headers],[Company]], 91)</f>
        <v>1.4</v>
      </c>
      <c r="O189" s="200" t="str" cm="1">
        <f t="array" ref="O189">Common_InputFunctions.Utility_DisplayArrayInTable(Fertiliser_SourceData.Fertiliser_Products_Data4(),FertiliserProducts[[#Headers],[Company]], 91)</f>
        <v>Nitrogen - Nitrate</v>
      </c>
      <c r="P189" s="200" cm="1">
        <f t="array" ref="P189">Common_InputFunctions.Utility_DisplayArrayInTable(Fertiliser_SourceData.Fertiliser_Products_Data4(),FertiliserProducts[[#Headers],[Company]], 91)</f>
        <v>5.8000000000000003E-2</v>
      </c>
      <c r="Q189" s="200" t="str" cm="1">
        <f t="array" ref="Q189">Common_InputFunctions.Utility_DisplayArrayInTable(Fertiliser_SourceData.Fertiliser_Products_Data4(),FertiliserProducts[[#Headers],[Company]], 91)</f>
        <v>Nitrogen - Ammoniacal</v>
      </c>
      <c r="R189" s="200" cm="1">
        <f t="array" ref="R189">Common_InputFunctions.Utility_DisplayArrayInTable(Fertiliser_SourceData.Fertiliser_Products_Data4(),FertiliserProducts[[#Headers],[Company]], 91)</f>
        <v>0.128</v>
      </c>
      <c r="S189" s="200" t="str" cm="1">
        <f t="array" ref="S189">Common_InputFunctions.Utility_DisplayArrayInTable(Fertiliser_SourceData.Fertiliser_Products_Data4(),FertiliserProducts[[#Headers],[Company]], 91)</f>
        <v>Phosphorus - Generic</v>
      </c>
      <c r="T189" s="200" cm="1">
        <f t="array" ref="T189">Common_InputFunctions.Utility_DisplayArrayInTable(Fertiliser_SourceData.Fertiliser_Products_Data4(),FertiliserProducts[[#Headers],[Company]], 91)</f>
        <v>0.03</v>
      </c>
      <c r="U189" s="200" t="str" cm="1">
        <f t="array" ref="U189">Common_InputFunctions.Utility_DisplayArrayInTable(Fertiliser_SourceData.Fertiliser_Products_Data4(),FertiliserProducts[[#Headers],[Company]], 91)</f>
        <v>Potassium - Generic</v>
      </c>
      <c r="V189" s="200" cm="1">
        <f t="array" ref="V189">Common_InputFunctions.Utility_DisplayArrayInTable(Fertiliser_SourceData.Fertiliser_Products_Data4(),FertiliserProducts[[#Headers],[Company]], 91)</f>
        <v>0.125</v>
      </c>
      <c r="W189" s="200" t="str" cm="1">
        <f t="array" ref="W189">Common_InputFunctions.Utility_DisplayArrayInTable(Fertiliser_SourceData.Fertiliser_Products_Data4(),FertiliserProducts[[#Headers],[Company]], 91)</f>
        <v>Sulfur - Generic</v>
      </c>
      <c r="X189" s="200" cm="1">
        <f t="array" ref="X189">Common_InputFunctions.Utility_DisplayArrayInTable(Fertiliser_SourceData.Fertiliser_Products_Data4(),FertiliserProducts[[#Headers],[Company]], 91)</f>
        <v>1.4E-2</v>
      </c>
      <c r="Y189" s="200" t="str" cm="1">
        <f t="array" ref="Y189">Common_InputFunctions.Utility_DisplayArrayInTable(Fertiliser_SourceData.Fertiliser_Products_Data4(),FertiliserProducts[[#Headers],[Company]], 91)</f>
        <v>Calcium</v>
      </c>
      <c r="Z189" s="200" cm="1">
        <f t="array" ref="Z189">Common_InputFunctions.Utility_DisplayArrayInTable(Fertiliser_SourceData.Fertiliser_Products_Data4(),FertiliserProducts[[#Headers],[Company]], 91)</f>
        <v>4.3999999999999997E-2</v>
      </c>
      <c r="AA189" s="200" t="str" cm="1">
        <f t="array" ref="AA189">Common_InputFunctions.Utility_DisplayArrayInTable(Fertiliser_SourceData.Fertiliser_Products_Data4(),FertiliserProducts[[#Headers],[Company]], 91)</f>
        <v/>
      </c>
      <c r="AB189" s="200" t="str" cm="1">
        <f t="array" ref="AB189">Common_InputFunctions.Utility_DisplayArrayInTable(Fertiliser_SourceData.Fertiliser_Products_Data4(),FertiliserProducts[[#Headers],[Company]], 91)</f>
        <v/>
      </c>
      <c r="AC189" s="200" t="str" cm="1">
        <f t="array" ref="AC189">Common_InputFunctions.Utility_DisplayArrayInTable(Fertiliser_SourceData.Fertiliser_Products_Data4(),FertiliserProducts[[#Headers],[Company]], 91)</f>
        <v/>
      </c>
      <c r="AD189" s="200" t="str" cm="1">
        <f t="array" ref="AD189">Common_InputFunctions.Utility_DisplayArrayInTable(Fertiliser_SourceData.Fertiliser_Products_Data4(),FertiliserProducts[[#Headers],[Company]], 91)</f>
        <v/>
      </c>
      <c r="AE189" s="200" t="str" cm="1">
        <f t="array" ref="AE189">Common_InputFunctions.Utility_DisplayArrayInTable(Fertiliser_SourceData.Fertiliser_Products_Data4(),FertiliserProducts[[#Headers],[Company]], 91)</f>
        <v/>
      </c>
      <c r="AF189" s="200" t="str" cm="1">
        <f t="array" ref="AF189">Common_InputFunctions.Utility_DisplayArrayInTable(Fertiliser_SourceData.Fertiliser_Products_Data4(),FertiliserProducts[[#Headers],[Company]], 91)</f>
        <v/>
      </c>
      <c r="AG189" s="200" t="str" cm="1">
        <f t="array" ref="AG189">Common_InputFunctions.Utility_DisplayArrayInTable(Fertiliser_SourceData.Fertiliser_Products_Data4(),FertiliserProducts[[#Headers],[Company]], 91)</f>
        <v/>
      </c>
      <c r="AH189" s="200" t="str" cm="1">
        <f t="array" ref="AH189">Common_InputFunctions.Utility_DisplayArrayInTable(Fertiliser_SourceData.Fertiliser_Products_Data4(),FertiliserProducts[[#Headers],[Company]], 91)</f>
        <v/>
      </c>
    </row>
    <row r="190" spans="4:37" x14ac:dyDescent="0.25">
      <c r="D190" s="200" t="str" cm="1">
        <f t="array" ref="D190">Common_InputFunctions.Utility_DisplayArrayInTable(Fertiliser_SourceData.Fertiliser_Products_Data4(),FertiliserProducts[[#Headers],[Company]], 91)</f>
        <v>Pacific Fertiliser / Incitec Pivot Fertilisers</v>
      </c>
      <c r="E190" s="200" t="str" cm="1">
        <f t="array" ref="E190">Common_InputFunctions.Utility_DisplayArrayInTable(Fertiliser_SourceData.Fertiliser_Products_Data4(),FertiliserProducts[[#Headers],[Company]], 91)</f>
        <v>Cal-Gran Extra K</v>
      </c>
      <c r="F190" s="200" t="str" cm="1">
        <f t="array" ref="F190">Common_InputFunctions.Utility_DisplayArrayInTable(Fertiliser_SourceData.Fertiliser_Products_Data4(),FertiliserProducts[[#Headers],[Company]], 91)</f>
        <v>kg</v>
      </c>
      <c r="G190" s="200" cm="1">
        <f t="array" ref="G190">Common_InputFunctions.Utility_DisplayArrayInTable(Fertiliser_SourceData.Fertiliser_Products_Data4(),FertiliserProducts[[#Headers],[Company]], 91)</f>
        <v>1</v>
      </c>
      <c r="H190" s="200" t="str" cm="1">
        <f t="array" ref="H190">Common_InputFunctions.Utility_DisplayArrayInTable(Fertiliser_SourceData.Fertiliser_Products_Data4(),FertiliserProducts[[#Headers],[Company]], 91)</f>
        <v/>
      </c>
      <c r="I190" s="200" t="str" cm="1">
        <f t="array" ref="I190">Common_InputFunctions.Utility_DisplayArrayInTable(Fertiliser_SourceData.Fertiliser_Products_Data4(),FertiliserProducts[[#Headers],[Company]], 91)</f>
        <v/>
      </c>
      <c r="J190" s="200" t="str" cm="1">
        <f t="array" ref="J190">Common_InputFunctions.Utility_DisplayArrayInTable(Fertiliser_SourceData.Fertiliser_Products_Data4(),FertiliserProducts[[#Headers],[Company]], 91)</f>
        <v/>
      </c>
      <c r="K190" s="200" cm="1">
        <f t="array" ref="K190">Common_InputFunctions.Utility_DisplayArrayInTable(Fertiliser_SourceData.Fertiliser_Products_Data4(),FertiliserProducts[[#Headers],[Company]], 91)</f>
        <v>15.8</v>
      </c>
      <c r="L190" s="200" t="str" cm="1">
        <f t="array" ref="L190">Common_InputFunctions.Utility_DisplayArrayInTable(Fertiliser_SourceData.Fertiliser_Products_Data4(),FertiliserProducts[[#Headers],[Company]], 91)</f>
        <v/>
      </c>
      <c r="M190" s="200" cm="1">
        <f t="array" ref="M190">Common_InputFunctions.Utility_DisplayArrayInTable(Fertiliser_SourceData.Fertiliser_Products_Data4(),FertiliserProducts[[#Headers],[Company]], 91)</f>
        <v>19</v>
      </c>
      <c r="N190" s="200" cm="1">
        <f t="array" ref="N190">Common_InputFunctions.Utility_DisplayArrayInTable(Fertiliser_SourceData.Fertiliser_Products_Data4(),FertiliserProducts[[#Headers],[Company]], 91)</f>
        <v>3.2</v>
      </c>
      <c r="O190" s="200" t="str" cm="1">
        <f t="array" ref="O190">Common_InputFunctions.Utility_DisplayArrayInTable(Fertiliser_SourceData.Fertiliser_Products_Data4(),FertiliserProducts[[#Headers],[Company]], 91)</f>
        <v>Nitrogen - Nitrate</v>
      </c>
      <c r="P190" s="200" cm="1">
        <f t="array" ref="P190">Common_InputFunctions.Utility_DisplayArrayInTable(Fertiliser_SourceData.Fertiliser_Products_Data4(),FertiliserProducts[[#Headers],[Company]], 91)</f>
        <v>4.9000000000000002E-2</v>
      </c>
      <c r="Q190" s="200" t="str" cm="1">
        <f t="array" ref="Q190">Common_InputFunctions.Utility_DisplayArrayInTable(Fertiliser_SourceData.Fertiliser_Products_Data4(),FertiliserProducts[[#Headers],[Company]], 91)</f>
        <v>Nitrogen - Ammoniacal</v>
      </c>
      <c r="R190" s="200" cm="1">
        <f t="array" ref="R190">Common_InputFunctions.Utility_DisplayArrayInTable(Fertiliser_SourceData.Fertiliser_Products_Data4(),FertiliserProducts[[#Headers],[Company]], 91)</f>
        <v>0.109</v>
      </c>
      <c r="S190" s="200" t="str" cm="1">
        <f t="array" ref="S190">Common_InputFunctions.Utility_DisplayArrayInTable(Fertiliser_SourceData.Fertiliser_Products_Data4(),FertiliserProducts[[#Headers],[Company]], 91)</f>
        <v>Potassium - Generic</v>
      </c>
      <c r="T190" s="200" cm="1">
        <f t="array" ref="T190">Common_InputFunctions.Utility_DisplayArrayInTable(Fertiliser_SourceData.Fertiliser_Products_Data4(),FertiliserProducts[[#Headers],[Company]], 91)</f>
        <v>0.19</v>
      </c>
      <c r="U190" s="200" t="str" cm="1">
        <f t="array" ref="U190">Common_InputFunctions.Utility_DisplayArrayInTable(Fertiliser_SourceData.Fertiliser_Products_Data4(),FertiliserProducts[[#Headers],[Company]], 91)</f>
        <v>Sulfur - Generic</v>
      </c>
      <c r="V190" s="200" cm="1">
        <f t="array" ref="V190">Common_InputFunctions.Utility_DisplayArrayInTable(Fertiliser_SourceData.Fertiliser_Products_Data4(),FertiliserProducts[[#Headers],[Company]], 91)</f>
        <v>3.2000000000000001E-2</v>
      </c>
      <c r="W190" s="200" t="str" cm="1">
        <f t="array" ref="W190">Common_InputFunctions.Utility_DisplayArrayInTable(Fertiliser_SourceData.Fertiliser_Products_Data4(),FertiliserProducts[[#Headers],[Company]], 91)</f>
        <v>Calcium</v>
      </c>
      <c r="X190" s="200" cm="1">
        <f t="array" ref="X190">Common_InputFunctions.Utility_DisplayArrayInTable(Fertiliser_SourceData.Fertiliser_Products_Data4(),FertiliserProducts[[#Headers],[Company]], 91)</f>
        <v>3.9E-2</v>
      </c>
      <c r="Y190" s="200" t="str" cm="1">
        <f t="array" ref="Y190">Common_InputFunctions.Utility_DisplayArrayInTable(Fertiliser_SourceData.Fertiliser_Products_Data4(),FertiliserProducts[[#Headers],[Company]], 91)</f>
        <v/>
      </c>
      <c r="Z190" s="200" t="str" cm="1">
        <f t="array" ref="Z190">Common_InputFunctions.Utility_DisplayArrayInTable(Fertiliser_SourceData.Fertiliser_Products_Data4(),FertiliserProducts[[#Headers],[Company]], 91)</f>
        <v/>
      </c>
      <c r="AA190" s="200" t="str" cm="1">
        <f t="array" ref="AA190">Common_InputFunctions.Utility_DisplayArrayInTable(Fertiliser_SourceData.Fertiliser_Products_Data4(),FertiliserProducts[[#Headers],[Company]], 91)</f>
        <v/>
      </c>
      <c r="AB190" s="200" t="str" cm="1">
        <f t="array" ref="AB190">Common_InputFunctions.Utility_DisplayArrayInTable(Fertiliser_SourceData.Fertiliser_Products_Data4(),FertiliserProducts[[#Headers],[Company]], 91)</f>
        <v/>
      </c>
      <c r="AC190" s="200" t="str" cm="1">
        <f t="array" ref="AC190">Common_InputFunctions.Utility_DisplayArrayInTable(Fertiliser_SourceData.Fertiliser_Products_Data4(),FertiliserProducts[[#Headers],[Company]], 91)</f>
        <v/>
      </c>
      <c r="AD190" s="200" t="str" cm="1">
        <f t="array" ref="AD190">Common_InputFunctions.Utility_DisplayArrayInTable(Fertiliser_SourceData.Fertiliser_Products_Data4(),FertiliserProducts[[#Headers],[Company]], 91)</f>
        <v/>
      </c>
      <c r="AE190" s="200" t="str" cm="1">
        <f t="array" ref="AE190">Common_InputFunctions.Utility_DisplayArrayInTable(Fertiliser_SourceData.Fertiliser_Products_Data4(),FertiliserProducts[[#Headers],[Company]], 91)</f>
        <v/>
      </c>
      <c r="AF190" s="200" t="str" cm="1">
        <f t="array" ref="AF190">Common_InputFunctions.Utility_DisplayArrayInTable(Fertiliser_SourceData.Fertiliser_Products_Data4(),FertiliserProducts[[#Headers],[Company]], 91)</f>
        <v/>
      </c>
      <c r="AG190" s="200" t="str" cm="1">
        <f t="array" ref="AG190">Common_InputFunctions.Utility_DisplayArrayInTable(Fertiliser_SourceData.Fertiliser_Products_Data4(),FertiliserProducts[[#Headers],[Company]], 91)</f>
        <v/>
      </c>
      <c r="AH190" s="200" t="str" cm="1">
        <f t="array" ref="AH190">Common_InputFunctions.Utility_DisplayArrayInTable(Fertiliser_SourceData.Fertiliser_Products_Data4(),FertiliserProducts[[#Headers],[Company]], 91)</f>
        <v/>
      </c>
    </row>
    <row r="191" spans="4:37" x14ac:dyDescent="0.25">
      <c r="D191" s="200" t="str" cm="1">
        <f t="array" ref="D191">Common_InputFunctions.Utility_DisplayArrayInTable(Fertiliser_SourceData.Fertiliser_Products_Data4(),FertiliserProducts[[#Headers],[Company]], 91)</f>
        <v>Incitec Pivot Fertilisers</v>
      </c>
      <c r="E191" s="200" t="str" cm="1">
        <f t="array" ref="E191">Common_InputFunctions.Utility_DisplayArrayInTable(Fertiliser_SourceData.Fertiliser_Products_Data4(),FertiliserProducts[[#Headers],[Company]], 91)</f>
        <v>Dairy Pro</v>
      </c>
      <c r="F191" s="200" t="str" cm="1">
        <f t="array" ref="F191">Common_InputFunctions.Utility_DisplayArrayInTable(Fertiliser_SourceData.Fertiliser_Products_Data4(),FertiliserProducts[[#Headers],[Company]], 91)</f>
        <v>kg</v>
      </c>
      <c r="G191" s="200" cm="1">
        <f t="array" ref="G191">Common_InputFunctions.Utility_DisplayArrayInTable(Fertiliser_SourceData.Fertiliser_Products_Data4(),FertiliserProducts[[#Headers],[Company]], 91)</f>
        <v>1</v>
      </c>
      <c r="H191" s="200" t="str" cm="1">
        <f t="array" ref="H191">Common_InputFunctions.Utility_DisplayArrayInTable(Fertiliser_SourceData.Fertiliser_Products_Data4(),FertiliserProducts[[#Headers],[Company]], 91)</f>
        <v/>
      </c>
      <c r="I191" s="200" t="str" cm="1">
        <f t="array" ref="I191">Common_InputFunctions.Utility_DisplayArrayInTable(Fertiliser_SourceData.Fertiliser_Products_Data4(),FertiliserProducts[[#Headers],[Company]], 91)</f>
        <v/>
      </c>
      <c r="J191" s="200" t="str" cm="1">
        <f t="array" ref="J191">Common_InputFunctions.Utility_DisplayArrayInTable(Fertiliser_SourceData.Fertiliser_Products_Data4(),FertiliserProducts[[#Headers],[Company]], 91)</f>
        <v/>
      </c>
      <c r="K191" s="200" cm="1">
        <f t="array" ref="K191">Common_InputFunctions.Utility_DisplayArrayInTable(Fertiliser_SourceData.Fertiliser_Products_Data4(),FertiliserProducts[[#Headers],[Company]], 91)</f>
        <v>25.9</v>
      </c>
      <c r="L191" s="200" cm="1">
        <f t="array" ref="L191">Common_InputFunctions.Utility_DisplayArrayInTable(Fertiliser_SourceData.Fertiliser_Products_Data4(),FertiliserProducts[[#Headers],[Company]], 91)</f>
        <v>3.9</v>
      </c>
      <c r="M191" s="200" cm="1">
        <f t="array" ref="M191">Common_InputFunctions.Utility_DisplayArrayInTable(Fertiliser_SourceData.Fertiliser_Products_Data4(),FertiliserProducts[[#Headers],[Company]], 91)</f>
        <v>15.9</v>
      </c>
      <c r="N191" s="200" cm="1">
        <f t="array" ref="N191">Common_InputFunctions.Utility_DisplayArrayInTable(Fertiliser_SourceData.Fertiliser_Products_Data4(),FertiliserProducts[[#Headers],[Company]], 91)</f>
        <v>0.3</v>
      </c>
      <c r="O191" s="200" t="str" cm="1">
        <f t="array" ref="O191">Common_InputFunctions.Utility_DisplayArrayInTable(Fertiliser_SourceData.Fertiliser_Products_Data4(),FertiliserProducts[[#Headers],[Company]], 91)</f>
        <v>Nitrogen - Generic</v>
      </c>
      <c r="P191" s="200" cm="1">
        <f t="array" ref="P191">Common_InputFunctions.Utility_DisplayArrayInTable(Fertiliser_SourceData.Fertiliser_Products_Data4(),FertiliserProducts[[#Headers],[Company]], 91)</f>
        <v>0.25900000000000001</v>
      </c>
      <c r="Q191" s="200" t="str" cm="1">
        <f t="array" ref="Q191">Common_InputFunctions.Utility_DisplayArrayInTable(Fertiliser_SourceData.Fertiliser_Products_Data4(),FertiliserProducts[[#Headers],[Company]], 91)</f>
        <v>Phosphorus - Generic</v>
      </c>
      <c r="R191" s="200" cm="1">
        <f t="array" ref="R191">Common_InputFunctions.Utility_DisplayArrayInTable(Fertiliser_SourceData.Fertiliser_Products_Data4(),FertiliserProducts[[#Headers],[Company]], 91)</f>
        <v>3.9E-2</v>
      </c>
      <c r="S191" s="200" t="str" cm="1">
        <f t="array" ref="S191">Common_InputFunctions.Utility_DisplayArrayInTable(Fertiliser_SourceData.Fertiliser_Products_Data4(),FertiliserProducts[[#Headers],[Company]], 91)</f>
        <v>Potassium - Generic</v>
      </c>
      <c r="T191" s="200" cm="1">
        <f t="array" ref="T191">Common_InputFunctions.Utility_DisplayArrayInTable(Fertiliser_SourceData.Fertiliser_Products_Data4(),FertiliserProducts[[#Headers],[Company]], 91)</f>
        <v>0.159</v>
      </c>
      <c r="U191" s="200" t="str" cm="1">
        <f t="array" ref="U191">Common_InputFunctions.Utility_DisplayArrayInTable(Fertiliser_SourceData.Fertiliser_Products_Data4(),FertiliserProducts[[#Headers],[Company]], 91)</f>
        <v>Sulfur - Generic</v>
      </c>
      <c r="V191" s="200" cm="1">
        <f t="array" ref="V191">Common_InputFunctions.Utility_DisplayArrayInTable(Fertiliser_SourceData.Fertiliser_Products_Data4(),FertiliserProducts[[#Headers],[Company]], 91)</f>
        <v>3.0000000000000001E-3</v>
      </c>
      <c r="W191" s="200" t="str" cm="1">
        <f t="array" ref="W191">Common_InputFunctions.Utility_DisplayArrayInTable(Fertiliser_SourceData.Fertiliser_Products_Data4(),FertiliserProducts[[#Headers],[Company]], 91)</f>
        <v/>
      </c>
      <c r="X191" s="200" t="str" cm="1">
        <f t="array" ref="X191">Common_InputFunctions.Utility_DisplayArrayInTable(Fertiliser_SourceData.Fertiliser_Products_Data4(),FertiliserProducts[[#Headers],[Company]], 91)</f>
        <v/>
      </c>
      <c r="Y191" s="200" t="str" cm="1">
        <f t="array" ref="Y191">Common_InputFunctions.Utility_DisplayArrayInTable(Fertiliser_SourceData.Fertiliser_Products_Data4(),FertiliserProducts[[#Headers],[Company]], 91)</f>
        <v/>
      </c>
      <c r="Z191" s="200" t="str" cm="1">
        <f t="array" ref="Z191">Common_InputFunctions.Utility_DisplayArrayInTable(Fertiliser_SourceData.Fertiliser_Products_Data4(),FertiliserProducts[[#Headers],[Company]], 91)</f>
        <v/>
      </c>
      <c r="AA191" s="200" t="str" cm="1">
        <f t="array" ref="AA191">Common_InputFunctions.Utility_DisplayArrayInTable(Fertiliser_SourceData.Fertiliser_Products_Data4(),FertiliserProducts[[#Headers],[Company]], 91)</f>
        <v/>
      </c>
      <c r="AB191" s="200" t="str" cm="1">
        <f t="array" ref="AB191">Common_InputFunctions.Utility_DisplayArrayInTable(Fertiliser_SourceData.Fertiliser_Products_Data4(),FertiliserProducts[[#Headers],[Company]], 91)</f>
        <v/>
      </c>
      <c r="AC191" s="200" t="str" cm="1">
        <f t="array" ref="AC191">Common_InputFunctions.Utility_DisplayArrayInTable(Fertiliser_SourceData.Fertiliser_Products_Data4(),FertiliserProducts[[#Headers],[Company]], 91)</f>
        <v/>
      </c>
      <c r="AD191" s="200" t="str" cm="1">
        <f t="array" ref="AD191">Common_InputFunctions.Utility_DisplayArrayInTable(Fertiliser_SourceData.Fertiliser_Products_Data4(),FertiliserProducts[[#Headers],[Company]], 91)</f>
        <v/>
      </c>
      <c r="AE191" s="200" t="str" cm="1">
        <f t="array" ref="AE191">Common_InputFunctions.Utility_DisplayArrayInTable(Fertiliser_SourceData.Fertiliser_Products_Data4(),FertiliserProducts[[#Headers],[Company]], 91)</f>
        <v/>
      </c>
      <c r="AF191" s="200" t="str" cm="1">
        <f t="array" ref="AF191">Common_InputFunctions.Utility_DisplayArrayInTable(Fertiliser_SourceData.Fertiliser_Products_Data4(),FertiliserProducts[[#Headers],[Company]], 91)</f>
        <v/>
      </c>
      <c r="AG191" s="200" t="str" cm="1">
        <f t="array" ref="AG191">Common_InputFunctions.Utility_DisplayArrayInTable(Fertiliser_SourceData.Fertiliser_Products_Data4(),FertiliserProducts[[#Headers],[Company]], 91)</f>
        <v/>
      </c>
      <c r="AH191" s="200" t="str" cm="1">
        <f t="array" ref="AH191">Common_InputFunctions.Utility_DisplayArrayInTable(Fertiliser_SourceData.Fertiliser_Products_Data4(),FertiliserProducts[[#Headers],[Company]], 91)</f>
        <v/>
      </c>
    </row>
    <row r="192" spans="4:37" x14ac:dyDescent="0.25">
      <c r="D192" s="200" t="str" cm="1">
        <f t="array" ref="D192">Common_InputFunctions.Utility_DisplayArrayInTable(Fertiliser_SourceData.Fertiliser_Products_Data4(),FertiliserProducts[[#Headers],[Company]], 91)</f>
        <v>Yara Australia</v>
      </c>
      <c r="E192" s="200" t="str" cm="1">
        <f t="array" ref="E192">Common_InputFunctions.Utility_DisplayArrayInTable(Fertiliser_SourceData.Fertiliser_Products_Data4(),FertiliserProducts[[#Headers],[Company]], 91)</f>
        <v>YaraMila ACTYVA S</v>
      </c>
      <c r="F192" s="200" t="str" cm="1">
        <f t="array" ref="F192">Common_InputFunctions.Utility_DisplayArrayInTable(Fertiliser_SourceData.Fertiliser_Products_Data4(),FertiliserProducts[[#Headers],[Company]], 91)</f>
        <v>kg</v>
      </c>
      <c r="G192" s="200" cm="1">
        <f t="array" ref="G192">Common_InputFunctions.Utility_DisplayArrayInTable(Fertiliser_SourceData.Fertiliser_Products_Data4(),FertiliserProducts[[#Headers],[Company]], 91)</f>
        <v>1</v>
      </c>
      <c r="H192" s="200" t="str" cm="1">
        <f t="array" ref="H192">Common_InputFunctions.Utility_DisplayArrayInTable(Fertiliser_SourceData.Fertiliser_Products_Data4(),FertiliserProducts[[#Headers],[Company]], 91)</f>
        <v/>
      </c>
      <c r="I192" s="200" t="str" cm="1">
        <f t="array" ref="I192">Common_InputFunctions.Utility_DisplayArrayInTable(Fertiliser_SourceData.Fertiliser_Products_Data4(),FertiliserProducts[[#Headers],[Company]], 91)</f>
        <v/>
      </c>
      <c r="J192" s="200" t="str" cm="1">
        <f t="array" ref="J192">Common_InputFunctions.Utility_DisplayArrayInTable(Fertiliser_SourceData.Fertiliser_Products_Data4(),FertiliserProducts[[#Headers],[Company]], 91)</f>
        <v/>
      </c>
      <c r="K192" s="200" cm="1">
        <f t="array" ref="K192">Common_InputFunctions.Utility_DisplayArrayInTable(Fertiliser_SourceData.Fertiliser_Products_Data4(),FertiliserProducts[[#Headers],[Company]], 91)</f>
        <v>15.6</v>
      </c>
      <c r="L192" s="200" cm="1">
        <f t="array" ref="L192">Common_InputFunctions.Utility_DisplayArrayInTable(Fertiliser_SourceData.Fertiliser_Products_Data4(),FertiliserProducts[[#Headers],[Company]], 91)</f>
        <v>6.37</v>
      </c>
      <c r="M192" s="200" cm="1">
        <f t="array" ref="M192">Common_InputFunctions.Utility_DisplayArrayInTable(Fertiliser_SourceData.Fertiliser_Products_Data4(),FertiliserProducts[[#Headers],[Company]], 91)</f>
        <v>12.45</v>
      </c>
      <c r="N192" s="200" cm="1">
        <f t="array" ref="N192">Common_InputFunctions.Utility_DisplayArrayInTable(Fertiliser_SourceData.Fertiliser_Products_Data4(),FertiliserProducts[[#Headers],[Company]], 91)</f>
        <v>2.6</v>
      </c>
      <c r="O192" s="200" t="str" cm="1">
        <f t="array" ref="O192">Common_InputFunctions.Utility_DisplayArrayInTable(Fertiliser_SourceData.Fertiliser_Products_Data4(),FertiliserProducts[[#Headers],[Company]], 91)</f>
        <v>Nitrogen - Nitrate</v>
      </c>
      <c r="P192" s="200" cm="1">
        <f t="array" ref="P192">Common_InputFunctions.Utility_DisplayArrayInTable(Fertiliser_SourceData.Fertiliser_Products_Data4(),FertiliserProducts[[#Headers],[Company]], 91)</f>
        <v>5.8000000000000003E-2</v>
      </c>
      <c r="Q192" s="200" t="str" cm="1">
        <f t="array" ref="Q192">Common_InputFunctions.Utility_DisplayArrayInTable(Fertiliser_SourceData.Fertiliser_Products_Data4(),FertiliserProducts[[#Headers],[Company]], 91)</f>
        <v>Nitrogen - Ammoniacal</v>
      </c>
      <c r="R192" s="200" cm="1">
        <f t="array" ref="R192">Common_InputFunctions.Utility_DisplayArrayInTable(Fertiliser_SourceData.Fertiliser_Products_Data4(),FertiliserProducts[[#Headers],[Company]], 91)</f>
        <v>9.8000000000000004E-2</v>
      </c>
      <c r="S192" s="200" t="str" cm="1">
        <f t="array" ref="S192">Common_InputFunctions.Utility_DisplayArrayInTable(Fertiliser_SourceData.Fertiliser_Products_Data4(),FertiliserProducts[[#Headers],[Company]], 91)</f>
        <v>Phosphorus - Generic</v>
      </c>
      <c r="T192" s="200" cm="1">
        <f t="array" ref="T192">Common_InputFunctions.Utility_DisplayArrayInTable(Fertiliser_SourceData.Fertiliser_Products_Data4(),FertiliserProducts[[#Headers],[Company]], 91)</f>
        <v>6.3714000000000007E-2</v>
      </c>
      <c r="U192" s="200" t="str" cm="1">
        <f t="array" ref="U192">Common_InputFunctions.Utility_DisplayArrayInTable(Fertiliser_SourceData.Fertiliser_Products_Data4(),FertiliserProducts[[#Headers],[Company]], 91)</f>
        <v>Potassium - Generic</v>
      </c>
      <c r="V192" s="200" cm="1">
        <f t="array" ref="V192">Common_InputFunctions.Utility_DisplayArrayInTable(Fertiliser_SourceData.Fertiliser_Products_Data4(),FertiliserProducts[[#Headers],[Company]], 91)</f>
        <v>0.124515</v>
      </c>
      <c r="W192" s="200" t="str" cm="1">
        <f t="array" ref="W192">Common_InputFunctions.Utility_DisplayArrayInTable(Fertiliser_SourceData.Fertiliser_Products_Data4(),FertiliserProducts[[#Headers],[Company]], 91)</f>
        <v>Sulfur - Generic</v>
      </c>
      <c r="X192" s="200" cm="1">
        <f t="array" ref="X192">Common_InputFunctions.Utility_DisplayArrayInTable(Fertiliser_SourceData.Fertiliser_Products_Data4(),FertiliserProducts[[#Headers],[Company]], 91)</f>
        <v>2.5999999999999999E-2</v>
      </c>
      <c r="Y192" s="200" t="str" cm="1">
        <f t="array" ref="Y192">Common_InputFunctions.Utility_DisplayArrayInTable(Fertiliser_SourceData.Fertiliser_Products_Data4(),FertiliserProducts[[#Headers],[Company]], 91)</f>
        <v/>
      </c>
      <c r="Z192" s="200" t="str" cm="1">
        <f t="array" ref="Z192">Common_InputFunctions.Utility_DisplayArrayInTable(Fertiliser_SourceData.Fertiliser_Products_Data4(),FertiliserProducts[[#Headers],[Company]], 91)</f>
        <v/>
      </c>
      <c r="AA192" s="200" t="str" cm="1">
        <f t="array" ref="AA192">Common_InputFunctions.Utility_DisplayArrayInTable(Fertiliser_SourceData.Fertiliser_Products_Data4(),FertiliserProducts[[#Headers],[Company]], 91)</f>
        <v/>
      </c>
      <c r="AB192" s="200" t="str" cm="1">
        <f t="array" ref="AB192">Common_InputFunctions.Utility_DisplayArrayInTable(Fertiliser_SourceData.Fertiliser_Products_Data4(),FertiliserProducts[[#Headers],[Company]], 91)</f>
        <v/>
      </c>
      <c r="AC192" s="200" t="str" cm="1">
        <f t="array" ref="AC192">Common_InputFunctions.Utility_DisplayArrayInTable(Fertiliser_SourceData.Fertiliser_Products_Data4(),FertiliserProducts[[#Headers],[Company]], 91)</f>
        <v/>
      </c>
      <c r="AD192" s="200" t="str" cm="1">
        <f t="array" ref="AD192">Common_InputFunctions.Utility_DisplayArrayInTable(Fertiliser_SourceData.Fertiliser_Products_Data4(),FertiliserProducts[[#Headers],[Company]], 91)</f>
        <v/>
      </c>
      <c r="AE192" s="200" t="str" cm="1">
        <f t="array" ref="AE192">Common_InputFunctions.Utility_DisplayArrayInTable(Fertiliser_SourceData.Fertiliser_Products_Data4(),FertiliserProducts[[#Headers],[Company]], 91)</f>
        <v/>
      </c>
      <c r="AF192" s="200" t="str" cm="1">
        <f t="array" ref="AF192">Common_InputFunctions.Utility_DisplayArrayInTable(Fertiliser_SourceData.Fertiliser_Products_Data4(),FertiliserProducts[[#Headers],[Company]], 91)</f>
        <v/>
      </c>
      <c r="AG192" s="200" t="str" cm="1">
        <f t="array" ref="AG192">Common_InputFunctions.Utility_DisplayArrayInTable(Fertiliser_SourceData.Fertiliser_Products_Data4(),FertiliserProducts[[#Headers],[Company]], 91)</f>
        <v/>
      </c>
      <c r="AH192" s="200" t="str" cm="1">
        <f t="array" ref="AH192">Common_InputFunctions.Utility_DisplayArrayInTable(Fertiliser_SourceData.Fertiliser_Products_Data4(),FertiliserProducts[[#Headers],[Company]], 91)</f>
        <v/>
      </c>
    </row>
    <row r="193" spans="4:34" x14ac:dyDescent="0.25">
      <c r="D193" s="200" t="str" cm="1">
        <f t="array" ref="D193">Common_InputFunctions.Utility_DisplayArrayInTable(Fertiliser_SourceData.Fertiliser_Products_Data4(),FertiliserProducts[[#Headers],[Company]], 91)</f>
        <v>CSBP</v>
      </c>
      <c r="E193" s="200" t="str" cm="1">
        <f t="array" ref="E193">Common_InputFunctions.Utility_DisplayArrayInTable(Fertiliser_SourceData.Fertiliser_Products_Data4(),FertiliserProducts[[#Headers],[Company]], 91)</f>
        <v>Agflow Extra</v>
      </c>
      <c r="F193" s="200" t="str" cm="1">
        <f t="array" ref="F193">Common_InputFunctions.Utility_DisplayArrayInTable(Fertiliser_SourceData.Fertiliser_Products_Data4(),FertiliserProducts[[#Headers],[Company]], 91)</f>
        <v>kg</v>
      </c>
      <c r="G193" s="200" cm="1">
        <f t="array" ref="G193">Common_InputFunctions.Utility_DisplayArrayInTable(Fertiliser_SourceData.Fertiliser_Products_Data4(),FertiliserProducts[[#Headers],[Company]], 91)</f>
        <v>1</v>
      </c>
      <c r="H193" s="200" t="str" cm="1">
        <f t="array" ref="H193">Common_InputFunctions.Utility_DisplayArrayInTable(Fertiliser_SourceData.Fertiliser_Products_Data4(),FertiliserProducts[[#Headers],[Company]], 91)</f>
        <v/>
      </c>
      <c r="I193" s="200" t="str" cm="1">
        <f t="array" ref="I193">Common_InputFunctions.Utility_DisplayArrayInTable(Fertiliser_SourceData.Fertiliser_Products_Data4(),FertiliserProducts[[#Headers],[Company]], 91)</f>
        <v/>
      </c>
      <c r="J193" s="200" t="str" cm="1">
        <f t="array" ref="J193">Common_InputFunctions.Utility_DisplayArrayInTable(Fertiliser_SourceData.Fertiliser_Products_Data4(),FertiliserProducts[[#Headers],[Company]], 91)</f>
        <v/>
      </c>
      <c r="K193" s="200" cm="1">
        <f t="array" ref="K193">Common_InputFunctions.Utility_DisplayArrayInTable(Fertiliser_SourceData.Fertiliser_Products_Data4(),FertiliserProducts[[#Headers],[Company]], 91)</f>
        <v>11.15</v>
      </c>
      <c r="L193" s="200" cm="1">
        <f t="array" ref="L193">Common_InputFunctions.Utility_DisplayArrayInTable(Fertiliser_SourceData.Fertiliser_Products_Data4(),FertiliserProducts[[#Headers],[Company]], 91)</f>
        <v>17.52</v>
      </c>
      <c r="M193" s="200" t="str" cm="1">
        <f t="array" ref="M193">Common_InputFunctions.Utility_DisplayArrayInTable(Fertiliser_SourceData.Fertiliser_Products_Data4(),FertiliserProducts[[#Headers],[Company]], 91)</f>
        <v/>
      </c>
      <c r="N193" s="200" cm="1">
        <f t="array" ref="N193">Common_InputFunctions.Utility_DisplayArrayInTable(Fertiliser_SourceData.Fertiliser_Products_Data4(),FertiliserProducts[[#Headers],[Company]], 91)</f>
        <v>3.6</v>
      </c>
      <c r="O193" s="200" t="str" cm="1">
        <f t="array" ref="O193">Common_InputFunctions.Utility_DisplayArrayInTable(Fertiliser_SourceData.Fertiliser_Products_Data4(),FertiliserProducts[[#Headers],[Company]], 91)</f>
        <v>Monoammonium phosphate (MAP)</v>
      </c>
      <c r="P193" s="200" cm="1">
        <f t="array" ref="P193">Common_InputFunctions.Utility_DisplayArrayInTable(Fertiliser_SourceData.Fertiliser_Products_Data4(),FertiliserProducts[[#Headers],[Company]], 91)</f>
        <v>0.8</v>
      </c>
      <c r="Q193" s="200" t="str" cm="1">
        <f t="array" ref="Q193">Common_InputFunctions.Utility_DisplayArrayInTable(Fertiliser_SourceData.Fertiliser_Products_Data4(),FertiliserProducts[[#Headers],[Company]], 91)</f>
        <v>Sulphate of ammonia (SOA)</v>
      </c>
      <c r="R193" s="200" cm="1">
        <f t="array" ref="R193">Common_InputFunctions.Utility_DisplayArrayInTable(Fertiliser_SourceData.Fertiliser_Products_Data4(),FertiliserProducts[[#Headers],[Company]], 91)</f>
        <v>0.15</v>
      </c>
      <c r="S193" s="200" t="str" cm="1">
        <f t="array" ref="S193">Common_InputFunctions.Utility_DisplayArrayInTable(Fertiliser_SourceData.Fertiliser_Products_Data4(),FertiliserProducts[[#Headers],[Company]], 91)</f>
        <v>Copper</v>
      </c>
      <c r="T193" s="200" t="str" cm="1">
        <f t="array" ref="T193">Common_InputFunctions.Utility_DisplayArrayInTable(Fertiliser_SourceData.Fertiliser_Products_Data4(),FertiliserProducts[[#Headers],[Company]], 91)</f>
        <v>No data</v>
      </c>
      <c r="U193" s="200" t="str" cm="1">
        <f t="array" ref="U193">Common_InputFunctions.Utility_DisplayArrayInTable(Fertiliser_SourceData.Fertiliser_Products_Data4(),FertiliserProducts[[#Headers],[Company]], 91)</f>
        <v>Molybdenum</v>
      </c>
      <c r="V193" s="200" t="str" cm="1">
        <f t="array" ref="V193">Common_InputFunctions.Utility_DisplayArrayInTable(Fertiliser_SourceData.Fertiliser_Products_Data4(),FertiliserProducts[[#Headers],[Company]], 91)</f>
        <v>No data</v>
      </c>
      <c r="W193" s="200" t="str" cm="1">
        <f t="array" ref="W193">Common_InputFunctions.Utility_DisplayArrayInTable(Fertiliser_SourceData.Fertiliser_Products_Data4(),FertiliserProducts[[#Headers],[Company]], 91)</f>
        <v>Zinc</v>
      </c>
      <c r="X193" s="200" t="str" cm="1">
        <f t="array" ref="X193">Common_InputFunctions.Utility_DisplayArrayInTable(Fertiliser_SourceData.Fertiliser_Products_Data4(),FertiliserProducts[[#Headers],[Company]], 91)</f>
        <v>No data</v>
      </c>
      <c r="Y193" s="200" t="str" cm="1">
        <f t="array" ref="Y193">Common_InputFunctions.Utility_DisplayArrayInTable(Fertiliser_SourceData.Fertiliser_Products_Data4(),FertiliserProducts[[#Headers],[Company]], 91)</f>
        <v/>
      </c>
      <c r="Z193" s="200" t="str" cm="1">
        <f t="array" ref="Z193">Common_InputFunctions.Utility_DisplayArrayInTable(Fertiliser_SourceData.Fertiliser_Products_Data4(),FertiliserProducts[[#Headers],[Company]], 91)</f>
        <v/>
      </c>
      <c r="AA193" s="200" t="str" cm="1">
        <f t="array" ref="AA193">Common_InputFunctions.Utility_DisplayArrayInTable(Fertiliser_SourceData.Fertiliser_Products_Data4(),FertiliserProducts[[#Headers],[Company]], 91)</f>
        <v/>
      </c>
      <c r="AB193" s="200" t="str" cm="1">
        <f t="array" ref="AB193">Common_InputFunctions.Utility_DisplayArrayInTable(Fertiliser_SourceData.Fertiliser_Products_Data4(),FertiliserProducts[[#Headers],[Company]], 91)</f>
        <v/>
      </c>
      <c r="AC193" s="200" t="str" cm="1">
        <f t="array" ref="AC193">Common_InputFunctions.Utility_DisplayArrayInTable(Fertiliser_SourceData.Fertiliser_Products_Data4(),FertiliserProducts[[#Headers],[Company]], 91)</f>
        <v/>
      </c>
      <c r="AD193" s="200" t="str" cm="1">
        <f t="array" ref="AD193">Common_InputFunctions.Utility_DisplayArrayInTable(Fertiliser_SourceData.Fertiliser_Products_Data4(),FertiliserProducts[[#Headers],[Company]], 91)</f>
        <v/>
      </c>
      <c r="AE193" s="200" t="str" cm="1">
        <f t="array" ref="AE193">Common_InputFunctions.Utility_DisplayArrayInTable(Fertiliser_SourceData.Fertiliser_Products_Data4(),FertiliserProducts[[#Headers],[Company]], 91)</f>
        <v/>
      </c>
      <c r="AF193" s="200" t="str" cm="1">
        <f t="array" ref="AF193">Common_InputFunctions.Utility_DisplayArrayInTable(Fertiliser_SourceData.Fertiliser_Products_Data4(),FertiliserProducts[[#Headers],[Company]], 91)</f>
        <v/>
      </c>
      <c r="AG193" s="200" t="str" cm="1">
        <f t="array" ref="AG193">Common_InputFunctions.Utility_DisplayArrayInTable(Fertiliser_SourceData.Fertiliser_Products_Data4(),FertiliserProducts[[#Headers],[Company]], 91)</f>
        <v/>
      </c>
      <c r="AH193" s="200" t="str" cm="1">
        <f t="array" ref="AH193">Common_InputFunctions.Utility_DisplayArrayInTable(Fertiliser_SourceData.Fertiliser_Products_Data4(),FertiliserProducts[[#Headers],[Company]], 91)</f>
        <v/>
      </c>
    </row>
    <row r="194" spans="4:34" x14ac:dyDescent="0.25">
      <c r="D194" s="200" t="str" cm="1">
        <f t="array" ref="D194">Common_InputFunctions.Utility_DisplayArrayInTable(Fertiliser_SourceData.Fertiliser_Products_Data4(),FertiliserProducts[[#Headers],[Company]], 91)</f>
        <v>CSBP</v>
      </c>
      <c r="E194" s="200" t="str" cm="1">
        <f t="array" ref="E194">Common_InputFunctions.Utility_DisplayArrayInTable(Fertiliser_SourceData.Fertiliser_Products_Data4(),FertiliserProducts[[#Headers],[Company]], 91)</f>
        <v>Super &amp; Potash 3:1</v>
      </c>
      <c r="F194" s="200" t="str" cm="1">
        <f t="array" ref="F194">Common_InputFunctions.Utility_DisplayArrayInTable(Fertiliser_SourceData.Fertiliser_Products_Data4(),FertiliserProducts[[#Headers],[Company]], 91)</f>
        <v>kg</v>
      </c>
      <c r="G194" s="200" cm="1">
        <f t="array" ref="G194">Common_InputFunctions.Utility_DisplayArrayInTable(Fertiliser_SourceData.Fertiliser_Products_Data4(),FertiliserProducts[[#Headers],[Company]], 91)</f>
        <v>1</v>
      </c>
      <c r="H194" s="200" t="str" cm="1">
        <f t="array" ref="H194">Common_InputFunctions.Utility_DisplayArrayInTable(Fertiliser_SourceData.Fertiliser_Products_Data4(),FertiliserProducts[[#Headers],[Company]], 91)</f>
        <v/>
      </c>
      <c r="I194" s="200" t="str" cm="1">
        <f t="array" ref="I194">Common_InputFunctions.Utility_DisplayArrayInTable(Fertiliser_SourceData.Fertiliser_Products_Data4(),FertiliserProducts[[#Headers],[Company]], 91)</f>
        <v/>
      </c>
      <c r="J194" s="200" t="str" cm="1">
        <f t="array" ref="J194">Common_InputFunctions.Utility_DisplayArrayInTable(Fertiliser_SourceData.Fertiliser_Products_Data4(),FertiliserProducts[[#Headers],[Company]], 91)</f>
        <v/>
      </c>
      <c r="K194" s="200" t="str" cm="1">
        <f t="array" ref="K194">Common_InputFunctions.Utility_DisplayArrayInTable(Fertiliser_SourceData.Fertiliser_Products_Data4(),FertiliserProducts[[#Headers],[Company]], 91)</f>
        <v/>
      </c>
      <c r="L194" s="200" cm="1">
        <f t="array" ref="L194">Common_InputFunctions.Utility_DisplayArrayInTable(Fertiliser_SourceData.Fertiliser_Products_Data4(),FertiliserProducts[[#Headers],[Company]], 91)</f>
        <v>5.5</v>
      </c>
      <c r="M194" s="200" cm="1">
        <f t="array" ref="M194">Common_InputFunctions.Utility_DisplayArrayInTable(Fertiliser_SourceData.Fertiliser_Products_Data4(),FertiliserProducts[[#Headers],[Company]], 91)</f>
        <v>15</v>
      </c>
      <c r="N194" s="200" cm="1">
        <f t="array" ref="N194">Common_InputFunctions.Utility_DisplayArrayInTable(Fertiliser_SourceData.Fertiliser_Products_Data4(),FertiliserProducts[[#Headers],[Company]], 91)</f>
        <v>6.88</v>
      </c>
      <c r="O194" s="200" t="str" cm="1">
        <f t="array" ref="O194">Common_InputFunctions.Utility_DisplayArrayInTable(Fertiliser_SourceData.Fertiliser_Products_Data4(),FertiliserProducts[[#Headers],[Company]], 91)</f>
        <v>Single superphosphate (SSP)</v>
      </c>
      <c r="P194" s="200" cm="1">
        <f t="array" ref="P194">Common_InputFunctions.Utility_DisplayArrayInTable(Fertiliser_SourceData.Fertiliser_Products_Data4(),FertiliserProducts[[#Headers],[Company]], 91)</f>
        <v>0.625</v>
      </c>
      <c r="Q194" s="200" t="str" cm="1">
        <f t="array" ref="Q194">Common_InputFunctions.Utility_DisplayArrayInTable(Fertiliser_SourceData.Fertiliser_Products_Data4(),FertiliserProducts[[#Headers],[Company]], 91)</f>
        <v>Muriate of potash (MOP)</v>
      </c>
      <c r="R194" s="200" cm="1">
        <f t="array" ref="R194">Common_InputFunctions.Utility_DisplayArrayInTable(Fertiliser_SourceData.Fertiliser_Products_Data4(),FertiliserProducts[[#Headers],[Company]], 91)</f>
        <v>0.3</v>
      </c>
      <c r="S194" s="200" t="str" cm="1">
        <f t="array" ref="S194">Common_InputFunctions.Utility_DisplayArrayInTable(Fertiliser_SourceData.Fertiliser_Products_Data4(),FertiliserProducts[[#Headers],[Company]], 91)</f>
        <v/>
      </c>
      <c r="T194" s="200" t="str" cm="1">
        <f t="array" ref="T194">Common_InputFunctions.Utility_DisplayArrayInTable(Fertiliser_SourceData.Fertiliser_Products_Data4(),FertiliserProducts[[#Headers],[Company]], 91)</f>
        <v/>
      </c>
      <c r="U194" s="200" t="str" cm="1">
        <f t="array" ref="U194">Common_InputFunctions.Utility_DisplayArrayInTable(Fertiliser_SourceData.Fertiliser_Products_Data4(),FertiliserProducts[[#Headers],[Company]], 91)</f>
        <v/>
      </c>
      <c r="V194" s="200" t="str" cm="1">
        <f t="array" ref="V194">Common_InputFunctions.Utility_DisplayArrayInTable(Fertiliser_SourceData.Fertiliser_Products_Data4(),FertiliserProducts[[#Headers],[Company]], 91)</f>
        <v/>
      </c>
      <c r="W194" s="200" t="str" cm="1">
        <f t="array" ref="W194">Common_InputFunctions.Utility_DisplayArrayInTable(Fertiliser_SourceData.Fertiliser_Products_Data4(),FertiliserProducts[[#Headers],[Company]], 91)</f>
        <v/>
      </c>
      <c r="X194" s="200" t="str" cm="1">
        <f t="array" ref="X194">Common_InputFunctions.Utility_DisplayArrayInTable(Fertiliser_SourceData.Fertiliser_Products_Data4(),FertiliserProducts[[#Headers],[Company]], 91)</f>
        <v/>
      </c>
      <c r="Y194" s="200" t="str" cm="1">
        <f t="array" ref="Y194">Common_InputFunctions.Utility_DisplayArrayInTable(Fertiliser_SourceData.Fertiliser_Products_Data4(),FertiliserProducts[[#Headers],[Company]], 91)</f>
        <v/>
      </c>
      <c r="Z194" s="200" t="str" cm="1">
        <f t="array" ref="Z194">Common_InputFunctions.Utility_DisplayArrayInTable(Fertiliser_SourceData.Fertiliser_Products_Data4(),FertiliserProducts[[#Headers],[Company]], 91)</f>
        <v/>
      </c>
      <c r="AA194" s="200" t="str" cm="1">
        <f t="array" ref="AA194">Common_InputFunctions.Utility_DisplayArrayInTable(Fertiliser_SourceData.Fertiliser_Products_Data4(),FertiliserProducts[[#Headers],[Company]], 91)</f>
        <v/>
      </c>
      <c r="AB194" s="200" t="str" cm="1">
        <f t="array" ref="AB194">Common_InputFunctions.Utility_DisplayArrayInTable(Fertiliser_SourceData.Fertiliser_Products_Data4(),FertiliserProducts[[#Headers],[Company]], 91)</f>
        <v/>
      </c>
      <c r="AC194" s="200" t="str" cm="1">
        <f t="array" ref="AC194">Common_InputFunctions.Utility_DisplayArrayInTable(Fertiliser_SourceData.Fertiliser_Products_Data4(),FertiliserProducts[[#Headers],[Company]], 91)</f>
        <v/>
      </c>
      <c r="AD194" s="200" t="str" cm="1">
        <f t="array" ref="AD194">Common_InputFunctions.Utility_DisplayArrayInTable(Fertiliser_SourceData.Fertiliser_Products_Data4(),FertiliserProducts[[#Headers],[Company]], 91)</f>
        <v/>
      </c>
      <c r="AE194" s="200" t="str" cm="1">
        <f t="array" ref="AE194">Common_InputFunctions.Utility_DisplayArrayInTable(Fertiliser_SourceData.Fertiliser_Products_Data4(),FertiliserProducts[[#Headers],[Company]], 91)</f>
        <v/>
      </c>
      <c r="AF194" s="200" t="str" cm="1">
        <f t="array" ref="AF194">Common_InputFunctions.Utility_DisplayArrayInTable(Fertiliser_SourceData.Fertiliser_Products_Data4(),FertiliserProducts[[#Headers],[Company]], 91)</f>
        <v/>
      </c>
      <c r="AG194" s="200" t="str" cm="1">
        <f t="array" ref="AG194">Common_InputFunctions.Utility_DisplayArrayInTable(Fertiliser_SourceData.Fertiliser_Products_Data4(),FertiliserProducts[[#Headers],[Company]], 91)</f>
        <v/>
      </c>
      <c r="AH194" s="200" t="str" cm="1">
        <f t="array" ref="AH194">Common_InputFunctions.Utility_DisplayArrayInTable(Fertiliser_SourceData.Fertiliser_Products_Data4(),FertiliserProducts[[#Headers],[Company]], 91)</f>
        <v/>
      </c>
    </row>
    <row r="195" spans="4:34" x14ac:dyDescent="0.25">
      <c r="D195" s="200" t="str" cm="1">
        <f t="array" ref="D195">Common_InputFunctions.Utility_DisplayArrayInTable(Fertiliser_SourceData.Fertiliser_Products_Data4(),FertiliserProducts[[#Headers],[Company]], 91)</f>
        <v>Yara</v>
      </c>
      <c r="E195" s="200" t="str" cm="1">
        <f t="array" ref="E195">Common_InputFunctions.Utility_DisplayArrayInTable(Fertiliser_SourceData.Fertiliser_Products_Data4(),FertiliserProducts[[#Headers],[Company]], 91)</f>
        <v>YaraBela CAN-27</v>
      </c>
      <c r="F195" s="200" t="str" cm="1">
        <f t="array" ref="F195">Common_InputFunctions.Utility_DisplayArrayInTable(Fertiliser_SourceData.Fertiliser_Products_Data4(),FertiliserProducts[[#Headers],[Company]], 91)</f>
        <v>kg</v>
      </c>
      <c r="G195" s="200" cm="1">
        <f t="array" ref="G195">Common_InputFunctions.Utility_DisplayArrayInTable(Fertiliser_SourceData.Fertiliser_Products_Data4(),FertiliserProducts[[#Headers],[Company]], 91)</f>
        <v>1</v>
      </c>
      <c r="H195" s="200" t="str" cm="1">
        <f t="array" ref="H195">Common_InputFunctions.Utility_DisplayArrayInTable(Fertiliser_SourceData.Fertiliser_Products_Data4(),FertiliserProducts[[#Headers],[Company]], 91)</f>
        <v/>
      </c>
      <c r="I195" s="200" t="str" cm="1">
        <f t="array" ref="I195">Common_InputFunctions.Utility_DisplayArrayInTable(Fertiliser_SourceData.Fertiliser_Products_Data4(),FertiliserProducts[[#Headers],[Company]], 91)</f>
        <v/>
      </c>
      <c r="J195" s="200" t="str" cm="1">
        <f t="array" ref="J195">Common_InputFunctions.Utility_DisplayArrayInTable(Fertiliser_SourceData.Fertiliser_Products_Data4(),FertiliserProducts[[#Headers],[Company]], 91)</f>
        <v/>
      </c>
      <c r="K195" s="200" cm="1">
        <f t="array" ref="K195">Common_InputFunctions.Utility_DisplayArrayInTable(Fertiliser_SourceData.Fertiliser_Products_Data4(),FertiliserProducts[[#Headers],[Company]], 91)</f>
        <v>27</v>
      </c>
      <c r="L195" s="200" t="str" cm="1">
        <f t="array" ref="L195">Common_InputFunctions.Utility_DisplayArrayInTable(Fertiliser_SourceData.Fertiliser_Products_Data4(),FertiliserProducts[[#Headers],[Company]], 91)</f>
        <v/>
      </c>
      <c r="M195" s="200" t="str" cm="1">
        <f t="array" ref="M195">Common_InputFunctions.Utility_DisplayArrayInTable(Fertiliser_SourceData.Fertiliser_Products_Data4(),FertiliserProducts[[#Headers],[Company]], 91)</f>
        <v/>
      </c>
      <c r="N195" s="200" t="str" cm="1">
        <f t="array" ref="N195">Common_InputFunctions.Utility_DisplayArrayInTable(Fertiliser_SourceData.Fertiliser_Products_Data4(),FertiliserProducts[[#Headers],[Company]], 91)</f>
        <v/>
      </c>
      <c r="O195" s="200" t="str" cm="1">
        <f t="array" ref="O195">Common_InputFunctions.Utility_DisplayArrayInTable(Fertiliser_SourceData.Fertiliser_Products_Data4(),FertiliserProducts[[#Headers],[Company]], 91)</f>
        <v>Calcium ammonium nitrate (CAN)</v>
      </c>
      <c r="P195" s="200" cm="1">
        <f t="array" ref="P195">Common_InputFunctions.Utility_DisplayArrayInTable(Fertiliser_SourceData.Fertiliser_Products_Data4(),FertiliserProducts[[#Headers],[Company]], 91)</f>
        <v>1</v>
      </c>
      <c r="Q195" s="200" t="str" cm="1">
        <f t="array" ref="Q195">Common_InputFunctions.Utility_DisplayArrayInTable(Fertiliser_SourceData.Fertiliser_Products_Data4(),FertiliserProducts[[#Headers],[Company]], 91)</f>
        <v/>
      </c>
      <c r="R195" s="200" t="str" cm="1">
        <f t="array" ref="R195">Common_InputFunctions.Utility_DisplayArrayInTable(Fertiliser_SourceData.Fertiliser_Products_Data4(),FertiliserProducts[[#Headers],[Company]], 91)</f>
        <v/>
      </c>
      <c r="S195" s="200" t="str" cm="1">
        <f t="array" ref="S195">Common_InputFunctions.Utility_DisplayArrayInTable(Fertiliser_SourceData.Fertiliser_Products_Data4(),FertiliserProducts[[#Headers],[Company]], 91)</f>
        <v/>
      </c>
      <c r="T195" s="200" t="str" cm="1">
        <f t="array" ref="T195">Common_InputFunctions.Utility_DisplayArrayInTable(Fertiliser_SourceData.Fertiliser_Products_Data4(),FertiliserProducts[[#Headers],[Company]], 91)</f>
        <v/>
      </c>
      <c r="U195" s="200" t="str" cm="1">
        <f t="array" ref="U195">Common_InputFunctions.Utility_DisplayArrayInTable(Fertiliser_SourceData.Fertiliser_Products_Data4(),FertiliserProducts[[#Headers],[Company]], 91)</f>
        <v/>
      </c>
      <c r="V195" s="200" t="str" cm="1">
        <f t="array" ref="V195">Common_InputFunctions.Utility_DisplayArrayInTable(Fertiliser_SourceData.Fertiliser_Products_Data4(),FertiliserProducts[[#Headers],[Company]], 91)</f>
        <v/>
      </c>
      <c r="W195" s="200" t="str" cm="1">
        <f t="array" ref="W195">Common_InputFunctions.Utility_DisplayArrayInTable(Fertiliser_SourceData.Fertiliser_Products_Data4(),FertiliserProducts[[#Headers],[Company]], 91)</f>
        <v/>
      </c>
      <c r="X195" s="200" t="str" cm="1">
        <f t="array" ref="X195">Common_InputFunctions.Utility_DisplayArrayInTable(Fertiliser_SourceData.Fertiliser_Products_Data4(),FertiliserProducts[[#Headers],[Company]], 91)</f>
        <v/>
      </c>
      <c r="Y195" s="200" t="str" cm="1">
        <f t="array" ref="Y195">Common_InputFunctions.Utility_DisplayArrayInTable(Fertiliser_SourceData.Fertiliser_Products_Data4(),FertiliserProducts[[#Headers],[Company]], 91)</f>
        <v/>
      </c>
      <c r="Z195" s="200" t="str" cm="1">
        <f t="array" ref="Z195">Common_InputFunctions.Utility_DisplayArrayInTable(Fertiliser_SourceData.Fertiliser_Products_Data4(),FertiliserProducts[[#Headers],[Company]], 91)</f>
        <v/>
      </c>
      <c r="AA195" s="200" t="str" cm="1">
        <f t="array" ref="AA195">Common_InputFunctions.Utility_DisplayArrayInTable(Fertiliser_SourceData.Fertiliser_Products_Data4(),FertiliserProducts[[#Headers],[Company]], 91)</f>
        <v/>
      </c>
      <c r="AB195" s="200" t="str" cm="1">
        <f t="array" ref="AB195">Common_InputFunctions.Utility_DisplayArrayInTable(Fertiliser_SourceData.Fertiliser_Products_Data4(),FertiliserProducts[[#Headers],[Company]], 91)</f>
        <v/>
      </c>
      <c r="AC195" s="200" t="str" cm="1">
        <f t="array" ref="AC195">Common_InputFunctions.Utility_DisplayArrayInTable(Fertiliser_SourceData.Fertiliser_Products_Data4(),FertiliserProducts[[#Headers],[Company]], 91)</f>
        <v/>
      </c>
      <c r="AD195" s="200" t="str" cm="1">
        <f t="array" ref="AD195">Common_InputFunctions.Utility_DisplayArrayInTable(Fertiliser_SourceData.Fertiliser_Products_Data4(),FertiliserProducts[[#Headers],[Company]], 91)</f>
        <v/>
      </c>
      <c r="AE195" s="200" t="str" cm="1">
        <f t="array" ref="AE195">Common_InputFunctions.Utility_DisplayArrayInTable(Fertiliser_SourceData.Fertiliser_Products_Data4(),FertiliserProducts[[#Headers],[Company]], 91)</f>
        <v/>
      </c>
      <c r="AF195" s="200" t="str" cm="1">
        <f t="array" ref="AF195">Common_InputFunctions.Utility_DisplayArrayInTable(Fertiliser_SourceData.Fertiliser_Products_Data4(),FertiliserProducts[[#Headers],[Company]], 91)</f>
        <v/>
      </c>
      <c r="AG195" s="200" t="str" cm="1">
        <f t="array" ref="AG195">Common_InputFunctions.Utility_DisplayArrayInTable(Fertiliser_SourceData.Fertiliser_Products_Data4(),FertiliserProducts[[#Headers],[Company]], 91)</f>
        <v/>
      </c>
      <c r="AH195" s="200" t="str" cm="1">
        <f t="array" ref="AH195">Common_InputFunctions.Utility_DisplayArrayInTable(Fertiliser_SourceData.Fertiliser_Products_Data4(),FertiliserProducts[[#Headers],[Company]], 91)</f>
        <v/>
      </c>
    </row>
    <row r="196" spans="4:34" x14ac:dyDescent="0.25">
      <c r="D196" s="200" t="str" cm="1">
        <f t="array" ref="D196">Common_InputFunctions.Utility_DisplayArrayInTable(Fertiliser_SourceData.Fertiliser_Products_Data4(),FertiliserProducts[[#Headers],[Company]], 91)</f>
        <v>Incitec Pivot Fertilisers</v>
      </c>
      <c r="E196" s="200" t="str" cm="1">
        <f t="array" ref="E196">Common_InputFunctions.Utility_DisplayArrayInTable(Fertiliser_SourceData.Fertiliser_Products_Data4(),FertiliserProducts[[#Headers],[Company]], 91)</f>
        <v>Cal-Gran Aftergraze</v>
      </c>
      <c r="F196" s="200" t="str" cm="1">
        <f t="array" ref="F196">Common_InputFunctions.Utility_DisplayArrayInTable(Fertiliser_SourceData.Fertiliser_Products_Data4(),FertiliserProducts[[#Headers],[Company]], 91)</f>
        <v>kg</v>
      </c>
      <c r="G196" s="200" cm="1">
        <f t="array" ref="G196">Common_InputFunctions.Utility_DisplayArrayInTable(Fertiliser_SourceData.Fertiliser_Products_Data4(),FertiliserProducts[[#Headers],[Company]], 91)</f>
        <v>1</v>
      </c>
      <c r="H196" s="200" t="str" cm="1">
        <f t="array" ref="H196">Common_InputFunctions.Utility_DisplayArrayInTable(Fertiliser_SourceData.Fertiliser_Products_Data4(),FertiliserProducts[[#Headers],[Company]], 91)</f>
        <v/>
      </c>
      <c r="I196" s="200" t="str" cm="1">
        <f t="array" ref="I196">Common_InputFunctions.Utility_DisplayArrayInTable(Fertiliser_SourceData.Fertiliser_Products_Data4(),FertiliserProducts[[#Headers],[Company]], 91)</f>
        <v/>
      </c>
      <c r="J196" s="200" t="str" cm="1">
        <f t="array" ref="J196">Common_InputFunctions.Utility_DisplayArrayInTable(Fertiliser_SourceData.Fertiliser_Products_Data4(),FertiliserProducts[[#Headers],[Company]], 91)</f>
        <v/>
      </c>
      <c r="K196" s="200" cm="1">
        <f t="array" ref="K196">Common_InputFunctions.Utility_DisplayArrayInTable(Fertiliser_SourceData.Fertiliser_Products_Data4(),FertiliserProducts[[#Headers],[Company]], 91)</f>
        <v>20.6</v>
      </c>
      <c r="L196" s="200" cm="1">
        <f t="array" ref="L196">Common_InputFunctions.Utility_DisplayArrayInTable(Fertiliser_SourceData.Fertiliser_Products_Data4(),FertiliserProducts[[#Headers],[Company]], 91)</f>
        <v>3</v>
      </c>
      <c r="M196" s="200" cm="1">
        <f t="array" ref="M196">Common_InputFunctions.Utility_DisplayArrayInTable(Fertiliser_SourceData.Fertiliser_Products_Data4(),FertiliserProducts[[#Headers],[Company]], 91)</f>
        <v>7.5</v>
      </c>
      <c r="N196" s="200" cm="1">
        <f t="array" ref="N196">Common_InputFunctions.Utility_DisplayArrayInTable(Fertiliser_SourceData.Fertiliser_Products_Data4(),FertiliserProducts[[#Headers],[Company]], 91)</f>
        <v>3.8</v>
      </c>
      <c r="O196" s="200" t="str" cm="1">
        <f t="array" ref="O196">Common_InputFunctions.Utility_DisplayArrayInTable(Fertiliser_SourceData.Fertiliser_Products_Data4(),FertiliserProducts[[#Headers],[Company]], 91)</f>
        <v>Nitrogen - Nitrate</v>
      </c>
      <c r="P196" s="200" cm="1">
        <f t="array" ref="P196">Common_InputFunctions.Utility_DisplayArrayInTable(Fertiliser_SourceData.Fertiliser_Products_Data4(),FertiliserProducts[[#Headers],[Company]], 91)</f>
        <v>6.4000000000000001E-2</v>
      </c>
      <c r="Q196" s="200" t="str" cm="1">
        <f t="array" ref="Q196">Common_InputFunctions.Utility_DisplayArrayInTable(Fertiliser_SourceData.Fertiliser_Products_Data4(),FertiliserProducts[[#Headers],[Company]], 91)</f>
        <v>Nitrogen - Ammoniacal</v>
      </c>
      <c r="R196" s="200" cm="1">
        <f t="array" ref="R196">Common_InputFunctions.Utility_DisplayArrayInTable(Fertiliser_SourceData.Fertiliser_Products_Data4(),FertiliserProducts[[#Headers],[Company]], 91)</f>
        <v>0.14199999999999999</v>
      </c>
      <c r="S196" s="200" t="str" cm="1">
        <f t="array" ref="S196">Common_InputFunctions.Utility_DisplayArrayInTable(Fertiliser_SourceData.Fertiliser_Products_Data4(),FertiliserProducts[[#Headers],[Company]], 91)</f>
        <v>Phosphorus - Generic</v>
      </c>
      <c r="T196" s="200" cm="1">
        <f t="array" ref="T196">Common_InputFunctions.Utility_DisplayArrayInTable(Fertiliser_SourceData.Fertiliser_Products_Data4(),FertiliserProducts[[#Headers],[Company]], 91)</f>
        <v>0.03</v>
      </c>
      <c r="U196" s="200" t="str" cm="1">
        <f t="array" ref="U196">Common_InputFunctions.Utility_DisplayArrayInTable(Fertiliser_SourceData.Fertiliser_Products_Data4(),FertiliserProducts[[#Headers],[Company]], 91)</f>
        <v>Potassium - Generic</v>
      </c>
      <c r="V196" s="200" cm="1">
        <f t="array" ref="V196">Common_InputFunctions.Utility_DisplayArrayInTable(Fertiliser_SourceData.Fertiliser_Products_Data4(),FertiliserProducts[[#Headers],[Company]], 91)</f>
        <v>7.4999999999999997E-2</v>
      </c>
      <c r="W196" s="200" t="str" cm="1">
        <f t="array" ref="W196">Common_InputFunctions.Utility_DisplayArrayInTable(Fertiliser_SourceData.Fertiliser_Products_Data4(),FertiliserProducts[[#Headers],[Company]], 91)</f>
        <v>Sulfur - Generic</v>
      </c>
      <c r="X196" s="200" cm="1">
        <f t="array" ref="X196">Common_InputFunctions.Utility_DisplayArrayInTable(Fertiliser_SourceData.Fertiliser_Products_Data4(),FertiliserProducts[[#Headers],[Company]], 91)</f>
        <v>3.7999999999999999E-2</v>
      </c>
      <c r="Y196" s="200" t="str" cm="1">
        <f t="array" ref="Y196">Common_InputFunctions.Utility_DisplayArrayInTable(Fertiliser_SourceData.Fertiliser_Products_Data4(),FertiliserProducts[[#Headers],[Company]], 91)</f>
        <v>Calcium</v>
      </c>
      <c r="Z196" s="200" cm="1">
        <f t="array" ref="Z196">Common_InputFunctions.Utility_DisplayArrayInTable(Fertiliser_SourceData.Fertiliser_Products_Data4(),FertiliserProducts[[#Headers],[Company]], 91)</f>
        <v>4.3999999999999997E-2</v>
      </c>
      <c r="AA196" s="200" t="str" cm="1">
        <f t="array" ref="AA196">Common_InputFunctions.Utility_DisplayArrayInTable(Fertiliser_SourceData.Fertiliser_Products_Data4(),FertiliserProducts[[#Headers],[Company]], 91)</f>
        <v/>
      </c>
      <c r="AB196" s="200" t="str" cm="1">
        <f t="array" ref="AB196">Common_InputFunctions.Utility_DisplayArrayInTable(Fertiliser_SourceData.Fertiliser_Products_Data4(),FertiliserProducts[[#Headers],[Company]], 91)</f>
        <v/>
      </c>
      <c r="AC196" s="200" t="str" cm="1">
        <f t="array" ref="AC196">Common_InputFunctions.Utility_DisplayArrayInTable(Fertiliser_SourceData.Fertiliser_Products_Data4(),FertiliserProducts[[#Headers],[Company]], 91)</f>
        <v/>
      </c>
      <c r="AD196" s="200" t="str" cm="1">
        <f t="array" ref="AD196">Common_InputFunctions.Utility_DisplayArrayInTable(Fertiliser_SourceData.Fertiliser_Products_Data4(),FertiliserProducts[[#Headers],[Company]], 91)</f>
        <v/>
      </c>
      <c r="AE196" s="200" t="str" cm="1">
        <f t="array" ref="AE196">Common_InputFunctions.Utility_DisplayArrayInTable(Fertiliser_SourceData.Fertiliser_Products_Data4(),FertiliserProducts[[#Headers],[Company]], 91)</f>
        <v/>
      </c>
      <c r="AF196" s="200" t="str" cm="1">
        <f t="array" ref="AF196">Common_InputFunctions.Utility_DisplayArrayInTable(Fertiliser_SourceData.Fertiliser_Products_Data4(),FertiliserProducts[[#Headers],[Company]], 91)</f>
        <v/>
      </c>
      <c r="AG196" s="200" t="str" cm="1">
        <f t="array" ref="AG196">Common_InputFunctions.Utility_DisplayArrayInTable(Fertiliser_SourceData.Fertiliser_Products_Data4(),FertiliserProducts[[#Headers],[Company]], 91)</f>
        <v/>
      </c>
      <c r="AH196" s="200" t="str" cm="1">
        <f t="array" ref="AH196">Common_InputFunctions.Utility_DisplayArrayInTable(Fertiliser_SourceData.Fertiliser_Products_Data4(),FertiliserProducts[[#Headers],[Company]], 91)</f>
        <v/>
      </c>
    </row>
    <row r="197" spans="4:34" x14ac:dyDescent="0.25">
      <c r="D197" s="200" t="str" cm="1">
        <f t="array" ref="D197">Common_InputFunctions.Utility_DisplayArrayInTable(Fertiliser_SourceData.Fertiliser_Products_Data4(),FertiliserProducts[[#Headers],[Company]], 91)</f>
        <v>Incitec Pivot Fertilisers</v>
      </c>
      <c r="E197" s="200" t="str" cm="1">
        <f t="array" ref="E197">Common_InputFunctions.Utility_DisplayArrayInTable(Fertiliser_SourceData.Fertiliser_Products_Data4(),FertiliserProducts[[#Headers],[Company]], 91)</f>
        <v>Cal-Gran Prodress</v>
      </c>
      <c r="F197" s="200" t="str" cm="1">
        <f t="array" ref="F197">Common_InputFunctions.Utility_DisplayArrayInTable(Fertiliser_SourceData.Fertiliser_Products_Data4(),FertiliserProducts[[#Headers],[Company]], 91)</f>
        <v>kg</v>
      </c>
      <c r="G197" s="200" cm="1">
        <f t="array" ref="G197">Common_InputFunctions.Utility_DisplayArrayInTable(Fertiliser_SourceData.Fertiliser_Products_Data4(),FertiliserProducts[[#Headers],[Company]], 91)</f>
        <v>1</v>
      </c>
      <c r="H197" s="200" t="str" cm="1">
        <f t="array" ref="H197">Common_InputFunctions.Utility_DisplayArrayInTable(Fertiliser_SourceData.Fertiliser_Products_Data4(),FertiliserProducts[[#Headers],[Company]], 91)</f>
        <v/>
      </c>
      <c r="I197" s="200" t="str" cm="1">
        <f t="array" ref="I197">Common_InputFunctions.Utility_DisplayArrayInTable(Fertiliser_SourceData.Fertiliser_Products_Data4(),FertiliserProducts[[#Headers],[Company]], 91)</f>
        <v/>
      </c>
      <c r="J197" s="200" t="str" cm="1">
        <f t="array" ref="J197">Common_InputFunctions.Utility_DisplayArrayInTable(Fertiliser_SourceData.Fertiliser_Products_Data4(),FertiliserProducts[[#Headers],[Company]], 91)</f>
        <v/>
      </c>
      <c r="K197" s="200" cm="1">
        <f t="array" ref="K197">Common_InputFunctions.Utility_DisplayArrayInTable(Fertiliser_SourceData.Fertiliser_Products_Data4(),FertiliserProducts[[#Headers],[Company]], 91)</f>
        <v>17.8</v>
      </c>
      <c r="L197" s="200" cm="1">
        <f t="array" ref="L197">Common_InputFunctions.Utility_DisplayArrayInTable(Fertiliser_SourceData.Fertiliser_Products_Data4(),FertiliserProducts[[#Headers],[Company]], 91)</f>
        <v>1</v>
      </c>
      <c r="M197" s="200" cm="1">
        <f t="array" ref="M197">Common_InputFunctions.Utility_DisplayArrayInTable(Fertiliser_SourceData.Fertiliser_Products_Data4(),FertiliserProducts[[#Headers],[Company]], 91)</f>
        <v>15</v>
      </c>
      <c r="N197" s="200" cm="1">
        <f t="array" ref="N197">Common_InputFunctions.Utility_DisplayArrayInTable(Fertiliser_SourceData.Fertiliser_Products_Data4(),FertiliserProducts[[#Headers],[Company]], 91)</f>
        <v>2.5</v>
      </c>
      <c r="O197" s="200" t="str" cm="1">
        <f t="array" ref="O197">Common_InputFunctions.Utility_DisplayArrayInTable(Fertiliser_SourceData.Fertiliser_Products_Data4(),FertiliserProducts[[#Headers],[Company]], 91)</f>
        <v>Nitrogen - Nitrate</v>
      </c>
      <c r="P197" s="200" cm="1">
        <f t="array" ref="P197">Common_InputFunctions.Utility_DisplayArrayInTable(Fertiliser_SourceData.Fertiliser_Products_Data4(),FertiliserProducts[[#Headers],[Company]], 91)</f>
        <v>5.5E-2</v>
      </c>
      <c r="Q197" s="200" t="str" cm="1">
        <f t="array" ref="Q197">Common_InputFunctions.Utility_DisplayArrayInTable(Fertiliser_SourceData.Fertiliser_Products_Data4(),FertiliserProducts[[#Headers],[Company]], 91)</f>
        <v>Nitrogen - Ammoniacal</v>
      </c>
      <c r="R197" s="200" cm="1">
        <f t="array" ref="R197">Common_InputFunctions.Utility_DisplayArrayInTable(Fertiliser_SourceData.Fertiliser_Products_Data4(),FertiliserProducts[[#Headers],[Company]], 91)</f>
        <v>0.123</v>
      </c>
      <c r="S197" s="200" t="str" cm="1">
        <f t="array" ref="S197">Common_InputFunctions.Utility_DisplayArrayInTable(Fertiliser_SourceData.Fertiliser_Products_Data4(),FertiliserProducts[[#Headers],[Company]], 91)</f>
        <v>Phosphorus - Generic</v>
      </c>
      <c r="T197" s="200" cm="1">
        <f t="array" ref="T197">Common_InputFunctions.Utility_DisplayArrayInTable(Fertiliser_SourceData.Fertiliser_Products_Data4(),FertiliserProducts[[#Headers],[Company]], 91)</f>
        <v>0.01</v>
      </c>
      <c r="U197" s="200" t="str" cm="1">
        <f t="array" ref="U197">Common_InputFunctions.Utility_DisplayArrayInTable(Fertiliser_SourceData.Fertiliser_Products_Data4(),FertiliserProducts[[#Headers],[Company]], 91)</f>
        <v>Potassium - Generic</v>
      </c>
      <c r="V197" s="200" cm="1">
        <f t="array" ref="V197">Common_InputFunctions.Utility_DisplayArrayInTable(Fertiliser_SourceData.Fertiliser_Products_Data4(),FertiliserProducts[[#Headers],[Company]], 91)</f>
        <v>0.15</v>
      </c>
      <c r="W197" s="200" t="str" cm="1">
        <f t="array" ref="W197">Common_InputFunctions.Utility_DisplayArrayInTable(Fertiliser_SourceData.Fertiliser_Products_Data4(),FertiliserProducts[[#Headers],[Company]], 91)</f>
        <v>Sulfur - Generic</v>
      </c>
      <c r="X197" s="200" cm="1">
        <f t="array" ref="X197">Common_InputFunctions.Utility_DisplayArrayInTable(Fertiliser_SourceData.Fertiliser_Products_Data4(),FertiliserProducts[[#Headers],[Company]], 91)</f>
        <v>2.5000000000000001E-2</v>
      </c>
      <c r="Y197" s="200" t="str" cm="1">
        <f t="array" ref="Y197">Common_InputFunctions.Utility_DisplayArrayInTable(Fertiliser_SourceData.Fertiliser_Products_Data4(),FertiliserProducts[[#Headers],[Company]], 91)</f>
        <v>Calcium</v>
      </c>
      <c r="Z197" s="200" cm="1">
        <f t="array" ref="Z197">Common_InputFunctions.Utility_DisplayArrayInTable(Fertiliser_SourceData.Fertiliser_Products_Data4(),FertiliserProducts[[#Headers],[Company]], 91)</f>
        <v>4.3999999999999997E-2</v>
      </c>
      <c r="AA197" s="200" t="str" cm="1">
        <f t="array" ref="AA197">Common_InputFunctions.Utility_DisplayArrayInTable(Fertiliser_SourceData.Fertiliser_Products_Data4(),FertiliserProducts[[#Headers],[Company]], 91)</f>
        <v/>
      </c>
      <c r="AB197" s="200" t="str" cm="1">
        <f t="array" ref="AB197">Common_InputFunctions.Utility_DisplayArrayInTable(Fertiliser_SourceData.Fertiliser_Products_Data4(),FertiliserProducts[[#Headers],[Company]], 91)</f>
        <v/>
      </c>
      <c r="AC197" s="200" t="str" cm="1">
        <f t="array" ref="AC197">Common_InputFunctions.Utility_DisplayArrayInTable(Fertiliser_SourceData.Fertiliser_Products_Data4(),FertiliserProducts[[#Headers],[Company]], 91)</f>
        <v/>
      </c>
      <c r="AD197" s="200" t="str" cm="1">
        <f t="array" ref="AD197">Common_InputFunctions.Utility_DisplayArrayInTable(Fertiliser_SourceData.Fertiliser_Products_Data4(),FertiliserProducts[[#Headers],[Company]], 91)</f>
        <v/>
      </c>
      <c r="AE197" s="200" t="str" cm="1">
        <f t="array" ref="AE197">Common_InputFunctions.Utility_DisplayArrayInTable(Fertiliser_SourceData.Fertiliser_Products_Data4(),FertiliserProducts[[#Headers],[Company]], 91)</f>
        <v/>
      </c>
      <c r="AF197" s="200" t="str" cm="1">
        <f t="array" ref="AF197">Common_InputFunctions.Utility_DisplayArrayInTable(Fertiliser_SourceData.Fertiliser_Products_Data4(),FertiliserProducts[[#Headers],[Company]], 91)</f>
        <v/>
      </c>
      <c r="AG197" s="200" t="str" cm="1">
        <f t="array" ref="AG197">Common_InputFunctions.Utility_DisplayArrayInTable(Fertiliser_SourceData.Fertiliser_Products_Data4(),FertiliserProducts[[#Headers],[Company]], 91)</f>
        <v/>
      </c>
      <c r="AH197" s="200" t="str" cm="1">
        <f t="array" ref="AH197">Common_InputFunctions.Utility_DisplayArrayInTable(Fertiliser_SourceData.Fertiliser_Products_Data4(),FertiliserProducts[[#Headers],[Company]], 91)</f>
        <v/>
      </c>
    </row>
    <row r="198" spans="4:34" x14ac:dyDescent="0.25">
      <c r="D198" s="200" t="str" cm="1">
        <f t="array" ref="D198">Common_InputFunctions.Utility_DisplayArrayInTable(Fertiliser_SourceData.Fertiliser_Products_Data4(),FertiliserProducts[[#Headers],[Company]], 91)</f>
        <v>Wengfu Australia</v>
      </c>
      <c r="E198" s="200" t="str" cm="1">
        <f t="array" ref="E198">Common_InputFunctions.Utility_DisplayArrayInTable(Fertiliser_SourceData.Fertiliser_Products_Data4(),FertiliserProducts[[#Headers],[Company]], 91)</f>
        <v>Wengfu PrimeZinc 10</v>
      </c>
      <c r="F198" s="200" t="str" cm="1">
        <f t="array" ref="F198">Common_InputFunctions.Utility_DisplayArrayInTable(Fertiliser_SourceData.Fertiliser_Products_Data4(),FertiliserProducts[[#Headers],[Company]], 91)</f>
        <v>kg</v>
      </c>
      <c r="G198" s="200" cm="1">
        <f t="array" ref="G198">Common_InputFunctions.Utility_DisplayArrayInTable(Fertiliser_SourceData.Fertiliser_Products_Data4(),FertiliserProducts[[#Headers],[Company]], 91)</f>
        <v>1</v>
      </c>
      <c r="H198" s="200" t="str" cm="1">
        <f t="array" ref="H198">Common_InputFunctions.Utility_DisplayArrayInTable(Fertiliser_SourceData.Fertiliser_Products_Data4(),FertiliserProducts[[#Headers],[Company]], 91)</f>
        <v/>
      </c>
      <c r="I198" s="200" t="str" cm="1">
        <f t="array" ref="I198">Common_InputFunctions.Utility_DisplayArrayInTable(Fertiliser_SourceData.Fertiliser_Products_Data4(),FertiliserProducts[[#Headers],[Company]], 91)</f>
        <v/>
      </c>
      <c r="J198" s="200" t="str" cm="1">
        <f t="array" ref="J198">Common_InputFunctions.Utility_DisplayArrayInTable(Fertiliser_SourceData.Fertiliser_Products_Data4(),FertiliserProducts[[#Headers],[Company]], 91)</f>
        <v/>
      </c>
      <c r="K198" s="200" cm="1">
        <f t="array" ref="K198">Common_InputFunctions.Utility_DisplayArrayInTable(Fertiliser_SourceData.Fertiliser_Products_Data4(),FertiliserProducts[[#Headers],[Company]], 91)</f>
        <v>10</v>
      </c>
      <c r="L198" s="200" cm="1">
        <f t="array" ref="L198">Common_InputFunctions.Utility_DisplayArrayInTable(Fertiliser_SourceData.Fertiliser_Products_Data4(),FertiliserProducts[[#Headers],[Company]], 91)</f>
        <v>22</v>
      </c>
      <c r="M198" s="200" t="str" cm="1">
        <f t="array" ref="M198">Common_InputFunctions.Utility_DisplayArrayInTable(Fertiliser_SourceData.Fertiliser_Products_Data4(),FertiliserProducts[[#Headers],[Company]], 91)</f>
        <v/>
      </c>
      <c r="N198" s="200" cm="1">
        <f t="array" ref="N198">Common_InputFunctions.Utility_DisplayArrayInTable(Fertiliser_SourceData.Fertiliser_Products_Data4(),FertiliserProducts[[#Headers],[Company]], 91)</f>
        <v>1.5</v>
      </c>
      <c r="O198" s="200" t="str" cm="1">
        <f t="array" ref="O198">Common_InputFunctions.Utility_DisplayArrayInTable(Fertiliser_SourceData.Fertiliser_Products_Data4(),FertiliserProducts[[#Headers],[Company]], 91)</f>
        <v>Nitrogen - Generic</v>
      </c>
      <c r="P198" s="200" cm="1">
        <f t="array" ref="P198">Common_InputFunctions.Utility_DisplayArrayInTable(Fertiliser_SourceData.Fertiliser_Products_Data4(),FertiliserProducts[[#Headers],[Company]], 91)</f>
        <v>0.1</v>
      </c>
      <c r="Q198" s="200" t="str" cm="1">
        <f t="array" ref="Q198">Common_InputFunctions.Utility_DisplayArrayInTable(Fertiliser_SourceData.Fertiliser_Products_Data4(),FertiliserProducts[[#Headers],[Company]], 91)</f>
        <v>Phosphorus - Generic</v>
      </c>
      <c r="R198" s="200" cm="1">
        <f t="array" ref="R198">Common_InputFunctions.Utility_DisplayArrayInTable(Fertiliser_SourceData.Fertiliser_Products_Data4(),FertiliserProducts[[#Headers],[Company]], 91)</f>
        <v>0.22</v>
      </c>
      <c r="S198" s="200" t="str" cm="1">
        <f t="array" ref="S198">Common_InputFunctions.Utility_DisplayArrayInTable(Fertiliser_SourceData.Fertiliser_Products_Data4(),FertiliserProducts[[#Headers],[Company]], 91)</f>
        <v>Sulfur - Generic</v>
      </c>
      <c r="T198" s="200" cm="1">
        <f t="array" ref="T198">Common_InputFunctions.Utility_DisplayArrayInTable(Fertiliser_SourceData.Fertiliser_Products_Data4(),FertiliserProducts[[#Headers],[Company]], 91)</f>
        <v>1.4999999999999999E-2</v>
      </c>
      <c r="U198" s="200" t="str" cm="1">
        <f t="array" ref="U198">Common_InputFunctions.Utility_DisplayArrayInTable(Fertiliser_SourceData.Fertiliser_Products_Data4(),FertiliserProducts[[#Headers],[Company]], 91)</f>
        <v>Zinc</v>
      </c>
      <c r="V198" s="200" cm="1">
        <f t="array" ref="V198">Common_InputFunctions.Utility_DisplayArrayInTable(Fertiliser_SourceData.Fertiliser_Products_Data4(),FertiliserProducts[[#Headers],[Company]], 91)</f>
        <v>0.01</v>
      </c>
      <c r="W198" s="200" t="str" cm="1">
        <f t="array" ref="W198">Common_InputFunctions.Utility_DisplayArrayInTable(Fertiliser_SourceData.Fertiliser_Products_Data4(),FertiliserProducts[[#Headers],[Company]], 91)</f>
        <v/>
      </c>
      <c r="X198" s="200" t="str" cm="1">
        <f t="array" ref="X198">Common_InputFunctions.Utility_DisplayArrayInTable(Fertiliser_SourceData.Fertiliser_Products_Data4(),FertiliserProducts[[#Headers],[Company]], 91)</f>
        <v/>
      </c>
      <c r="Y198" s="200" t="str" cm="1">
        <f t="array" ref="Y198">Common_InputFunctions.Utility_DisplayArrayInTable(Fertiliser_SourceData.Fertiliser_Products_Data4(),FertiliserProducts[[#Headers],[Company]], 91)</f>
        <v/>
      </c>
      <c r="Z198" s="200" t="str" cm="1">
        <f t="array" ref="Z198">Common_InputFunctions.Utility_DisplayArrayInTable(Fertiliser_SourceData.Fertiliser_Products_Data4(),FertiliserProducts[[#Headers],[Company]], 91)</f>
        <v/>
      </c>
      <c r="AA198" s="200" t="str" cm="1">
        <f t="array" ref="AA198">Common_InputFunctions.Utility_DisplayArrayInTable(Fertiliser_SourceData.Fertiliser_Products_Data4(),FertiliserProducts[[#Headers],[Company]], 91)</f>
        <v/>
      </c>
      <c r="AB198" s="200" t="str" cm="1">
        <f t="array" ref="AB198">Common_InputFunctions.Utility_DisplayArrayInTable(Fertiliser_SourceData.Fertiliser_Products_Data4(),FertiliserProducts[[#Headers],[Company]], 91)</f>
        <v/>
      </c>
      <c r="AC198" s="200" t="str" cm="1">
        <f t="array" ref="AC198">Common_InputFunctions.Utility_DisplayArrayInTable(Fertiliser_SourceData.Fertiliser_Products_Data4(),FertiliserProducts[[#Headers],[Company]], 91)</f>
        <v/>
      </c>
      <c r="AD198" s="200" t="str" cm="1">
        <f t="array" ref="AD198">Common_InputFunctions.Utility_DisplayArrayInTable(Fertiliser_SourceData.Fertiliser_Products_Data4(),FertiliserProducts[[#Headers],[Company]], 91)</f>
        <v/>
      </c>
      <c r="AE198" s="200" t="str" cm="1">
        <f t="array" ref="AE198">Common_InputFunctions.Utility_DisplayArrayInTable(Fertiliser_SourceData.Fertiliser_Products_Data4(),FertiliserProducts[[#Headers],[Company]], 91)</f>
        <v/>
      </c>
      <c r="AF198" s="200" t="str" cm="1">
        <f t="array" ref="AF198">Common_InputFunctions.Utility_DisplayArrayInTable(Fertiliser_SourceData.Fertiliser_Products_Data4(),FertiliserProducts[[#Headers],[Company]], 91)</f>
        <v/>
      </c>
      <c r="AG198" s="200" t="str" cm="1">
        <f t="array" ref="AG198">Common_InputFunctions.Utility_DisplayArrayInTable(Fertiliser_SourceData.Fertiliser_Products_Data4(),FertiliserProducts[[#Headers],[Company]], 91)</f>
        <v/>
      </c>
      <c r="AH198" s="200" t="str" cm="1">
        <f t="array" ref="AH198">Common_InputFunctions.Utility_DisplayArrayInTable(Fertiliser_SourceData.Fertiliser_Products_Data4(),FertiliserProducts[[#Headers],[Company]], 91)</f>
        <v/>
      </c>
    </row>
    <row r="199" spans="4:34" x14ac:dyDescent="0.25">
      <c r="D199" s="200" t="str" cm="1">
        <f t="array" ref="D199">Common_InputFunctions.Utility_DisplayArrayInTable(Fertiliser_SourceData.Fertiliser_Products_Data4(),FertiliserProducts[[#Headers],[Company]], 91)</f>
        <v>Wengfu Australia</v>
      </c>
      <c r="E199" s="200" t="str" cm="1">
        <f t="array" ref="E199">Common_InputFunctions.Utility_DisplayArrayInTable(Fertiliser_SourceData.Fertiliser_Products_Data4(),FertiliserProducts[[#Headers],[Company]], 91)</f>
        <v>Wengfu Pasture King</v>
      </c>
      <c r="F199" s="200" t="str" cm="1">
        <f t="array" ref="F199">Common_InputFunctions.Utility_DisplayArrayInTable(Fertiliser_SourceData.Fertiliser_Products_Data4(),FertiliserProducts[[#Headers],[Company]], 91)</f>
        <v>kg</v>
      </c>
      <c r="G199" s="200" cm="1">
        <f t="array" ref="G199">Common_InputFunctions.Utility_DisplayArrayInTable(Fertiliser_SourceData.Fertiliser_Products_Data4(),FertiliserProducts[[#Headers],[Company]], 91)</f>
        <v>1</v>
      </c>
      <c r="H199" s="200" t="str" cm="1">
        <f t="array" ref="H199">Common_InputFunctions.Utility_DisplayArrayInTable(Fertiliser_SourceData.Fertiliser_Products_Data4(),FertiliserProducts[[#Headers],[Company]], 91)</f>
        <v/>
      </c>
      <c r="I199" s="200" t="str" cm="1">
        <f t="array" ref="I199">Common_InputFunctions.Utility_DisplayArrayInTable(Fertiliser_SourceData.Fertiliser_Products_Data4(),FertiliserProducts[[#Headers],[Company]], 91)</f>
        <v/>
      </c>
      <c r="J199" s="200" t="str" cm="1">
        <f t="array" ref="J199">Common_InputFunctions.Utility_DisplayArrayInTable(Fertiliser_SourceData.Fertiliser_Products_Data4(),FertiliserProducts[[#Headers],[Company]], 91)</f>
        <v/>
      </c>
      <c r="K199" s="200" t="str" cm="1">
        <f t="array" ref="K199">Common_InputFunctions.Utility_DisplayArrayInTable(Fertiliser_SourceData.Fertiliser_Products_Data4(),FertiliserProducts[[#Headers],[Company]], 91)</f>
        <v/>
      </c>
      <c r="L199" s="200" cm="1">
        <f t="array" ref="L199">Common_InputFunctions.Utility_DisplayArrayInTable(Fertiliser_SourceData.Fertiliser_Products_Data4(),FertiliserProducts[[#Headers],[Company]], 91)</f>
        <v>15.7</v>
      </c>
      <c r="M199" s="200" t="str" cm="1">
        <f t="array" ref="M199">Common_InputFunctions.Utility_DisplayArrayInTable(Fertiliser_SourceData.Fertiliser_Products_Data4(),FertiliserProducts[[#Headers],[Company]], 91)</f>
        <v/>
      </c>
      <c r="N199" s="200" cm="1">
        <f t="array" ref="N199">Common_InputFunctions.Utility_DisplayArrayInTable(Fertiliser_SourceData.Fertiliser_Products_Data4(),FertiliserProducts[[#Headers],[Company]], 91)</f>
        <v>4.5999999999999996</v>
      </c>
      <c r="O199" s="200" t="str" cm="1">
        <f t="array" ref="O199">Common_InputFunctions.Utility_DisplayArrayInTable(Fertiliser_SourceData.Fertiliser_Products_Data4(),FertiliserProducts[[#Headers],[Company]], 91)</f>
        <v>Phosphorus - Generic</v>
      </c>
      <c r="P199" s="200" cm="1">
        <f t="array" ref="P199">Common_InputFunctions.Utility_DisplayArrayInTable(Fertiliser_SourceData.Fertiliser_Products_Data4(),FertiliserProducts[[#Headers],[Company]], 91)</f>
        <v>0.157</v>
      </c>
      <c r="Q199" s="200" t="str" cm="1">
        <f t="array" ref="Q199">Common_InputFunctions.Utility_DisplayArrayInTable(Fertiliser_SourceData.Fertiliser_Products_Data4(),FertiliserProducts[[#Headers],[Company]], 91)</f>
        <v>Sulfur - Generic</v>
      </c>
      <c r="R199" s="200" cm="1">
        <f t="array" ref="R199">Common_InputFunctions.Utility_DisplayArrayInTable(Fertiliser_SourceData.Fertiliser_Products_Data4(),FertiliserProducts[[#Headers],[Company]], 91)</f>
        <v>4.5999999999999999E-2</v>
      </c>
      <c r="S199" s="200" t="str" cm="1">
        <f t="array" ref="S199">Common_InputFunctions.Utility_DisplayArrayInTable(Fertiliser_SourceData.Fertiliser_Products_Data4(),FertiliserProducts[[#Headers],[Company]], 91)</f>
        <v>Calcium</v>
      </c>
      <c r="T199" s="200" cm="1">
        <f t="array" ref="T199">Common_InputFunctions.Utility_DisplayArrayInTable(Fertiliser_SourceData.Fertiliser_Products_Data4(),FertiliserProducts[[#Headers],[Company]], 91)</f>
        <v>0.14000000000000001</v>
      </c>
      <c r="U199" s="200" t="str" cm="1">
        <f t="array" ref="U199">Common_InputFunctions.Utility_DisplayArrayInTable(Fertiliser_SourceData.Fertiliser_Products_Data4(),FertiliserProducts[[#Headers],[Company]], 91)</f>
        <v/>
      </c>
      <c r="V199" s="200" t="str" cm="1">
        <f t="array" ref="V199">Common_InputFunctions.Utility_DisplayArrayInTable(Fertiliser_SourceData.Fertiliser_Products_Data4(),FertiliserProducts[[#Headers],[Company]], 91)</f>
        <v/>
      </c>
      <c r="W199" s="200" t="str" cm="1">
        <f t="array" ref="W199">Common_InputFunctions.Utility_DisplayArrayInTable(Fertiliser_SourceData.Fertiliser_Products_Data4(),FertiliserProducts[[#Headers],[Company]], 91)</f>
        <v/>
      </c>
      <c r="X199" s="200" t="str" cm="1">
        <f t="array" ref="X199">Common_InputFunctions.Utility_DisplayArrayInTable(Fertiliser_SourceData.Fertiliser_Products_Data4(),FertiliserProducts[[#Headers],[Company]], 91)</f>
        <v/>
      </c>
      <c r="Y199" s="200" t="str" cm="1">
        <f t="array" ref="Y199">Common_InputFunctions.Utility_DisplayArrayInTable(Fertiliser_SourceData.Fertiliser_Products_Data4(),FertiliserProducts[[#Headers],[Company]], 91)</f>
        <v/>
      </c>
      <c r="Z199" s="200" t="str" cm="1">
        <f t="array" ref="Z199">Common_InputFunctions.Utility_DisplayArrayInTable(Fertiliser_SourceData.Fertiliser_Products_Data4(),FertiliserProducts[[#Headers],[Company]], 91)</f>
        <v/>
      </c>
      <c r="AA199" s="200" t="str" cm="1">
        <f t="array" ref="AA199">Common_InputFunctions.Utility_DisplayArrayInTable(Fertiliser_SourceData.Fertiliser_Products_Data4(),FertiliserProducts[[#Headers],[Company]], 91)</f>
        <v/>
      </c>
      <c r="AB199" s="200" t="str" cm="1">
        <f t="array" ref="AB199">Common_InputFunctions.Utility_DisplayArrayInTable(Fertiliser_SourceData.Fertiliser_Products_Data4(),FertiliserProducts[[#Headers],[Company]], 91)</f>
        <v/>
      </c>
      <c r="AC199" s="200" t="str" cm="1">
        <f t="array" ref="AC199">Common_InputFunctions.Utility_DisplayArrayInTable(Fertiliser_SourceData.Fertiliser_Products_Data4(),FertiliserProducts[[#Headers],[Company]], 91)</f>
        <v/>
      </c>
      <c r="AD199" s="200" t="str" cm="1">
        <f t="array" ref="AD199">Common_InputFunctions.Utility_DisplayArrayInTable(Fertiliser_SourceData.Fertiliser_Products_Data4(),FertiliserProducts[[#Headers],[Company]], 91)</f>
        <v/>
      </c>
      <c r="AE199" s="200" t="str" cm="1">
        <f t="array" ref="AE199">Common_InputFunctions.Utility_DisplayArrayInTable(Fertiliser_SourceData.Fertiliser_Products_Data4(),FertiliserProducts[[#Headers],[Company]], 91)</f>
        <v/>
      </c>
      <c r="AF199" s="200" t="str" cm="1">
        <f t="array" ref="AF199">Common_InputFunctions.Utility_DisplayArrayInTable(Fertiliser_SourceData.Fertiliser_Products_Data4(),FertiliserProducts[[#Headers],[Company]], 91)</f>
        <v/>
      </c>
      <c r="AG199" s="200" t="str" cm="1">
        <f t="array" ref="AG199">Common_InputFunctions.Utility_DisplayArrayInTable(Fertiliser_SourceData.Fertiliser_Products_Data4(),FertiliserProducts[[#Headers],[Company]], 91)</f>
        <v/>
      </c>
      <c r="AH199" s="200" t="str" cm="1">
        <f t="array" ref="AH199">Common_InputFunctions.Utility_DisplayArrayInTable(Fertiliser_SourceData.Fertiliser_Products_Data4(),FertiliserProducts[[#Headers],[Company]], 91)</f>
        <v/>
      </c>
    </row>
    <row r="200" spans="4:34" x14ac:dyDescent="0.25">
      <c r="D200" s="200" t="str" cm="1">
        <f t="array" ref="D200">Common_InputFunctions.Utility_DisplayArrayInTable(Fertiliser_SourceData.Fertiliser_Products_Data4(),FertiliserProducts[[#Headers],[Company]], 91)</f>
        <v>Wengfu Australia</v>
      </c>
      <c r="E200" s="200" t="str" cm="1">
        <f t="array" ref="E200">Common_InputFunctions.Utility_DisplayArrayInTable(Fertiliser_SourceData.Fertiliser_Products_Data4(),FertiliserProducts[[#Headers],[Company]], 91)</f>
        <v>Wengfu SuStain</v>
      </c>
      <c r="F200" s="200" t="str" cm="1">
        <f t="array" ref="F200">Common_InputFunctions.Utility_DisplayArrayInTable(Fertiliser_SourceData.Fertiliser_Products_Data4(),FertiliserProducts[[#Headers],[Company]], 91)</f>
        <v>kg</v>
      </c>
      <c r="G200" s="200" cm="1">
        <f t="array" ref="G200">Common_InputFunctions.Utility_DisplayArrayInTable(Fertiliser_SourceData.Fertiliser_Products_Data4(),FertiliserProducts[[#Headers],[Company]], 91)</f>
        <v>1</v>
      </c>
      <c r="H200" s="200" t="str" cm="1">
        <f t="array" ref="H200">Common_InputFunctions.Utility_DisplayArrayInTable(Fertiliser_SourceData.Fertiliser_Products_Data4(),FertiliserProducts[[#Headers],[Company]], 91)</f>
        <v/>
      </c>
      <c r="I200" s="200" t="str" cm="1">
        <f t="array" ref="I200">Common_InputFunctions.Utility_DisplayArrayInTable(Fertiliser_SourceData.Fertiliser_Products_Data4(),FertiliserProducts[[#Headers],[Company]], 91)</f>
        <v/>
      </c>
      <c r="J200" s="200" t="str" cm="1">
        <f t="array" ref="J200">Common_InputFunctions.Utility_DisplayArrayInTable(Fertiliser_SourceData.Fertiliser_Products_Data4(),FertiliserProducts[[#Headers],[Company]], 91)</f>
        <v/>
      </c>
      <c r="K200" s="200" t="str" cm="1">
        <f t="array" ref="K200">Common_InputFunctions.Utility_DisplayArrayInTable(Fertiliser_SourceData.Fertiliser_Products_Data4(),FertiliserProducts[[#Headers],[Company]], 91)</f>
        <v/>
      </c>
      <c r="L200" s="200" t="str" cm="1">
        <f t="array" ref="L200">Common_InputFunctions.Utility_DisplayArrayInTable(Fertiliser_SourceData.Fertiliser_Products_Data4(),FertiliserProducts[[#Headers],[Company]], 91)</f>
        <v/>
      </c>
      <c r="M200" s="200" t="str" cm="1">
        <f t="array" ref="M200">Common_InputFunctions.Utility_DisplayArrayInTable(Fertiliser_SourceData.Fertiliser_Products_Data4(),FertiliserProducts[[#Headers],[Company]], 91)</f>
        <v/>
      </c>
      <c r="N200" s="200" cm="1">
        <f t="array" ref="N200">Common_InputFunctions.Utility_DisplayArrayInTable(Fertiliser_SourceData.Fertiliser_Products_Data4(),FertiliserProducts[[#Headers],[Company]], 91)</f>
        <v>90</v>
      </c>
      <c r="O200" s="200" t="str" cm="1">
        <f t="array" ref="O200">Common_InputFunctions.Utility_DisplayArrayInTable(Fertiliser_SourceData.Fertiliser_Products_Data4(),FertiliserProducts[[#Headers],[Company]], 91)</f>
        <v>Sulfur - Generic</v>
      </c>
      <c r="P200" s="200" cm="1">
        <f t="array" ref="P200">Common_InputFunctions.Utility_DisplayArrayInTable(Fertiliser_SourceData.Fertiliser_Products_Data4(),FertiliserProducts[[#Headers],[Company]], 91)</f>
        <v>0.9</v>
      </c>
      <c r="Q200" s="200" t="str" cm="1">
        <f t="array" ref="Q200">Common_InputFunctions.Utility_DisplayArrayInTable(Fertiliser_SourceData.Fertiliser_Products_Data4(),FertiliserProducts[[#Headers],[Company]], 91)</f>
        <v/>
      </c>
      <c r="R200" s="200" t="str" cm="1">
        <f t="array" ref="R200">Common_InputFunctions.Utility_DisplayArrayInTable(Fertiliser_SourceData.Fertiliser_Products_Data4(),FertiliserProducts[[#Headers],[Company]], 91)</f>
        <v/>
      </c>
      <c r="S200" s="200" t="str" cm="1">
        <f t="array" ref="S200">Common_InputFunctions.Utility_DisplayArrayInTable(Fertiliser_SourceData.Fertiliser_Products_Data4(),FertiliserProducts[[#Headers],[Company]], 91)</f>
        <v/>
      </c>
      <c r="T200" s="200" t="str" cm="1">
        <f t="array" ref="T200">Common_InputFunctions.Utility_DisplayArrayInTable(Fertiliser_SourceData.Fertiliser_Products_Data4(),FertiliserProducts[[#Headers],[Company]], 91)</f>
        <v/>
      </c>
      <c r="U200" s="200" t="str" cm="1">
        <f t="array" ref="U200">Common_InputFunctions.Utility_DisplayArrayInTable(Fertiliser_SourceData.Fertiliser_Products_Data4(),FertiliserProducts[[#Headers],[Company]], 91)</f>
        <v/>
      </c>
      <c r="V200" s="200" t="str" cm="1">
        <f t="array" ref="V200">Common_InputFunctions.Utility_DisplayArrayInTable(Fertiliser_SourceData.Fertiliser_Products_Data4(),FertiliserProducts[[#Headers],[Company]], 91)</f>
        <v/>
      </c>
      <c r="W200" s="200" t="str" cm="1">
        <f t="array" ref="W200">Common_InputFunctions.Utility_DisplayArrayInTable(Fertiliser_SourceData.Fertiliser_Products_Data4(),FertiliserProducts[[#Headers],[Company]], 91)</f>
        <v/>
      </c>
      <c r="X200" s="200" t="str" cm="1">
        <f t="array" ref="X200">Common_InputFunctions.Utility_DisplayArrayInTable(Fertiliser_SourceData.Fertiliser_Products_Data4(),FertiliserProducts[[#Headers],[Company]], 91)</f>
        <v/>
      </c>
      <c r="Y200" s="200" t="str" cm="1">
        <f t="array" ref="Y200">Common_InputFunctions.Utility_DisplayArrayInTable(Fertiliser_SourceData.Fertiliser_Products_Data4(),FertiliserProducts[[#Headers],[Company]], 91)</f>
        <v/>
      </c>
      <c r="Z200" s="200" t="str" cm="1">
        <f t="array" ref="Z200">Common_InputFunctions.Utility_DisplayArrayInTable(Fertiliser_SourceData.Fertiliser_Products_Data4(),FertiliserProducts[[#Headers],[Company]], 91)</f>
        <v/>
      </c>
      <c r="AA200" s="200" t="str" cm="1">
        <f t="array" ref="AA200">Common_InputFunctions.Utility_DisplayArrayInTable(Fertiliser_SourceData.Fertiliser_Products_Data4(),FertiliserProducts[[#Headers],[Company]], 91)</f>
        <v/>
      </c>
      <c r="AB200" s="200" t="str" cm="1">
        <f t="array" ref="AB200">Common_InputFunctions.Utility_DisplayArrayInTable(Fertiliser_SourceData.Fertiliser_Products_Data4(),FertiliserProducts[[#Headers],[Company]], 91)</f>
        <v/>
      </c>
      <c r="AC200" s="200" t="str" cm="1">
        <f t="array" ref="AC200">Common_InputFunctions.Utility_DisplayArrayInTable(Fertiliser_SourceData.Fertiliser_Products_Data4(),FertiliserProducts[[#Headers],[Company]], 91)</f>
        <v/>
      </c>
      <c r="AD200" s="200" t="str" cm="1">
        <f t="array" ref="AD200">Common_InputFunctions.Utility_DisplayArrayInTable(Fertiliser_SourceData.Fertiliser_Products_Data4(),FertiliserProducts[[#Headers],[Company]], 91)</f>
        <v/>
      </c>
      <c r="AE200" s="200" t="str" cm="1">
        <f t="array" ref="AE200">Common_InputFunctions.Utility_DisplayArrayInTable(Fertiliser_SourceData.Fertiliser_Products_Data4(),FertiliserProducts[[#Headers],[Company]], 91)</f>
        <v/>
      </c>
      <c r="AF200" s="200" t="str" cm="1">
        <f t="array" ref="AF200">Common_InputFunctions.Utility_DisplayArrayInTable(Fertiliser_SourceData.Fertiliser_Products_Data4(),FertiliserProducts[[#Headers],[Company]], 91)</f>
        <v/>
      </c>
      <c r="AG200" s="200" t="str" cm="1">
        <f t="array" ref="AG200">Common_InputFunctions.Utility_DisplayArrayInTable(Fertiliser_SourceData.Fertiliser_Products_Data4(),FertiliserProducts[[#Headers],[Company]], 91)</f>
        <v/>
      </c>
      <c r="AH200" s="200" t="str" cm="1">
        <f t="array" ref="AH200">Common_InputFunctions.Utility_DisplayArrayInTable(Fertiliser_SourceData.Fertiliser_Products_Data4(),FertiliserProducts[[#Headers],[Company]], 91)</f>
        <v/>
      </c>
    </row>
    <row r="201" spans="4:34" x14ac:dyDescent="0.25">
      <c r="D201" s="200" t="str" cm="1">
        <f t="array" ref="D201">Common_InputFunctions.Utility_DisplayArrayInTable(Fertiliser_SourceData.Fertiliser_Products_Data4(),FertiliserProducts[[#Headers],[Company]], 91)</f>
        <v>Wengfu Australia</v>
      </c>
      <c r="E201" s="200" t="str" cm="1">
        <f t="array" ref="E201">Common_InputFunctions.Utility_DisplayArrayInTable(Fertiliser_SourceData.Fertiliser_Products_Data4(),FertiliserProducts[[#Headers],[Company]], 91)</f>
        <v>Wengfu Slam</v>
      </c>
      <c r="F201" s="200" t="str" cm="1">
        <f t="array" ref="F201">Common_InputFunctions.Utility_DisplayArrayInTable(Fertiliser_SourceData.Fertiliser_Products_Data4(),FertiliserProducts[[#Headers],[Company]], 91)</f>
        <v>kg</v>
      </c>
      <c r="G201" s="200" cm="1">
        <f t="array" ref="G201">Common_InputFunctions.Utility_DisplayArrayInTable(Fertiliser_SourceData.Fertiliser_Products_Data4(),FertiliserProducts[[#Headers],[Company]], 91)</f>
        <v>1</v>
      </c>
      <c r="H201" s="200" t="str" cm="1">
        <f t="array" ref="H201">Common_InputFunctions.Utility_DisplayArrayInTable(Fertiliser_SourceData.Fertiliser_Products_Data4(),FertiliserProducts[[#Headers],[Company]], 91)</f>
        <v/>
      </c>
      <c r="I201" s="200" t="str" cm="1">
        <f t="array" ref="I201">Common_InputFunctions.Utility_DisplayArrayInTable(Fertiliser_SourceData.Fertiliser_Products_Data4(),FertiliserProducts[[#Headers],[Company]], 91)</f>
        <v/>
      </c>
      <c r="J201" s="200" t="str" cm="1">
        <f t="array" ref="J201">Common_InputFunctions.Utility_DisplayArrayInTable(Fertiliser_SourceData.Fertiliser_Products_Data4(),FertiliserProducts[[#Headers],[Company]], 91)</f>
        <v/>
      </c>
      <c r="K201" s="200" cm="1">
        <f t="array" ref="K201">Common_InputFunctions.Utility_DisplayArrayInTable(Fertiliser_SourceData.Fertiliser_Products_Data4(),FertiliserProducts[[#Headers],[Company]], 91)</f>
        <v>19.5</v>
      </c>
      <c r="L201" s="200" cm="1">
        <f t="array" ref="L201">Common_InputFunctions.Utility_DisplayArrayInTable(Fertiliser_SourceData.Fertiliser_Products_Data4(),FertiliserProducts[[#Headers],[Company]], 91)</f>
        <v>0.7</v>
      </c>
      <c r="M201" s="200" t="str" cm="1">
        <f t="array" ref="M201">Common_InputFunctions.Utility_DisplayArrayInTable(Fertiliser_SourceData.Fertiliser_Products_Data4(),FertiliserProducts[[#Headers],[Company]], 91)</f>
        <v/>
      </c>
      <c r="N201" s="200" cm="1">
        <f t="array" ref="N201">Common_InputFunctions.Utility_DisplayArrayInTable(Fertiliser_SourceData.Fertiliser_Products_Data4(),FertiliserProducts[[#Headers],[Company]], 91)</f>
        <v>23</v>
      </c>
      <c r="O201" s="200" t="str" cm="1">
        <f t="array" ref="O201">Common_InputFunctions.Utility_DisplayArrayInTable(Fertiliser_SourceData.Fertiliser_Products_Data4(),FertiliserProducts[[#Headers],[Company]], 91)</f>
        <v>Nitrogen - Generic</v>
      </c>
      <c r="P201" s="200" cm="1">
        <f t="array" ref="P201">Common_InputFunctions.Utility_DisplayArrayInTable(Fertiliser_SourceData.Fertiliser_Products_Data4(),FertiliserProducts[[#Headers],[Company]], 91)</f>
        <v>0.19500000000000001</v>
      </c>
      <c r="Q201" s="200" t="str" cm="1">
        <f t="array" ref="Q201">Common_InputFunctions.Utility_DisplayArrayInTable(Fertiliser_SourceData.Fertiliser_Products_Data4(),FertiliserProducts[[#Headers],[Company]], 91)</f>
        <v>Phosphorus - Generic</v>
      </c>
      <c r="R201" s="200" cm="1">
        <f t="array" ref="R201">Common_InputFunctions.Utility_DisplayArrayInTable(Fertiliser_SourceData.Fertiliser_Products_Data4(),FertiliserProducts[[#Headers],[Company]], 91)</f>
        <v>7.0000000000000001E-3</v>
      </c>
      <c r="S201" s="200" t="str" cm="1">
        <f t="array" ref="S201">Common_InputFunctions.Utility_DisplayArrayInTable(Fertiliser_SourceData.Fertiliser_Products_Data4(),FertiliserProducts[[#Headers],[Company]], 91)</f>
        <v>Sulfur - Generic</v>
      </c>
      <c r="T201" s="200" cm="1">
        <f t="array" ref="T201">Common_InputFunctions.Utility_DisplayArrayInTable(Fertiliser_SourceData.Fertiliser_Products_Data4(),FertiliserProducts[[#Headers],[Company]], 91)</f>
        <v>0.23</v>
      </c>
      <c r="U201" s="200" t="str" cm="1">
        <f t="array" ref="U201">Common_InputFunctions.Utility_DisplayArrayInTable(Fertiliser_SourceData.Fertiliser_Products_Data4(),FertiliserProducts[[#Headers],[Company]], 91)</f>
        <v/>
      </c>
      <c r="V201" s="200" t="str" cm="1">
        <f t="array" ref="V201">Common_InputFunctions.Utility_DisplayArrayInTable(Fertiliser_SourceData.Fertiliser_Products_Data4(),FertiliserProducts[[#Headers],[Company]], 91)</f>
        <v/>
      </c>
      <c r="W201" s="200" t="str" cm="1">
        <f t="array" ref="W201">Common_InputFunctions.Utility_DisplayArrayInTable(Fertiliser_SourceData.Fertiliser_Products_Data4(),FertiliserProducts[[#Headers],[Company]], 91)</f>
        <v/>
      </c>
      <c r="X201" s="200" t="str" cm="1">
        <f t="array" ref="X201">Common_InputFunctions.Utility_DisplayArrayInTable(Fertiliser_SourceData.Fertiliser_Products_Data4(),FertiliserProducts[[#Headers],[Company]], 91)</f>
        <v/>
      </c>
      <c r="Y201" s="200" t="str" cm="1">
        <f t="array" ref="Y201">Common_InputFunctions.Utility_DisplayArrayInTable(Fertiliser_SourceData.Fertiliser_Products_Data4(),FertiliserProducts[[#Headers],[Company]], 91)</f>
        <v/>
      </c>
      <c r="Z201" s="200" t="str" cm="1">
        <f t="array" ref="Z201">Common_InputFunctions.Utility_DisplayArrayInTable(Fertiliser_SourceData.Fertiliser_Products_Data4(),FertiliserProducts[[#Headers],[Company]], 91)</f>
        <v/>
      </c>
      <c r="AA201" s="200" t="str" cm="1">
        <f t="array" ref="AA201">Common_InputFunctions.Utility_DisplayArrayInTable(Fertiliser_SourceData.Fertiliser_Products_Data4(),FertiliserProducts[[#Headers],[Company]], 91)</f>
        <v/>
      </c>
      <c r="AB201" s="200" t="str" cm="1">
        <f t="array" ref="AB201">Common_InputFunctions.Utility_DisplayArrayInTable(Fertiliser_SourceData.Fertiliser_Products_Data4(),FertiliserProducts[[#Headers],[Company]], 91)</f>
        <v/>
      </c>
      <c r="AC201" s="200" t="str" cm="1">
        <f t="array" ref="AC201">Common_InputFunctions.Utility_DisplayArrayInTable(Fertiliser_SourceData.Fertiliser_Products_Data4(),FertiliserProducts[[#Headers],[Company]], 91)</f>
        <v/>
      </c>
      <c r="AD201" s="200" t="str" cm="1">
        <f t="array" ref="AD201">Common_InputFunctions.Utility_DisplayArrayInTable(Fertiliser_SourceData.Fertiliser_Products_Data4(),FertiliserProducts[[#Headers],[Company]], 91)</f>
        <v/>
      </c>
      <c r="AE201" s="200" t="str" cm="1">
        <f t="array" ref="AE201">Common_InputFunctions.Utility_DisplayArrayInTable(Fertiliser_SourceData.Fertiliser_Products_Data4(),FertiliserProducts[[#Headers],[Company]], 91)</f>
        <v/>
      </c>
      <c r="AF201" s="200" t="str" cm="1">
        <f t="array" ref="AF201">Common_InputFunctions.Utility_DisplayArrayInTable(Fertiliser_SourceData.Fertiliser_Products_Data4(),FertiliserProducts[[#Headers],[Company]], 91)</f>
        <v/>
      </c>
      <c r="AG201" s="200" t="str" cm="1">
        <f t="array" ref="AG201">Common_InputFunctions.Utility_DisplayArrayInTable(Fertiliser_SourceData.Fertiliser_Products_Data4(),FertiliserProducts[[#Headers],[Company]], 91)</f>
        <v/>
      </c>
      <c r="AH201" s="200" t="str" cm="1">
        <f t="array" ref="AH201">Common_InputFunctions.Utility_DisplayArrayInTable(Fertiliser_SourceData.Fertiliser_Products_Data4(),FertiliserProducts[[#Headers],[Company]], 91)</f>
        <v/>
      </c>
    </row>
    <row r="202" spans="4:34" x14ac:dyDescent="0.25">
      <c r="D202" s="200" t="str" cm="1">
        <f t="array" ref="D202">Common_InputFunctions.Utility_DisplayArrayInTable(Fertiliser_SourceData.Fertiliser_Products_Data4(),FertiliserProducts[[#Headers],[Company]], 91)</f>
        <v>Wengfu Australia</v>
      </c>
      <c r="E202" s="200" t="str" cm="1">
        <f t="array" ref="E202">Common_InputFunctions.Utility_DisplayArrayInTable(Fertiliser_SourceData.Fertiliser_Products_Data4(),FertiliserProducts[[#Headers],[Company]], 91)</f>
        <v>Wengfu Prime MSZ</v>
      </c>
      <c r="F202" s="200" t="str" cm="1">
        <f t="array" ref="F202">Common_InputFunctions.Utility_DisplayArrayInTable(Fertiliser_SourceData.Fertiliser_Products_Data4(),FertiliserProducts[[#Headers],[Company]], 91)</f>
        <v>kg</v>
      </c>
      <c r="G202" s="200" cm="1">
        <f t="array" ref="G202">Common_InputFunctions.Utility_DisplayArrayInTable(Fertiliser_SourceData.Fertiliser_Products_Data4(),FertiliserProducts[[#Headers],[Company]], 91)</f>
        <v>1</v>
      </c>
      <c r="H202" s="200" t="str" cm="1">
        <f t="array" ref="H202">Common_InputFunctions.Utility_DisplayArrayInTable(Fertiliser_SourceData.Fertiliser_Products_Data4(),FertiliserProducts[[#Headers],[Company]], 91)</f>
        <v/>
      </c>
      <c r="I202" s="200" t="str" cm="1">
        <f t="array" ref="I202">Common_InputFunctions.Utility_DisplayArrayInTable(Fertiliser_SourceData.Fertiliser_Products_Data4(),FertiliserProducts[[#Headers],[Company]], 91)</f>
        <v/>
      </c>
      <c r="J202" s="200" t="str" cm="1">
        <f t="array" ref="J202">Common_InputFunctions.Utility_DisplayArrayInTable(Fertiliser_SourceData.Fertiliser_Products_Data4(),FertiliserProducts[[#Headers],[Company]], 91)</f>
        <v/>
      </c>
      <c r="K202" s="200" cm="1">
        <f t="array" ref="K202">Common_InputFunctions.Utility_DisplayArrayInTable(Fertiliser_SourceData.Fertiliser_Products_Data4(),FertiliserProducts[[#Headers],[Company]], 91)</f>
        <v>10</v>
      </c>
      <c r="L202" s="200" cm="1">
        <f t="array" ref="L202">Common_InputFunctions.Utility_DisplayArrayInTable(Fertiliser_SourceData.Fertiliser_Products_Data4(),FertiliserProducts[[#Headers],[Company]], 91)</f>
        <v>18</v>
      </c>
      <c r="M202" s="200" t="str" cm="1">
        <f t="array" ref="M202">Common_InputFunctions.Utility_DisplayArrayInTable(Fertiliser_SourceData.Fertiliser_Products_Data4(),FertiliserProducts[[#Headers],[Company]], 91)</f>
        <v/>
      </c>
      <c r="N202" s="200" cm="1">
        <f t="array" ref="N202">Common_InputFunctions.Utility_DisplayArrayInTable(Fertiliser_SourceData.Fertiliser_Products_Data4(),FertiliserProducts[[#Headers],[Company]], 91)</f>
        <v>8</v>
      </c>
      <c r="O202" s="200" t="str" cm="1">
        <f t="array" ref="O202">Common_InputFunctions.Utility_DisplayArrayInTable(Fertiliser_SourceData.Fertiliser_Products_Data4(),FertiliserProducts[[#Headers],[Company]], 91)</f>
        <v>Nitrogen - Generic</v>
      </c>
      <c r="P202" s="200" cm="1">
        <f t="array" ref="P202">Common_InputFunctions.Utility_DisplayArrayInTable(Fertiliser_SourceData.Fertiliser_Products_Data4(),FertiliserProducts[[#Headers],[Company]], 91)</f>
        <v>0.1</v>
      </c>
      <c r="Q202" s="200" t="str" cm="1">
        <f t="array" ref="Q202">Common_InputFunctions.Utility_DisplayArrayInTable(Fertiliser_SourceData.Fertiliser_Products_Data4(),FertiliserProducts[[#Headers],[Company]], 91)</f>
        <v>Phosphorus - Generic</v>
      </c>
      <c r="R202" s="200" cm="1">
        <f t="array" ref="R202">Common_InputFunctions.Utility_DisplayArrayInTable(Fertiliser_SourceData.Fertiliser_Products_Data4(),FertiliserProducts[[#Headers],[Company]], 91)</f>
        <v>0.18</v>
      </c>
      <c r="S202" s="200" t="str" cm="1">
        <f t="array" ref="S202">Common_InputFunctions.Utility_DisplayArrayInTable(Fertiliser_SourceData.Fertiliser_Products_Data4(),FertiliserProducts[[#Headers],[Company]], 91)</f>
        <v>Sulfur - Generic</v>
      </c>
      <c r="T202" s="200" cm="1">
        <f t="array" ref="T202">Common_InputFunctions.Utility_DisplayArrayInTable(Fertiliser_SourceData.Fertiliser_Products_Data4(),FertiliserProducts[[#Headers],[Company]], 91)</f>
        <v>0.08</v>
      </c>
      <c r="U202" s="200" t="str" cm="1">
        <f t="array" ref="U202">Common_InputFunctions.Utility_DisplayArrayInTable(Fertiliser_SourceData.Fertiliser_Products_Data4(),FertiliserProducts[[#Headers],[Company]], 91)</f>
        <v>Zinc</v>
      </c>
      <c r="V202" s="200" cm="1">
        <f t="array" ref="V202">Common_InputFunctions.Utility_DisplayArrayInTable(Fertiliser_SourceData.Fertiliser_Products_Data4(),FertiliserProducts[[#Headers],[Company]], 91)</f>
        <v>5.0000000000000001E-3</v>
      </c>
      <c r="W202" s="200" t="str" cm="1">
        <f t="array" ref="W202">Common_InputFunctions.Utility_DisplayArrayInTable(Fertiliser_SourceData.Fertiliser_Products_Data4(),FertiliserProducts[[#Headers],[Company]], 91)</f>
        <v/>
      </c>
      <c r="X202" s="200" t="str" cm="1">
        <f t="array" ref="X202">Common_InputFunctions.Utility_DisplayArrayInTable(Fertiliser_SourceData.Fertiliser_Products_Data4(),FertiliserProducts[[#Headers],[Company]], 91)</f>
        <v/>
      </c>
      <c r="Y202" s="200" t="str" cm="1">
        <f t="array" ref="Y202">Common_InputFunctions.Utility_DisplayArrayInTable(Fertiliser_SourceData.Fertiliser_Products_Data4(),FertiliserProducts[[#Headers],[Company]], 91)</f>
        <v/>
      </c>
      <c r="Z202" s="200" t="str" cm="1">
        <f t="array" ref="Z202">Common_InputFunctions.Utility_DisplayArrayInTable(Fertiliser_SourceData.Fertiliser_Products_Data4(),FertiliserProducts[[#Headers],[Company]], 91)</f>
        <v/>
      </c>
      <c r="AA202" s="200" t="str" cm="1">
        <f t="array" ref="AA202">Common_InputFunctions.Utility_DisplayArrayInTable(Fertiliser_SourceData.Fertiliser_Products_Data4(),FertiliserProducts[[#Headers],[Company]], 91)</f>
        <v/>
      </c>
      <c r="AB202" s="200" t="str" cm="1">
        <f t="array" ref="AB202">Common_InputFunctions.Utility_DisplayArrayInTable(Fertiliser_SourceData.Fertiliser_Products_Data4(),FertiliserProducts[[#Headers],[Company]], 91)</f>
        <v/>
      </c>
      <c r="AC202" s="200" t="str" cm="1">
        <f t="array" ref="AC202">Common_InputFunctions.Utility_DisplayArrayInTable(Fertiliser_SourceData.Fertiliser_Products_Data4(),FertiliserProducts[[#Headers],[Company]], 91)</f>
        <v/>
      </c>
      <c r="AD202" s="200" t="str" cm="1">
        <f t="array" ref="AD202">Common_InputFunctions.Utility_DisplayArrayInTable(Fertiliser_SourceData.Fertiliser_Products_Data4(),FertiliserProducts[[#Headers],[Company]], 91)</f>
        <v/>
      </c>
      <c r="AE202" s="200" t="str" cm="1">
        <f t="array" ref="AE202">Common_InputFunctions.Utility_DisplayArrayInTable(Fertiliser_SourceData.Fertiliser_Products_Data4(),FertiliserProducts[[#Headers],[Company]], 91)</f>
        <v/>
      </c>
      <c r="AF202" s="200" t="str" cm="1">
        <f t="array" ref="AF202">Common_InputFunctions.Utility_DisplayArrayInTable(Fertiliser_SourceData.Fertiliser_Products_Data4(),FertiliserProducts[[#Headers],[Company]], 91)</f>
        <v/>
      </c>
      <c r="AG202" s="200" t="str" cm="1">
        <f t="array" ref="AG202">Common_InputFunctions.Utility_DisplayArrayInTable(Fertiliser_SourceData.Fertiliser_Products_Data4(),FertiliserProducts[[#Headers],[Company]], 91)</f>
        <v/>
      </c>
      <c r="AH202" s="200" t="str" cm="1">
        <f t="array" ref="AH202">Common_InputFunctions.Utility_DisplayArrayInTable(Fertiliser_SourceData.Fertiliser_Products_Data4(),FertiliserProducts[[#Headers],[Company]], 91)</f>
        <v/>
      </c>
    </row>
    <row r="203" spans="4:34" x14ac:dyDescent="0.25">
      <c r="D203" s="200" t="str" cm="1">
        <f t="array" ref="D203">Common_InputFunctions.Utility_DisplayArrayInTable(Fertiliser_SourceData.Fertiliser_Products_Data4(),FertiliserProducts[[#Headers],[Company]], 91)</f>
        <v>Wengfu Australia</v>
      </c>
      <c r="E203" s="200" t="str" cm="1">
        <f t="array" ref="E203">Common_InputFunctions.Utility_DisplayArrayInTable(Fertiliser_SourceData.Fertiliser_Products_Data4(),FertiliserProducts[[#Headers],[Company]], 91)</f>
        <v>Wengfu 9-20-0-10 MAP SuStain</v>
      </c>
      <c r="F203" s="200" t="str" cm="1">
        <f t="array" ref="F203">Common_InputFunctions.Utility_DisplayArrayInTable(Fertiliser_SourceData.Fertiliser_Products_Data4(),FertiliserProducts[[#Headers],[Company]], 91)</f>
        <v>kg</v>
      </c>
      <c r="G203" s="200" cm="1">
        <f t="array" ref="G203">Common_InputFunctions.Utility_DisplayArrayInTable(Fertiliser_SourceData.Fertiliser_Products_Data4(),FertiliserProducts[[#Headers],[Company]], 91)</f>
        <v>1</v>
      </c>
      <c r="H203" s="200" t="str" cm="1">
        <f t="array" ref="H203">Common_InputFunctions.Utility_DisplayArrayInTable(Fertiliser_SourceData.Fertiliser_Products_Data4(),FertiliserProducts[[#Headers],[Company]], 91)</f>
        <v/>
      </c>
      <c r="I203" s="200" t="str" cm="1">
        <f t="array" ref="I203">Common_InputFunctions.Utility_DisplayArrayInTable(Fertiliser_SourceData.Fertiliser_Products_Data4(),FertiliserProducts[[#Headers],[Company]], 91)</f>
        <v/>
      </c>
      <c r="J203" s="200" t="str" cm="1">
        <f t="array" ref="J203">Common_InputFunctions.Utility_DisplayArrayInTable(Fertiliser_SourceData.Fertiliser_Products_Data4(),FertiliserProducts[[#Headers],[Company]], 91)</f>
        <v/>
      </c>
      <c r="K203" s="200" cm="1">
        <f t="array" ref="K203">Common_InputFunctions.Utility_DisplayArrayInTable(Fertiliser_SourceData.Fertiliser_Products_Data4(),FertiliserProducts[[#Headers],[Company]], 91)</f>
        <v>9</v>
      </c>
      <c r="L203" s="200" cm="1">
        <f t="array" ref="L203">Common_InputFunctions.Utility_DisplayArrayInTable(Fertiliser_SourceData.Fertiliser_Products_Data4(),FertiliserProducts[[#Headers],[Company]], 91)</f>
        <v>19.8</v>
      </c>
      <c r="M203" s="200" cm="1">
        <f t="array" ref="M203">Common_InputFunctions.Utility_DisplayArrayInTable(Fertiliser_SourceData.Fertiliser_Products_Data4(),FertiliserProducts[[#Headers],[Company]], 91)</f>
        <v>0</v>
      </c>
      <c r="N203" s="200" cm="1">
        <f t="array" ref="N203">Common_InputFunctions.Utility_DisplayArrayInTable(Fertiliser_SourceData.Fertiliser_Products_Data4(),FertiliserProducts[[#Headers],[Company]], 91)</f>
        <v>10.4</v>
      </c>
      <c r="O203" s="200" t="str" cm="1">
        <f t="array" ref="O203">Common_InputFunctions.Utility_DisplayArrayInTable(Fertiliser_SourceData.Fertiliser_Products_Data4(),FertiliserProducts[[#Headers],[Company]], 91)</f>
        <v>Nitrogen - Generic</v>
      </c>
      <c r="P203" s="200" cm="1">
        <f t="array" ref="P203">Common_InputFunctions.Utility_DisplayArrayInTable(Fertiliser_SourceData.Fertiliser_Products_Data4(),FertiliserProducts[[#Headers],[Company]], 91)</f>
        <v>0.09</v>
      </c>
      <c r="Q203" s="200" t="str" cm="1">
        <f t="array" ref="Q203">Common_InputFunctions.Utility_DisplayArrayInTable(Fertiliser_SourceData.Fertiliser_Products_Data4(),FertiliserProducts[[#Headers],[Company]], 91)</f>
        <v>Phosphorus - Generic</v>
      </c>
      <c r="R203" s="200" cm="1">
        <f t="array" ref="R203">Common_InputFunctions.Utility_DisplayArrayInTable(Fertiliser_SourceData.Fertiliser_Products_Data4(),FertiliserProducts[[#Headers],[Company]], 91)</f>
        <v>0.19800000000000001</v>
      </c>
      <c r="S203" s="200" t="str" cm="1">
        <f t="array" ref="S203">Common_InputFunctions.Utility_DisplayArrayInTable(Fertiliser_SourceData.Fertiliser_Products_Data4(),FertiliserProducts[[#Headers],[Company]], 91)</f>
        <v>Sulfur - Generic</v>
      </c>
      <c r="T203" s="200" cm="1">
        <f t="array" ref="T203">Common_InputFunctions.Utility_DisplayArrayInTable(Fertiliser_SourceData.Fertiliser_Products_Data4(),FertiliserProducts[[#Headers],[Company]], 91)</f>
        <v>0.104</v>
      </c>
      <c r="U203" s="200" t="str" cm="1">
        <f t="array" ref="U203">Common_InputFunctions.Utility_DisplayArrayInTable(Fertiliser_SourceData.Fertiliser_Products_Data4(),FertiliserProducts[[#Headers],[Company]], 91)</f>
        <v/>
      </c>
      <c r="V203" s="200" t="str" cm="1">
        <f t="array" ref="V203">Common_InputFunctions.Utility_DisplayArrayInTable(Fertiliser_SourceData.Fertiliser_Products_Data4(),FertiliserProducts[[#Headers],[Company]], 91)</f>
        <v/>
      </c>
      <c r="W203" s="200" t="str" cm="1">
        <f t="array" ref="W203">Common_InputFunctions.Utility_DisplayArrayInTable(Fertiliser_SourceData.Fertiliser_Products_Data4(),FertiliserProducts[[#Headers],[Company]], 91)</f>
        <v/>
      </c>
      <c r="X203" s="200" t="str" cm="1">
        <f t="array" ref="X203">Common_InputFunctions.Utility_DisplayArrayInTable(Fertiliser_SourceData.Fertiliser_Products_Data4(),FertiliserProducts[[#Headers],[Company]], 91)</f>
        <v/>
      </c>
      <c r="Y203" s="200" t="str" cm="1">
        <f t="array" ref="Y203">Common_InputFunctions.Utility_DisplayArrayInTable(Fertiliser_SourceData.Fertiliser_Products_Data4(),FertiliserProducts[[#Headers],[Company]], 91)</f>
        <v/>
      </c>
      <c r="Z203" s="200" t="str" cm="1">
        <f t="array" ref="Z203">Common_InputFunctions.Utility_DisplayArrayInTable(Fertiliser_SourceData.Fertiliser_Products_Data4(),FertiliserProducts[[#Headers],[Company]], 91)</f>
        <v/>
      </c>
      <c r="AA203" s="200" t="str" cm="1">
        <f t="array" ref="AA203">Common_InputFunctions.Utility_DisplayArrayInTable(Fertiliser_SourceData.Fertiliser_Products_Data4(),FertiliserProducts[[#Headers],[Company]], 91)</f>
        <v/>
      </c>
      <c r="AB203" s="200" t="str" cm="1">
        <f t="array" ref="AB203">Common_InputFunctions.Utility_DisplayArrayInTable(Fertiliser_SourceData.Fertiliser_Products_Data4(),FertiliserProducts[[#Headers],[Company]], 91)</f>
        <v/>
      </c>
      <c r="AC203" s="200" t="str" cm="1">
        <f t="array" ref="AC203">Common_InputFunctions.Utility_DisplayArrayInTable(Fertiliser_SourceData.Fertiliser_Products_Data4(),FertiliserProducts[[#Headers],[Company]], 91)</f>
        <v/>
      </c>
      <c r="AD203" s="200" t="str" cm="1">
        <f t="array" ref="AD203">Common_InputFunctions.Utility_DisplayArrayInTable(Fertiliser_SourceData.Fertiliser_Products_Data4(),FertiliserProducts[[#Headers],[Company]], 91)</f>
        <v/>
      </c>
      <c r="AE203" s="200" t="str" cm="1">
        <f t="array" ref="AE203">Common_InputFunctions.Utility_DisplayArrayInTable(Fertiliser_SourceData.Fertiliser_Products_Data4(),FertiliserProducts[[#Headers],[Company]], 91)</f>
        <v/>
      </c>
      <c r="AF203" s="200" t="str" cm="1">
        <f t="array" ref="AF203">Common_InputFunctions.Utility_DisplayArrayInTable(Fertiliser_SourceData.Fertiliser_Products_Data4(),FertiliserProducts[[#Headers],[Company]], 91)</f>
        <v/>
      </c>
      <c r="AG203" s="200" t="str" cm="1">
        <f t="array" ref="AG203">Common_InputFunctions.Utility_DisplayArrayInTable(Fertiliser_SourceData.Fertiliser_Products_Data4(),FertiliserProducts[[#Headers],[Company]], 91)</f>
        <v/>
      </c>
      <c r="AH203" s="200" t="str" cm="1">
        <f t="array" ref="AH203">Common_InputFunctions.Utility_DisplayArrayInTable(Fertiliser_SourceData.Fertiliser_Products_Data4(),FertiliserProducts[[#Headers],[Company]], 91)</f>
        <v/>
      </c>
    </row>
    <row r="204" spans="4:34" x14ac:dyDescent="0.25">
      <c r="D204" s="200" t="str" cm="1">
        <f t="array" ref="D204">Common_InputFunctions.Utility_DisplayArrayInTable(Fertiliser_SourceData.Fertiliser_Products_Data4(),FertiliserProducts[[#Headers],[Company]], 91)</f>
        <v>Wengfu Australia</v>
      </c>
      <c r="E204" s="200" t="str" cm="1">
        <f t="array" ref="E204">Common_InputFunctions.Utility_DisplayArrayInTable(Fertiliser_SourceData.Fertiliser_Products_Data4(),FertiliserProducts[[#Headers],[Company]], 91)</f>
        <v>Wengfu 15-17-0-15 DAP SuStain</v>
      </c>
      <c r="F204" s="200" t="str" cm="1">
        <f t="array" ref="F204">Common_InputFunctions.Utility_DisplayArrayInTable(Fertiliser_SourceData.Fertiliser_Products_Data4(),FertiliserProducts[[#Headers],[Company]], 91)</f>
        <v>kg</v>
      </c>
      <c r="G204" s="200" cm="1">
        <f t="array" ref="G204">Common_InputFunctions.Utility_DisplayArrayInTable(Fertiliser_SourceData.Fertiliser_Products_Data4(),FertiliserProducts[[#Headers],[Company]], 91)</f>
        <v>1</v>
      </c>
      <c r="H204" s="200" t="str" cm="1">
        <f t="array" ref="H204">Common_InputFunctions.Utility_DisplayArrayInTable(Fertiliser_SourceData.Fertiliser_Products_Data4(),FertiliserProducts[[#Headers],[Company]], 91)</f>
        <v/>
      </c>
      <c r="I204" s="200" t="str" cm="1">
        <f t="array" ref="I204">Common_InputFunctions.Utility_DisplayArrayInTable(Fertiliser_SourceData.Fertiliser_Products_Data4(),FertiliserProducts[[#Headers],[Company]], 91)</f>
        <v/>
      </c>
      <c r="J204" s="200" t="str" cm="1">
        <f t="array" ref="J204">Common_InputFunctions.Utility_DisplayArrayInTable(Fertiliser_SourceData.Fertiliser_Products_Data4(),FertiliserProducts[[#Headers],[Company]], 91)</f>
        <v/>
      </c>
      <c r="K204" s="200" cm="1">
        <f t="array" ref="K204">Common_InputFunctions.Utility_DisplayArrayInTable(Fertiliser_SourceData.Fertiliser_Products_Data4(),FertiliserProducts[[#Headers],[Company]], 91)</f>
        <v>15.2</v>
      </c>
      <c r="L204" s="200" cm="1">
        <f t="array" ref="L204">Common_InputFunctions.Utility_DisplayArrayInTable(Fertiliser_SourceData.Fertiliser_Products_Data4(),FertiliserProducts[[#Headers],[Company]], 91)</f>
        <v>16.899999999999999</v>
      </c>
      <c r="M204" s="200" cm="1">
        <f t="array" ref="M204">Common_InputFunctions.Utility_DisplayArrayInTable(Fertiliser_SourceData.Fertiliser_Products_Data4(),FertiliserProducts[[#Headers],[Company]], 91)</f>
        <v>0</v>
      </c>
      <c r="N204" s="200" cm="1">
        <f t="array" ref="N204">Common_InputFunctions.Utility_DisplayArrayInTable(Fertiliser_SourceData.Fertiliser_Products_Data4(),FertiliserProducts[[#Headers],[Company]], 91)</f>
        <v>15.2</v>
      </c>
      <c r="O204" s="200" t="str" cm="1">
        <f t="array" ref="O204">Common_InputFunctions.Utility_DisplayArrayInTable(Fertiliser_SourceData.Fertiliser_Products_Data4(),FertiliserProducts[[#Headers],[Company]], 91)</f>
        <v>Nitrogen - Generic</v>
      </c>
      <c r="P204" s="200" cm="1">
        <f t="array" ref="P204">Common_InputFunctions.Utility_DisplayArrayInTable(Fertiliser_SourceData.Fertiliser_Products_Data4(),FertiliserProducts[[#Headers],[Company]], 91)</f>
        <v>0.152</v>
      </c>
      <c r="Q204" s="200" t="str" cm="1">
        <f t="array" ref="Q204">Common_InputFunctions.Utility_DisplayArrayInTable(Fertiliser_SourceData.Fertiliser_Products_Data4(),FertiliserProducts[[#Headers],[Company]], 91)</f>
        <v>Phosphorus - Generic</v>
      </c>
      <c r="R204" s="200" cm="1">
        <f t="array" ref="R204">Common_InputFunctions.Utility_DisplayArrayInTable(Fertiliser_SourceData.Fertiliser_Products_Data4(),FertiliserProducts[[#Headers],[Company]], 91)</f>
        <v>0.16900000000000001</v>
      </c>
      <c r="S204" s="200" t="str" cm="1">
        <f t="array" ref="S204">Common_InputFunctions.Utility_DisplayArrayInTable(Fertiliser_SourceData.Fertiliser_Products_Data4(),FertiliserProducts[[#Headers],[Company]], 91)</f>
        <v>Sulfur - Generic</v>
      </c>
      <c r="T204" s="200" cm="1">
        <f t="array" ref="T204">Common_InputFunctions.Utility_DisplayArrayInTable(Fertiliser_SourceData.Fertiliser_Products_Data4(),FertiliserProducts[[#Headers],[Company]], 91)</f>
        <v>0.152</v>
      </c>
      <c r="U204" s="200" t="str" cm="1">
        <f t="array" ref="U204">Common_InputFunctions.Utility_DisplayArrayInTable(Fertiliser_SourceData.Fertiliser_Products_Data4(),FertiliserProducts[[#Headers],[Company]], 91)</f>
        <v/>
      </c>
      <c r="V204" s="200" t="str" cm="1">
        <f t="array" ref="V204">Common_InputFunctions.Utility_DisplayArrayInTable(Fertiliser_SourceData.Fertiliser_Products_Data4(),FertiliserProducts[[#Headers],[Company]], 91)</f>
        <v/>
      </c>
      <c r="W204" s="200" t="str" cm="1">
        <f t="array" ref="W204">Common_InputFunctions.Utility_DisplayArrayInTable(Fertiliser_SourceData.Fertiliser_Products_Data4(),FertiliserProducts[[#Headers],[Company]], 91)</f>
        <v/>
      </c>
      <c r="X204" s="200" t="str" cm="1">
        <f t="array" ref="X204">Common_InputFunctions.Utility_DisplayArrayInTable(Fertiliser_SourceData.Fertiliser_Products_Data4(),FertiliserProducts[[#Headers],[Company]], 91)</f>
        <v/>
      </c>
      <c r="Y204" s="200" t="str" cm="1">
        <f t="array" ref="Y204">Common_InputFunctions.Utility_DisplayArrayInTable(Fertiliser_SourceData.Fertiliser_Products_Data4(),FertiliserProducts[[#Headers],[Company]], 91)</f>
        <v/>
      </c>
      <c r="Z204" s="200" t="str" cm="1">
        <f t="array" ref="Z204">Common_InputFunctions.Utility_DisplayArrayInTable(Fertiliser_SourceData.Fertiliser_Products_Data4(),FertiliserProducts[[#Headers],[Company]], 91)</f>
        <v/>
      </c>
      <c r="AA204" s="200" t="str" cm="1">
        <f t="array" ref="AA204">Common_InputFunctions.Utility_DisplayArrayInTable(Fertiliser_SourceData.Fertiliser_Products_Data4(),FertiliserProducts[[#Headers],[Company]], 91)</f>
        <v/>
      </c>
      <c r="AB204" s="200" t="str" cm="1">
        <f t="array" ref="AB204">Common_InputFunctions.Utility_DisplayArrayInTable(Fertiliser_SourceData.Fertiliser_Products_Data4(),FertiliserProducts[[#Headers],[Company]], 91)</f>
        <v/>
      </c>
      <c r="AC204" s="200" t="str" cm="1">
        <f t="array" ref="AC204">Common_InputFunctions.Utility_DisplayArrayInTable(Fertiliser_SourceData.Fertiliser_Products_Data4(),FertiliserProducts[[#Headers],[Company]], 91)</f>
        <v/>
      </c>
      <c r="AD204" s="200" t="str" cm="1">
        <f t="array" ref="AD204">Common_InputFunctions.Utility_DisplayArrayInTable(Fertiliser_SourceData.Fertiliser_Products_Data4(),FertiliserProducts[[#Headers],[Company]], 91)</f>
        <v/>
      </c>
      <c r="AE204" s="200" t="str" cm="1">
        <f t="array" ref="AE204">Common_InputFunctions.Utility_DisplayArrayInTable(Fertiliser_SourceData.Fertiliser_Products_Data4(),FertiliserProducts[[#Headers],[Company]], 91)</f>
        <v/>
      </c>
      <c r="AF204" s="200" t="str" cm="1">
        <f t="array" ref="AF204">Common_InputFunctions.Utility_DisplayArrayInTable(Fertiliser_SourceData.Fertiliser_Products_Data4(),FertiliserProducts[[#Headers],[Company]], 91)</f>
        <v/>
      </c>
      <c r="AG204" s="200" t="str" cm="1">
        <f t="array" ref="AG204">Common_InputFunctions.Utility_DisplayArrayInTable(Fertiliser_SourceData.Fertiliser_Products_Data4(),FertiliserProducts[[#Headers],[Company]], 91)</f>
        <v/>
      </c>
      <c r="AH204" s="200" t="str" cm="1">
        <f t="array" ref="AH204">Common_InputFunctions.Utility_DisplayArrayInTable(Fertiliser_SourceData.Fertiliser_Products_Data4(),FertiliserProducts[[#Headers],[Company]], 91)</f>
        <v/>
      </c>
    </row>
    <row r="205" spans="4:34" x14ac:dyDescent="0.25">
      <c r="D205" s="200" t="str" cm="1">
        <f t="array" ref="D205">Common_InputFunctions.Utility_DisplayArrayInTable(Fertiliser_SourceData.Fertiliser_Products_Data4(),FertiliserProducts[[#Headers],[Company]], 91)</f>
        <v>Wengfu Australia</v>
      </c>
      <c r="E205" s="200" t="str" cm="1">
        <f t="array" ref="E205">Common_InputFunctions.Utility_DisplayArrayInTable(Fertiliser_SourceData.Fertiliser_Products_Data4(),FertiliserProducts[[#Headers],[Company]], 91)</f>
        <v>Wengfu 16-18-0-10 DAP SuStain</v>
      </c>
      <c r="F205" s="200" t="str" cm="1">
        <f t="array" ref="F205">Common_InputFunctions.Utility_DisplayArrayInTable(Fertiliser_SourceData.Fertiliser_Products_Data4(),FertiliserProducts[[#Headers],[Company]], 91)</f>
        <v>kg</v>
      </c>
      <c r="G205" s="200" cm="1">
        <f t="array" ref="G205">Common_InputFunctions.Utility_DisplayArrayInTable(Fertiliser_SourceData.Fertiliser_Products_Data4(),FertiliserProducts[[#Headers],[Company]], 91)</f>
        <v>1</v>
      </c>
      <c r="H205" s="200" t="str" cm="1">
        <f t="array" ref="H205">Common_InputFunctions.Utility_DisplayArrayInTable(Fertiliser_SourceData.Fertiliser_Products_Data4(),FertiliserProducts[[#Headers],[Company]], 91)</f>
        <v/>
      </c>
      <c r="I205" s="200" t="str" cm="1">
        <f t="array" ref="I205">Common_InputFunctions.Utility_DisplayArrayInTable(Fertiliser_SourceData.Fertiliser_Products_Data4(),FertiliserProducts[[#Headers],[Company]], 91)</f>
        <v/>
      </c>
      <c r="J205" s="200" t="str" cm="1">
        <f t="array" ref="J205">Common_InputFunctions.Utility_DisplayArrayInTable(Fertiliser_SourceData.Fertiliser_Products_Data4(),FertiliserProducts[[#Headers],[Company]], 91)</f>
        <v/>
      </c>
      <c r="K205" s="200" cm="1">
        <f t="array" ref="K205">Common_InputFunctions.Utility_DisplayArrayInTable(Fertiliser_SourceData.Fertiliser_Products_Data4(),FertiliserProducts[[#Headers],[Company]], 91)</f>
        <v>16.2</v>
      </c>
      <c r="L205" s="200" cm="1">
        <f t="array" ref="L205">Common_InputFunctions.Utility_DisplayArrayInTable(Fertiliser_SourceData.Fertiliser_Products_Data4(),FertiliserProducts[[#Headers],[Company]], 91)</f>
        <v>18</v>
      </c>
      <c r="M205" s="200" cm="1">
        <f t="array" ref="M205">Common_InputFunctions.Utility_DisplayArrayInTable(Fertiliser_SourceData.Fertiliser_Products_Data4(),FertiliserProducts[[#Headers],[Company]], 91)</f>
        <v>0</v>
      </c>
      <c r="N205" s="200" cm="1">
        <f t="array" ref="N205">Common_InputFunctions.Utility_DisplayArrayInTable(Fertiliser_SourceData.Fertiliser_Products_Data4(),FertiliserProducts[[#Headers],[Company]], 91)</f>
        <v>10.4</v>
      </c>
      <c r="O205" s="200" t="str" cm="1">
        <f t="array" ref="O205">Common_InputFunctions.Utility_DisplayArrayInTable(Fertiliser_SourceData.Fertiliser_Products_Data4(),FertiliserProducts[[#Headers],[Company]], 91)</f>
        <v>Nitrogen - Generic</v>
      </c>
      <c r="P205" s="200" cm="1">
        <f t="array" ref="P205">Common_InputFunctions.Utility_DisplayArrayInTable(Fertiliser_SourceData.Fertiliser_Products_Data4(),FertiliserProducts[[#Headers],[Company]], 91)</f>
        <v>0.16200000000000001</v>
      </c>
      <c r="Q205" s="200" t="str" cm="1">
        <f t="array" ref="Q205">Common_InputFunctions.Utility_DisplayArrayInTable(Fertiliser_SourceData.Fertiliser_Products_Data4(),FertiliserProducts[[#Headers],[Company]], 91)</f>
        <v>Phosphorus - Generic</v>
      </c>
      <c r="R205" s="200" cm="1">
        <f t="array" ref="R205">Common_InputFunctions.Utility_DisplayArrayInTable(Fertiliser_SourceData.Fertiliser_Products_Data4(),FertiliserProducts[[#Headers],[Company]], 91)</f>
        <v>0.18</v>
      </c>
      <c r="S205" s="200" t="str" cm="1">
        <f t="array" ref="S205">Common_InputFunctions.Utility_DisplayArrayInTable(Fertiliser_SourceData.Fertiliser_Products_Data4(),FertiliserProducts[[#Headers],[Company]], 91)</f>
        <v>Sulfur - Generic</v>
      </c>
      <c r="T205" s="200" cm="1">
        <f t="array" ref="T205">Common_InputFunctions.Utility_DisplayArrayInTable(Fertiliser_SourceData.Fertiliser_Products_Data4(),FertiliserProducts[[#Headers],[Company]], 91)</f>
        <v>0.104</v>
      </c>
      <c r="U205" s="200" t="str" cm="1">
        <f t="array" ref="U205">Common_InputFunctions.Utility_DisplayArrayInTable(Fertiliser_SourceData.Fertiliser_Products_Data4(),FertiliserProducts[[#Headers],[Company]], 91)</f>
        <v/>
      </c>
      <c r="V205" s="200" t="str" cm="1">
        <f t="array" ref="V205">Common_InputFunctions.Utility_DisplayArrayInTable(Fertiliser_SourceData.Fertiliser_Products_Data4(),FertiliserProducts[[#Headers],[Company]], 91)</f>
        <v/>
      </c>
      <c r="W205" s="200" t="str" cm="1">
        <f t="array" ref="W205">Common_InputFunctions.Utility_DisplayArrayInTable(Fertiliser_SourceData.Fertiliser_Products_Data4(),FertiliserProducts[[#Headers],[Company]], 91)</f>
        <v/>
      </c>
      <c r="X205" s="200" t="str" cm="1">
        <f t="array" ref="X205">Common_InputFunctions.Utility_DisplayArrayInTable(Fertiliser_SourceData.Fertiliser_Products_Data4(),FertiliserProducts[[#Headers],[Company]], 91)</f>
        <v/>
      </c>
      <c r="Y205" s="200" t="str" cm="1">
        <f t="array" ref="Y205">Common_InputFunctions.Utility_DisplayArrayInTable(Fertiliser_SourceData.Fertiliser_Products_Data4(),FertiliserProducts[[#Headers],[Company]], 91)</f>
        <v/>
      </c>
      <c r="Z205" s="200" t="str" cm="1">
        <f t="array" ref="Z205">Common_InputFunctions.Utility_DisplayArrayInTable(Fertiliser_SourceData.Fertiliser_Products_Data4(),FertiliserProducts[[#Headers],[Company]], 91)</f>
        <v/>
      </c>
      <c r="AA205" s="200" t="str" cm="1">
        <f t="array" ref="AA205">Common_InputFunctions.Utility_DisplayArrayInTable(Fertiliser_SourceData.Fertiliser_Products_Data4(),FertiliserProducts[[#Headers],[Company]], 91)</f>
        <v/>
      </c>
      <c r="AB205" s="200" t="str" cm="1">
        <f t="array" ref="AB205">Common_InputFunctions.Utility_DisplayArrayInTable(Fertiliser_SourceData.Fertiliser_Products_Data4(),FertiliserProducts[[#Headers],[Company]], 91)</f>
        <v/>
      </c>
      <c r="AC205" s="200" t="str" cm="1">
        <f t="array" ref="AC205">Common_InputFunctions.Utility_DisplayArrayInTable(Fertiliser_SourceData.Fertiliser_Products_Data4(),FertiliserProducts[[#Headers],[Company]], 91)</f>
        <v/>
      </c>
      <c r="AD205" s="200" t="str" cm="1">
        <f t="array" ref="AD205">Common_InputFunctions.Utility_DisplayArrayInTable(Fertiliser_SourceData.Fertiliser_Products_Data4(),FertiliserProducts[[#Headers],[Company]], 91)</f>
        <v/>
      </c>
      <c r="AE205" s="200" t="str" cm="1">
        <f t="array" ref="AE205">Common_InputFunctions.Utility_DisplayArrayInTable(Fertiliser_SourceData.Fertiliser_Products_Data4(),FertiliserProducts[[#Headers],[Company]], 91)</f>
        <v/>
      </c>
      <c r="AF205" s="200" t="str" cm="1">
        <f t="array" ref="AF205">Common_InputFunctions.Utility_DisplayArrayInTable(Fertiliser_SourceData.Fertiliser_Products_Data4(),FertiliserProducts[[#Headers],[Company]], 91)</f>
        <v/>
      </c>
      <c r="AG205" s="200" t="str" cm="1">
        <f t="array" ref="AG205">Common_InputFunctions.Utility_DisplayArrayInTable(Fertiliser_SourceData.Fertiliser_Products_Data4(),FertiliserProducts[[#Headers],[Company]], 91)</f>
        <v/>
      </c>
      <c r="AH205" s="200" t="str" cm="1">
        <f t="array" ref="AH205">Common_InputFunctions.Utility_DisplayArrayInTable(Fertiliser_SourceData.Fertiliser_Products_Data4(),FertiliserProducts[[#Headers],[Company]], 91)</f>
        <v/>
      </c>
    </row>
    <row r="206" spans="4:34" x14ac:dyDescent="0.25">
      <c r="D206" s="200" t="str" cm="1">
        <f t="array" ref="D206">Common_InputFunctions.Utility_DisplayArrayInTable(Fertiliser_SourceData.Fertiliser_Products_Data4(),FertiliserProducts[[#Headers],[Company]], 91)</f>
        <v>Wengfu Australia</v>
      </c>
      <c r="E206" s="200" t="str" cm="1">
        <f t="array" ref="E206">Common_InputFunctions.Utility_DisplayArrayInTable(Fertiliser_SourceData.Fertiliser_Products_Data4(),FertiliserProducts[[#Headers],[Company]], 91)</f>
        <v>Wengfu 5-15-0-6 Fast Start Legume</v>
      </c>
      <c r="F206" s="200" t="str" cm="1">
        <f t="array" ref="F206">Common_InputFunctions.Utility_DisplayArrayInTable(Fertiliser_SourceData.Fertiliser_Products_Data4(),FertiliserProducts[[#Headers],[Company]], 91)</f>
        <v>kg</v>
      </c>
      <c r="G206" s="200" cm="1">
        <f t="array" ref="G206">Common_InputFunctions.Utility_DisplayArrayInTable(Fertiliser_SourceData.Fertiliser_Products_Data4(),FertiliserProducts[[#Headers],[Company]], 91)</f>
        <v>1</v>
      </c>
      <c r="H206" s="200" t="str" cm="1">
        <f t="array" ref="H206">Common_InputFunctions.Utility_DisplayArrayInTable(Fertiliser_SourceData.Fertiliser_Products_Data4(),FertiliserProducts[[#Headers],[Company]], 91)</f>
        <v/>
      </c>
      <c r="I206" s="200" t="str" cm="1">
        <f t="array" ref="I206">Common_InputFunctions.Utility_DisplayArrayInTable(Fertiliser_SourceData.Fertiliser_Products_Data4(),FertiliserProducts[[#Headers],[Company]], 91)</f>
        <v/>
      </c>
      <c r="J206" s="200" t="str" cm="1">
        <f t="array" ref="J206">Common_InputFunctions.Utility_DisplayArrayInTable(Fertiliser_SourceData.Fertiliser_Products_Data4(),FertiliserProducts[[#Headers],[Company]], 91)</f>
        <v/>
      </c>
      <c r="K206" s="200" cm="1">
        <f t="array" ref="K206">Common_InputFunctions.Utility_DisplayArrayInTable(Fertiliser_SourceData.Fertiliser_Products_Data4(),FertiliserProducts[[#Headers],[Company]], 91)</f>
        <v>5</v>
      </c>
      <c r="L206" s="200" cm="1">
        <f t="array" ref="L206">Common_InputFunctions.Utility_DisplayArrayInTable(Fertiliser_SourceData.Fertiliser_Products_Data4(),FertiliserProducts[[#Headers],[Company]], 91)</f>
        <v>15.4</v>
      </c>
      <c r="M206" s="200" cm="1">
        <f t="array" ref="M206">Common_InputFunctions.Utility_DisplayArrayInTable(Fertiliser_SourceData.Fertiliser_Products_Data4(),FertiliserProducts[[#Headers],[Company]], 91)</f>
        <v>0</v>
      </c>
      <c r="N206" s="200" cm="1">
        <f t="array" ref="N206">Common_InputFunctions.Utility_DisplayArrayInTable(Fertiliser_SourceData.Fertiliser_Products_Data4(),FertiliserProducts[[#Headers],[Company]], 91)</f>
        <v>6.3</v>
      </c>
      <c r="O206" s="200" t="str" cm="1">
        <f t="array" ref="O206">Common_InputFunctions.Utility_DisplayArrayInTable(Fertiliser_SourceData.Fertiliser_Products_Data4(),FertiliserProducts[[#Headers],[Company]], 91)</f>
        <v>Nitrogen - Generic</v>
      </c>
      <c r="P206" s="200" cm="1">
        <f t="array" ref="P206">Common_InputFunctions.Utility_DisplayArrayInTable(Fertiliser_SourceData.Fertiliser_Products_Data4(),FertiliserProducts[[#Headers],[Company]], 91)</f>
        <v>0.05</v>
      </c>
      <c r="Q206" s="200" t="str" cm="1">
        <f t="array" ref="Q206">Common_InputFunctions.Utility_DisplayArrayInTable(Fertiliser_SourceData.Fertiliser_Products_Data4(),FertiliserProducts[[#Headers],[Company]], 91)</f>
        <v>Phosphorus - Generic</v>
      </c>
      <c r="R206" s="200" cm="1">
        <f t="array" ref="R206">Common_InputFunctions.Utility_DisplayArrayInTable(Fertiliser_SourceData.Fertiliser_Products_Data4(),FertiliserProducts[[#Headers],[Company]], 91)</f>
        <v>0.154</v>
      </c>
      <c r="S206" s="200" t="str" cm="1">
        <f t="array" ref="S206">Common_InputFunctions.Utility_DisplayArrayInTable(Fertiliser_SourceData.Fertiliser_Products_Data4(),FertiliserProducts[[#Headers],[Company]], 91)</f>
        <v>Sulfur - Generic</v>
      </c>
      <c r="T206" s="200" cm="1">
        <f t="array" ref="T206">Common_InputFunctions.Utility_DisplayArrayInTable(Fertiliser_SourceData.Fertiliser_Products_Data4(),FertiliserProducts[[#Headers],[Company]], 91)</f>
        <v>6.3E-2</v>
      </c>
      <c r="U206" s="200" t="str" cm="1">
        <f t="array" ref="U206">Common_InputFunctions.Utility_DisplayArrayInTable(Fertiliser_SourceData.Fertiliser_Products_Data4(),FertiliserProducts[[#Headers],[Company]], 91)</f>
        <v/>
      </c>
      <c r="V206" s="200" t="str" cm="1">
        <f t="array" ref="V206">Common_InputFunctions.Utility_DisplayArrayInTable(Fertiliser_SourceData.Fertiliser_Products_Data4(),FertiliserProducts[[#Headers],[Company]], 91)</f>
        <v/>
      </c>
      <c r="W206" s="200" t="str" cm="1">
        <f t="array" ref="W206">Common_InputFunctions.Utility_DisplayArrayInTable(Fertiliser_SourceData.Fertiliser_Products_Data4(),FertiliserProducts[[#Headers],[Company]], 91)</f>
        <v/>
      </c>
      <c r="X206" s="200" t="str" cm="1">
        <f t="array" ref="X206">Common_InputFunctions.Utility_DisplayArrayInTable(Fertiliser_SourceData.Fertiliser_Products_Data4(),FertiliserProducts[[#Headers],[Company]], 91)</f>
        <v/>
      </c>
      <c r="Y206" s="200" t="str" cm="1">
        <f t="array" ref="Y206">Common_InputFunctions.Utility_DisplayArrayInTable(Fertiliser_SourceData.Fertiliser_Products_Data4(),FertiliserProducts[[#Headers],[Company]], 91)</f>
        <v/>
      </c>
      <c r="Z206" s="200" t="str" cm="1">
        <f t="array" ref="Z206">Common_InputFunctions.Utility_DisplayArrayInTable(Fertiliser_SourceData.Fertiliser_Products_Data4(),FertiliserProducts[[#Headers],[Company]], 91)</f>
        <v/>
      </c>
      <c r="AA206" s="200" t="str" cm="1">
        <f t="array" ref="AA206">Common_InputFunctions.Utility_DisplayArrayInTable(Fertiliser_SourceData.Fertiliser_Products_Data4(),FertiliserProducts[[#Headers],[Company]], 91)</f>
        <v/>
      </c>
      <c r="AB206" s="200" t="str" cm="1">
        <f t="array" ref="AB206">Common_InputFunctions.Utility_DisplayArrayInTable(Fertiliser_SourceData.Fertiliser_Products_Data4(),FertiliserProducts[[#Headers],[Company]], 91)</f>
        <v/>
      </c>
      <c r="AC206" s="200" t="str" cm="1">
        <f t="array" ref="AC206">Common_InputFunctions.Utility_DisplayArrayInTable(Fertiliser_SourceData.Fertiliser_Products_Data4(),FertiliserProducts[[#Headers],[Company]], 91)</f>
        <v/>
      </c>
      <c r="AD206" s="200" t="str" cm="1">
        <f t="array" ref="AD206">Common_InputFunctions.Utility_DisplayArrayInTable(Fertiliser_SourceData.Fertiliser_Products_Data4(),FertiliserProducts[[#Headers],[Company]], 91)</f>
        <v/>
      </c>
      <c r="AE206" s="200" t="str" cm="1">
        <f t="array" ref="AE206">Common_InputFunctions.Utility_DisplayArrayInTable(Fertiliser_SourceData.Fertiliser_Products_Data4(),FertiliserProducts[[#Headers],[Company]], 91)</f>
        <v/>
      </c>
      <c r="AF206" s="200" t="str" cm="1">
        <f t="array" ref="AF206">Common_InputFunctions.Utility_DisplayArrayInTable(Fertiliser_SourceData.Fertiliser_Products_Data4(),FertiliserProducts[[#Headers],[Company]], 91)</f>
        <v/>
      </c>
      <c r="AG206" s="200" t="str" cm="1">
        <f t="array" ref="AG206">Common_InputFunctions.Utility_DisplayArrayInTable(Fertiliser_SourceData.Fertiliser_Products_Data4(),FertiliserProducts[[#Headers],[Company]], 91)</f>
        <v/>
      </c>
      <c r="AH206" s="200" t="str" cm="1">
        <f t="array" ref="AH206">Common_InputFunctions.Utility_DisplayArrayInTable(Fertiliser_SourceData.Fertiliser_Products_Data4(),FertiliserProducts[[#Headers],[Company]], 91)</f>
        <v/>
      </c>
    </row>
    <row r="207" spans="4:34" x14ac:dyDescent="0.25">
      <c r="D207" s="200" t="str" cm="1">
        <f t="array" ref="D207">Common_InputFunctions.Utility_DisplayArrayInTable(Fertiliser_SourceData.Fertiliser_Products_Data4(),FertiliserProducts[[#Headers],[Company]], 91)</f>
        <v>Wengfu Australia</v>
      </c>
      <c r="E207" s="200" t="str" cm="1">
        <f t="array" ref="E207">Common_InputFunctions.Utility_DisplayArrayInTable(Fertiliser_SourceData.Fertiliser_Products_Data4(),FertiliserProducts[[#Headers],[Company]], 91)</f>
        <v>Wengfu 9-20-0-10 PrimeZinc</v>
      </c>
      <c r="F207" s="200" t="str" cm="1">
        <f t="array" ref="F207">Common_InputFunctions.Utility_DisplayArrayInTable(Fertiliser_SourceData.Fertiliser_Products_Data4(),FertiliserProducts[[#Headers],[Company]], 91)</f>
        <v>kg</v>
      </c>
      <c r="G207" s="200" cm="1">
        <f t="array" ref="G207">Common_InputFunctions.Utility_DisplayArrayInTable(Fertiliser_SourceData.Fertiliser_Products_Data4(),FertiliserProducts[[#Headers],[Company]], 91)</f>
        <v>1</v>
      </c>
      <c r="H207" s="200" t="str" cm="1">
        <f t="array" ref="H207">Common_InputFunctions.Utility_DisplayArrayInTable(Fertiliser_SourceData.Fertiliser_Products_Data4(),FertiliserProducts[[#Headers],[Company]], 91)</f>
        <v/>
      </c>
      <c r="I207" s="200" t="str" cm="1">
        <f t="array" ref="I207">Common_InputFunctions.Utility_DisplayArrayInTable(Fertiliser_SourceData.Fertiliser_Products_Data4(),FertiliserProducts[[#Headers],[Company]], 91)</f>
        <v/>
      </c>
      <c r="J207" s="200" t="str" cm="1">
        <f t="array" ref="J207">Common_InputFunctions.Utility_DisplayArrayInTable(Fertiliser_SourceData.Fertiliser_Products_Data4(),FertiliserProducts[[#Headers],[Company]], 91)</f>
        <v/>
      </c>
      <c r="K207" s="200" cm="1">
        <f t="array" ref="K207">Common_InputFunctions.Utility_DisplayArrayInTable(Fertiliser_SourceData.Fertiliser_Products_Data4(),FertiliserProducts[[#Headers],[Company]], 91)</f>
        <v>9</v>
      </c>
      <c r="L207" s="200" cm="1">
        <f t="array" ref="L207">Common_InputFunctions.Utility_DisplayArrayInTable(Fertiliser_SourceData.Fertiliser_Products_Data4(),FertiliserProducts[[#Headers],[Company]], 91)</f>
        <v>19.8</v>
      </c>
      <c r="M207" s="200" cm="1">
        <f t="array" ref="M207">Common_InputFunctions.Utility_DisplayArrayInTable(Fertiliser_SourceData.Fertiliser_Products_Data4(),FertiliserProducts[[#Headers],[Company]], 91)</f>
        <v>0</v>
      </c>
      <c r="N207" s="200" cm="1">
        <f t="array" ref="N207">Common_InputFunctions.Utility_DisplayArrayInTable(Fertiliser_SourceData.Fertiliser_Products_Data4(),FertiliserProducts[[#Headers],[Company]], 91)</f>
        <v>10.4</v>
      </c>
      <c r="O207" s="200" t="str" cm="1">
        <f t="array" ref="O207">Common_InputFunctions.Utility_DisplayArrayInTable(Fertiliser_SourceData.Fertiliser_Products_Data4(),FertiliserProducts[[#Headers],[Company]], 91)</f>
        <v>Nitrogen - Generic</v>
      </c>
      <c r="P207" s="200" cm="1">
        <f t="array" ref="P207">Common_InputFunctions.Utility_DisplayArrayInTable(Fertiliser_SourceData.Fertiliser_Products_Data4(),FertiliserProducts[[#Headers],[Company]], 91)</f>
        <v>0.09</v>
      </c>
      <c r="Q207" s="200" t="str" cm="1">
        <f t="array" ref="Q207">Common_InputFunctions.Utility_DisplayArrayInTable(Fertiliser_SourceData.Fertiliser_Products_Data4(),FertiliserProducts[[#Headers],[Company]], 91)</f>
        <v>Phosphorus - Generic</v>
      </c>
      <c r="R207" s="200" cm="1">
        <f t="array" ref="R207">Common_InputFunctions.Utility_DisplayArrayInTable(Fertiliser_SourceData.Fertiliser_Products_Data4(),FertiliserProducts[[#Headers],[Company]], 91)</f>
        <v>0.19800000000000001</v>
      </c>
      <c r="S207" s="200" t="str" cm="1">
        <f t="array" ref="S207">Common_InputFunctions.Utility_DisplayArrayInTable(Fertiliser_SourceData.Fertiliser_Products_Data4(),FertiliserProducts[[#Headers],[Company]], 91)</f>
        <v>Sulfur - Generic</v>
      </c>
      <c r="T207" s="200" cm="1">
        <f t="array" ref="T207">Common_InputFunctions.Utility_DisplayArrayInTable(Fertiliser_SourceData.Fertiliser_Products_Data4(),FertiliserProducts[[#Headers],[Company]], 91)</f>
        <v>0.104</v>
      </c>
      <c r="U207" s="200" t="str" cm="1">
        <f t="array" ref="U207">Common_InputFunctions.Utility_DisplayArrayInTable(Fertiliser_SourceData.Fertiliser_Products_Data4(),FertiliserProducts[[#Headers],[Company]], 91)</f>
        <v>Zinc</v>
      </c>
      <c r="V207" s="200" cm="1">
        <f t="array" ref="V207">Common_InputFunctions.Utility_DisplayArrayInTable(Fertiliser_SourceData.Fertiliser_Products_Data4(),FertiliserProducts[[#Headers],[Company]], 91)</f>
        <v>8.9999999999999993E-3</v>
      </c>
      <c r="W207" s="200" t="str" cm="1">
        <f t="array" ref="W207">Common_InputFunctions.Utility_DisplayArrayInTable(Fertiliser_SourceData.Fertiliser_Products_Data4(),FertiliserProducts[[#Headers],[Company]], 91)</f>
        <v/>
      </c>
      <c r="X207" s="200" t="str" cm="1">
        <f t="array" ref="X207">Common_InputFunctions.Utility_DisplayArrayInTable(Fertiliser_SourceData.Fertiliser_Products_Data4(),FertiliserProducts[[#Headers],[Company]], 91)</f>
        <v/>
      </c>
      <c r="Y207" s="200" t="str" cm="1">
        <f t="array" ref="Y207">Common_InputFunctions.Utility_DisplayArrayInTable(Fertiliser_SourceData.Fertiliser_Products_Data4(),FertiliserProducts[[#Headers],[Company]], 91)</f>
        <v/>
      </c>
      <c r="Z207" s="200" t="str" cm="1">
        <f t="array" ref="Z207">Common_InputFunctions.Utility_DisplayArrayInTable(Fertiliser_SourceData.Fertiliser_Products_Data4(),FertiliserProducts[[#Headers],[Company]], 91)</f>
        <v/>
      </c>
      <c r="AA207" s="200" t="str" cm="1">
        <f t="array" ref="AA207">Common_InputFunctions.Utility_DisplayArrayInTable(Fertiliser_SourceData.Fertiliser_Products_Data4(),FertiliserProducts[[#Headers],[Company]], 91)</f>
        <v/>
      </c>
      <c r="AB207" s="200" t="str" cm="1">
        <f t="array" ref="AB207">Common_InputFunctions.Utility_DisplayArrayInTable(Fertiliser_SourceData.Fertiliser_Products_Data4(),FertiliserProducts[[#Headers],[Company]], 91)</f>
        <v/>
      </c>
      <c r="AC207" s="200" t="str" cm="1">
        <f t="array" ref="AC207">Common_InputFunctions.Utility_DisplayArrayInTable(Fertiliser_SourceData.Fertiliser_Products_Data4(),FertiliserProducts[[#Headers],[Company]], 91)</f>
        <v/>
      </c>
      <c r="AD207" s="200" t="str" cm="1">
        <f t="array" ref="AD207">Common_InputFunctions.Utility_DisplayArrayInTable(Fertiliser_SourceData.Fertiliser_Products_Data4(),FertiliserProducts[[#Headers],[Company]], 91)</f>
        <v/>
      </c>
      <c r="AE207" s="200" t="str" cm="1">
        <f t="array" ref="AE207">Common_InputFunctions.Utility_DisplayArrayInTable(Fertiliser_SourceData.Fertiliser_Products_Data4(),FertiliserProducts[[#Headers],[Company]], 91)</f>
        <v/>
      </c>
      <c r="AF207" s="200" t="str" cm="1">
        <f t="array" ref="AF207">Common_InputFunctions.Utility_DisplayArrayInTable(Fertiliser_SourceData.Fertiliser_Products_Data4(),FertiliserProducts[[#Headers],[Company]], 91)</f>
        <v/>
      </c>
      <c r="AG207" s="200" t="str" cm="1">
        <f t="array" ref="AG207">Common_InputFunctions.Utility_DisplayArrayInTable(Fertiliser_SourceData.Fertiliser_Products_Data4(),FertiliserProducts[[#Headers],[Company]], 91)</f>
        <v/>
      </c>
      <c r="AH207" s="200" t="str" cm="1">
        <f t="array" ref="AH207">Common_InputFunctions.Utility_DisplayArrayInTable(Fertiliser_SourceData.Fertiliser_Products_Data4(),FertiliserProducts[[#Headers],[Company]], 91)</f>
        <v/>
      </c>
    </row>
    <row r="208" spans="4:34" x14ac:dyDescent="0.25">
      <c r="D208" s="200" t="str" cm="1">
        <f t="array" ref="D208">Common_InputFunctions.Utility_DisplayArrayInTable(Fertiliser_SourceData.Fertiliser_Products_Data4(),FertiliserProducts[[#Headers],[Company]], 91)</f>
        <v>Wengfu Australia</v>
      </c>
      <c r="E208" s="200" t="str" cm="1">
        <f t="array" ref="E208">Common_InputFunctions.Utility_DisplayArrayInTable(Fertiliser_SourceData.Fertiliser_Products_Data4(),FertiliserProducts[[#Headers],[Company]], 91)</f>
        <v>Wengfu 12-18-0-6 PrimeZinc</v>
      </c>
      <c r="F208" s="200" t="str" cm="1">
        <f t="array" ref="F208">Common_InputFunctions.Utility_DisplayArrayInTable(Fertiliser_SourceData.Fertiliser_Products_Data4(),FertiliserProducts[[#Headers],[Company]], 91)</f>
        <v>kg</v>
      </c>
      <c r="G208" s="200" cm="1">
        <f t="array" ref="G208">Common_InputFunctions.Utility_DisplayArrayInTable(Fertiliser_SourceData.Fertiliser_Products_Data4(),FertiliserProducts[[#Headers],[Company]], 91)</f>
        <v>1</v>
      </c>
      <c r="H208" s="200" t="str" cm="1">
        <f t="array" ref="H208">Common_InputFunctions.Utility_DisplayArrayInTable(Fertiliser_SourceData.Fertiliser_Products_Data4(),FertiliserProducts[[#Headers],[Company]], 91)</f>
        <v/>
      </c>
      <c r="I208" s="200" t="str" cm="1">
        <f t="array" ref="I208">Common_InputFunctions.Utility_DisplayArrayInTable(Fertiliser_SourceData.Fertiliser_Products_Data4(),FertiliserProducts[[#Headers],[Company]], 91)</f>
        <v/>
      </c>
      <c r="J208" s="200" t="str" cm="1">
        <f t="array" ref="J208">Common_InputFunctions.Utility_DisplayArrayInTable(Fertiliser_SourceData.Fertiliser_Products_Data4(),FertiliserProducts[[#Headers],[Company]], 91)</f>
        <v/>
      </c>
      <c r="K208" s="200" cm="1">
        <f t="array" ref="K208">Common_InputFunctions.Utility_DisplayArrayInTable(Fertiliser_SourceData.Fertiliser_Products_Data4(),FertiliserProducts[[#Headers],[Company]], 91)</f>
        <v>11.9</v>
      </c>
      <c r="L208" s="200" cm="1">
        <f t="array" ref="L208">Common_InputFunctions.Utility_DisplayArrayInTable(Fertiliser_SourceData.Fertiliser_Products_Data4(),FertiliserProducts[[#Headers],[Company]], 91)</f>
        <v>17.600000000000001</v>
      </c>
      <c r="M208" s="200" cm="1">
        <f t="array" ref="M208">Common_InputFunctions.Utility_DisplayArrayInTable(Fertiliser_SourceData.Fertiliser_Products_Data4(),FertiliserProducts[[#Headers],[Company]], 91)</f>
        <v>0</v>
      </c>
      <c r="N208" s="200" cm="1">
        <f t="array" ref="N208">Common_InputFunctions.Utility_DisplayArrayInTable(Fertiliser_SourceData.Fertiliser_Products_Data4(),FertiliserProducts[[#Headers],[Company]], 91)</f>
        <v>5.9</v>
      </c>
      <c r="O208" s="200" t="str" cm="1">
        <f t="array" ref="O208">Common_InputFunctions.Utility_DisplayArrayInTable(Fertiliser_SourceData.Fertiliser_Products_Data4(),FertiliserProducts[[#Headers],[Company]], 91)</f>
        <v>Nitrogen - Generic</v>
      </c>
      <c r="P208" s="200" cm="1">
        <f t="array" ref="P208">Common_InputFunctions.Utility_DisplayArrayInTable(Fertiliser_SourceData.Fertiliser_Products_Data4(),FertiliserProducts[[#Headers],[Company]], 91)</f>
        <v>0.11899999999999999</v>
      </c>
      <c r="Q208" s="200" t="str" cm="1">
        <f t="array" ref="Q208">Common_InputFunctions.Utility_DisplayArrayInTable(Fertiliser_SourceData.Fertiliser_Products_Data4(),FertiliserProducts[[#Headers],[Company]], 91)</f>
        <v>Phosphorus - Generic</v>
      </c>
      <c r="R208" s="200" cm="1">
        <f t="array" ref="R208">Common_InputFunctions.Utility_DisplayArrayInTable(Fertiliser_SourceData.Fertiliser_Products_Data4(),FertiliserProducts[[#Headers],[Company]], 91)</f>
        <v>0.17599999999999999</v>
      </c>
      <c r="S208" s="200" t="str" cm="1">
        <f t="array" ref="S208">Common_InputFunctions.Utility_DisplayArrayInTable(Fertiliser_SourceData.Fertiliser_Products_Data4(),FertiliserProducts[[#Headers],[Company]], 91)</f>
        <v>Sulfur - Generic</v>
      </c>
      <c r="T208" s="200" cm="1">
        <f t="array" ref="T208">Common_InputFunctions.Utility_DisplayArrayInTable(Fertiliser_SourceData.Fertiliser_Products_Data4(),FertiliserProducts[[#Headers],[Company]], 91)</f>
        <v>5.8999999999999997E-2</v>
      </c>
      <c r="U208" s="200" t="str" cm="1">
        <f t="array" ref="U208">Common_InputFunctions.Utility_DisplayArrayInTable(Fertiliser_SourceData.Fertiliser_Products_Data4(),FertiliserProducts[[#Headers],[Company]], 91)</f>
        <v>Zinc</v>
      </c>
      <c r="V208" s="200" cm="1">
        <f t="array" ref="V208">Common_InputFunctions.Utility_DisplayArrayInTable(Fertiliser_SourceData.Fertiliser_Products_Data4(),FertiliserProducts[[#Headers],[Company]], 91)</f>
        <v>8.0000000000000002E-3</v>
      </c>
      <c r="W208" s="200" t="str" cm="1">
        <f t="array" ref="W208">Common_InputFunctions.Utility_DisplayArrayInTable(Fertiliser_SourceData.Fertiliser_Products_Data4(),FertiliserProducts[[#Headers],[Company]], 91)</f>
        <v/>
      </c>
      <c r="X208" s="200" t="str" cm="1">
        <f t="array" ref="X208">Common_InputFunctions.Utility_DisplayArrayInTable(Fertiliser_SourceData.Fertiliser_Products_Data4(),FertiliserProducts[[#Headers],[Company]], 91)</f>
        <v/>
      </c>
      <c r="Y208" s="200" t="str" cm="1">
        <f t="array" ref="Y208">Common_InputFunctions.Utility_DisplayArrayInTable(Fertiliser_SourceData.Fertiliser_Products_Data4(),FertiliserProducts[[#Headers],[Company]], 91)</f>
        <v/>
      </c>
      <c r="Z208" s="200" t="str" cm="1">
        <f t="array" ref="Z208">Common_InputFunctions.Utility_DisplayArrayInTable(Fertiliser_SourceData.Fertiliser_Products_Data4(),FertiliserProducts[[#Headers],[Company]], 91)</f>
        <v/>
      </c>
      <c r="AA208" s="200" t="str" cm="1">
        <f t="array" ref="AA208">Common_InputFunctions.Utility_DisplayArrayInTable(Fertiliser_SourceData.Fertiliser_Products_Data4(),FertiliserProducts[[#Headers],[Company]], 91)</f>
        <v/>
      </c>
      <c r="AB208" s="200" t="str" cm="1">
        <f t="array" ref="AB208">Common_InputFunctions.Utility_DisplayArrayInTable(Fertiliser_SourceData.Fertiliser_Products_Data4(),FertiliserProducts[[#Headers],[Company]], 91)</f>
        <v/>
      </c>
      <c r="AC208" s="200" t="str" cm="1">
        <f t="array" ref="AC208">Common_InputFunctions.Utility_DisplayArrayInTable(Fertiliser_SourceData.Fertiliser_Products_Data4(),FertiliserProducts[[#Headers],[Company]], 91)</f>
        <v/>
      </c>
      <c r="AD208" s="200" t="str" cm="1">
        <f t="array" ref="AD208">Common_InputFunctions.Utility_DisplayArrayInTable(Fertiliser_SourceData.Fertiliser_Products_Data4(),FertiliserProducts[[#Headers],[Company]], 91)</f>
        <v/>
      </c>
      <c r="AE208" s="200" t="str" cm="1">
        <f t="array" ref="AE208">Common_InputFunctions.Utility_DisplayArrayInTable(Fertiliser_SourceData.Fertiliser_Products_Data4(),FertiliserProducts[[#Headers],[Company]], 91)</f>
        <v/>
      </c>
      <c r="AF208" s="200" t="str" cm="1">
        <f t="array" ref="AF208">Common_InputFunctions.Utility_DisplayArrayInTable(Fertiliser_SourceData.Fertiliser_Products_Data4(),FertiliserProducts[[#Headers],[Company]], 91)</f>
        <v/>
      </c>
      <c r="AG208" s="200" t="str" cm="1">
        <f t="array" ref="AG208">Common_InputFunctions.Utility_DisplayArrayInTable(Fertiliser_SourceData.Fertiliser_Products_Data4(),FertiliserProducts[[#Headers],[Company]], 91)</f>
        <v/>
      </c>
      <c r="AH208" s="200" t="str" cm="1">
        <f t="array" ref="AH208">Common_InputFunctions.Utility_DisplayArrayInTable(Fertiliser_SourceData.Fertiliser_Products_Data4(),FertiliserProducts[[#Headers],[Company]], 91)</f>
        <v/>
      </c>
    </row>
    <row r="209" spans="4:34" x14ac:dyDescent="0.25">
      <c r="D209" s="200" t="str" cm="1">
        <f t="array" ref="D209">Common_InputFunctions.Utility_DisplayArrayInTable(Fertiliser_SourceData.Fertiliser_Products_Data4(),FertiliserProducts[[#Headers],[Company]], 91)</f>
        <v>Wengfu Australia</v>
      </c>
      <c r="E209" s="200" t="str" cm="1">
        <f t="array" ref="E209">Common_InputFunctions.Utility_DisplayArrayInTable(Fertiliser_SourceData.Fertiliser_Products_Data4(),FertiliserProducts[[#Headers],[Company]], 91)</f>
        <v>Wengfu 14-13-0-11 PrimeZinc</v>
      </c>
      <c r="F209" s="200" t="str" cm="1">
        <f t="array" ref="F209">Common_InputFunctions.Utility_DisplayArrayInTable(Fertiliser_SourceData.Fertiliser_Products_Data4(),FertiliserProducts[[#Headers],[Company]], 91)</f>
        <v>kg</v>
      </c>
      <c r="G209" s="200" cm="1">
        <f t="array" ref="G209">Common_InputFunctions.Utility_DisplayArrayInTable(Fertiliser_SourceData.Fertiliser_Products_Data4(),FertiliserProducts[[#Headers],[Company]], 91)</f>
        <v>1</v>
      </c>
      <c r="H209" s="200" t="str" cm="1">
        <f t="array" ref="H209">Common_InputFunctions.Utility_DisplayArrayInTable(Fertiliser_SourceData.Fertiliser_Products_Data4(),FertiliserProducts[[#Headers],[Company]], 91)</f>
        <v/>
      </c>
      <c r="I209" s="200" t="str" cm="1">
        <f t="array" ref="I209">Common_InputFunctions.Utility_DisplayArrayInTable(Fertiliser_SourceData.Fertiliser_Products_Data4(),FertiliserProducts[[#Headers],[Company]], 91)</f>
        <v/>
      </c>
      <c r="J209" s="200" t="str" cm="1">
        <f t="array" ref="J209">Common_InputFunctions.Utility_DisplayArrayInTable(Fertiliser_SourceData.Fertiliser_Products_Data4(),FertiliserProducts[[#Headers],[Company]], 91)</f>
        <v/>
      </c>
      <c r="K209" s="200" cm="1">
        <f t="array" ref="K209">Common_InputFunctions.Utility_DisplayArrayInTable(Fertiliser_SourceData.Fertiliser_Products_Data4(),FertiliserProducts[[#Headers],[Company]], 91)</f>
        <v>14.1</v>
      </c>
      <c r="L209" s="200" cm="1">
        <f t="array" ref="L209">Common_InputFunctions.Utility_DisplayArrayInTable(Fertiliser_SourceData.Fertiliser_Products_Data4(),FertiliserProducts[[#Headers],[Company]], 91)</f>
        <v>12.8</v>
      </c>
      <c r="M209" s="200" cm="1">
        <f t="array" ref="M209">Common_InputFunctions.Utility_DisplayArrayInTable(Fertiliser_SourceData.Fertiliser_Products_Data4(),FertiliserProducts[[#Headers],[Company]], 91)</f>
        <v>0</v>
      </c>
      <c r="N209" s="200" cm="1">
        <f t="array" ref="N209">Common_InputFunctions.Utility_DisplayArrayInTable(Fertiliser_SourceData.Fertiliser_Products_Data4(),FertiliserProducts[[#Headers],[Company]], 91)</f>
        <v>10.7</v>
      </c>
      <c r="O209" s="200" t="str" cm="1">
        <f t="array" ref="O209">Common_InputFunctions.Utility_DisplayArrayInTable(Fertiliser_SourceData.Fertiliser_Products_Data4(),FertiliserProducts[[#Headers],[Company]], 91)</f>
        <v>Nitrogen - Generic</v>
      </c>
      <c r="P209" s="200" cm="1">
        <f t="array" ref="P209">Common_InputFunctions.Utility_DisplayArrayInTable(Fertiliser_SourceData.Fertiliser_Products_Data4(),FertiliserProducts[[#Headers],[Company]], 91)</f>
        <v>0.14099999999999999</v>
      </c>
      <c r="Q209" s="200" t="str" cm="1">
        <f t="array" ref="Q209">Common_InputFunctions.Utility_DisplayArrayInTable(Fertiliser_SourceData.Fertiliser_Products_Data4(),FertiliserProducts[[#Headers],[Company]], 91)</f>
        <v>Phosphorus - Generic</v>
      </c>
      <c r="R209" s="200" cm="1">
        <f t="array" ref="R209">Common_InputFunctions.Utility_DisplayArrayInTable(Fertiliser_SourceData.Fertiliser_Products_Data4(),FertiliserProducts[[#Headers],[Company]], 91)</f>
        <v>0.128</v>
      </c>
      <c r="S209" s="200" t="str" cm="1">
        <f t="array" ref="S209">Common_InputFunctions.Utility_DisplayArrayInTable(Fertiliser_SourceData.Fertiliser_Products_Data4(),FertiliserProducts[[#Headers],[Company]], 91)</f>
        <v>Sulfur - Generic</v>
      </c>
      <c r="T209" s="200" cm="1">
        <f t="array" ref="T209">Common_InputFunctions.Utility_DisplayArrayInTable(Fertiliser_SourceData.Fertiliser_Products_Data4(),FertiliserProducts[[#Headers],[Company]], 91)</f>
        <v>0.107</v>
      </c>
      <c r="U209" s="200" t="str" cm="1">
        <f t="array" ref="U209">Common_InputFunctions.Utility_DisplayArrayInTable(Fertiliser_SourceData.Fertiliser_Products_Data4(),FertiliserProducts[[#Headers],[Company]], 91)</f>
        <v>Zinc</v>
      </c>
      <c r="V209" s="200" cm="1">
        <f t="array" ref="V209">Common_InputFunctions.Utility_DisplayArrayInTable(Fertiliser_SourceData.Fertiliser_Products_Data4(),FertiliserProducts[[#Headers],[Company]], 91)</f>
        <v>6.0000000000000001E-3</v>
      </c>
      <c r="W209" s="200" t="str" cm="1">
        <f t="array" ref="W209">Common_InputFunctions.Utility_DisplayArrayInTable(Fertiliser_SourceData.Fertiliser_Products_Data4(),FertiliserProducts[[#Headers],[Company]], 91)</f>
        <v/>
      </c>
      <c r="X209" s="200" t="str" cm="1">
        <f t="array" ref="X209">Common_InputFunctions.Utility_DisplayArrayInTable(Fertiliser_SourceData.Fertiliser_Products_Data4(),FertiliserProducts[[#Headers],[Company]], 91)</f>
        <v/>
      </c>
      <c r="Y209" s="200" t="str" cm="1">
        <f t="array" ref="Y209">Common_InputFunctions.Utility_DisplayArrayInTable(Fertiliser_SourceData.Fertiliser_Products_Data4(),FertiliserProducts[[#Headers],[Company]], 91)</f>
        <v/>
      </c>
      <c r="Z209" s="200" t="str" cm="1">
        <f t="array" ref="Z209">Common_InputFunctions.Utility_DisplayArrayInTable(Fertiliser_SourceData.Fertiliser_Products_Data4(),FertiliserProducts[[#Headers],[Company]], 91)</f>
        <v/>
      </c>
      <c r="AA209" s="200" t="str" cm="1">
        <f t="array" ref="AA209">Common_InputFunctions.Utility_DisplayArrayInTable(Fertiliser_SourceData.Fertiliser_Products_Data4(),FertiliserProducts[[#Headers],[Company]], 91)</f>
        <v/>
      </c>
      <c r="AB209" s="200" t="str" cm="1">
        <f t="array" ref="AB209">Common_InputFunctions.Utility_DisplayArrayInTable(Fertiliser_SourceData.Fertiliser_Products_Data4(),FertiliserProducts[[#Headers],[Company]], 91)</f>
        <v/>
      </c>
      <c r="AC209" s="200" t="str" cm="1">
        <f t="array" ref="AC209">Common_InputFunctions.Utility_DisplayArrayInTable(Fertiliser_SourceData.Fertiliser_Products_Data4(),FertiliserProducts[[#Headers],[Company]], 91)</f>
        <v/>
      </c>
      <c r="AD209" s="200" t="str" cm="1">
        <f t="array" ref="AD209">Common_InputFunctions.Utility_DisplayArrayInTable(Fertiliser_SourceData.Fertiliser_Products_Data4(),FertiliserProducts[[#Headers],[Company]], 91)</f>
        <v/>
      </c>
      <c r="AE209" s="200" t="str" cm="1">
        <f t="array" ref="AE209">Common_InputFunctions.Utility_DisplayArrayInTable(Fertiliser_SourceData.Fertiliser_Products_Data4(),FertiliserProducts[[#Headers],[Company]], 91)</f>
        <v/>
      </c>
      <c r="AF209" s="200" t="str" cm="1">
        <f t="array" ref="AF209">Common_InputFunctions.Utility_DisplayArrayInTable(Fertiliser_SourceData.Fertiliser_Products_Data4(),FertiliserProducts[[#Headers],[Company]], 91)</f>
        <v/>
      </c>
      <c r="AG209" s="200" t="str" cm="1">
        <f t="array" ref="AG209">Common_InputFunctions.Utility_DisplayArrayInTable(Fertiliser_SourceData.Fertiliser_Products_Data4(),FertiliserProducts[[#Headers],[Company]], 91)</f>
        <v/>
      </c>
      <c r="AH209" s="200" t="str" cm="1">
        <f t="array" ref="AH209">Common_InputFunctions.Utility_DisplayArrayInTable(Fertiliser_SourceData.Fertiliser_Products_Data4(),FertiliserProducts[[#Headers],[Company]], 91)</f>
        <v/>
      </c>
    </row>
    <row r="210" spans="4:34" x14ac:dyDescent="0.25">
      <c r="D210" s="200" t="str" cm="1">
        <f t="array" ref="D210">Common_InputFunctions.Utility_DisplayArrayInTable(Fertiliser_SourceData.Fertiliser_Products_Data5(),FertiliserProducts[[#Headers],[Company]], 121)</f>
        <v>Wengfu Australia</v>
      </c>
      <c r="E210" s="200" t="str" cm="1">
        <f t="array" ref="E210">Common_InputFunctions.Utility_DisplayArrayInTable(Fertiliser_SourceData.Fertiliser_Products_Data5(),FertiliserProducts[[#Headers],[Company]], 121)</f>
        <v>Wengfu 19-13-0-7 PrimeZinc</v>
      </c>
      <c r="F210" s="200" t="str" cm="1">
        <f t="array" ref="F210">Common_InputFunctions.Utility_DisplayArrayInTable(Fertiliser_SourceData.Fertiliser_Products_Data5(),FertiliserProducts[[#Headers],[Company]], 121)</f>
        <v>kg</v>
      </c>
      <c r="G210" s="200" cm="1">
        <f t="array" ref="G210">Common_InputFunctions.Utility_DisplayArrayInTable(Fertiliser_SourceData.Fertiliser_Products_Data5(),FertiliserProducts[[#Headers],[Company]], 121)</f>
        <v>1</v>
      </c>
      <c r="H210" s="200" t="str" cm="1">
        <f t="array" ref="H210">Common_InputFunctions.Utility_DisplayArrayInTable(Fertiliser_SourceData.Fertiliser_Products_Data5(),FertiliserProducts[[#Headers],[Company]], 121)</f>
        <v/>
      </c>
      <c r="I210" s="200" t="str" cm="1">
        <f t="array" ref="I210">Common_InputFunctions.Utility_DisplayArrayInTable(Fertiliser_SourceData.Fertiliser_Products_Data5(),FertiliserProducts[[#Headers],[Company]], 121)</f>
        <v/>
      </c>
      <c r="J210" s="200" t="str" cm="1">
        <f t="array" ref="J210">Common_InputFunctions.Utility_DisplayArrayInTable(Fertiliser_SourceData.Fertiliser_Products_Data5(),FertiliserProducts[[#Headers],[Company]], 121)</f>
        <v/>
      </c>
      <c r="K210" s="200" cm="1">
        <f t="array" ref="K210">Common_InputFunctions.Utility_DisplayArrayInTable(Fertiliser_SourceData.Fertiliser_Products_Data5(),FertiliserProducts[[#Headers],[Company]], 121)</f>
        <v>18.600000000000001</v>
      </c>
      <c r="L210" s="200" cm="1">
        <f t="array" ref="L210">Common_InputFunctions.Utility_DisplayArrayInTable(Fertiliser_SourceData.Fertiliser_Products_Data5(),FertiliserProducts[[#Headers],[Company]], 121)</f>
        <v>12.7</v>
      </c>
      <c r="M210" s="200" cm="1">
        <f t="array" ref="M210">Common_InputFunctions.Utility_DisplayArrayInTable(Fertiliser_SourceData.Fertiliser_Products_Data5(),FertiliserProducts[[#Headers],[Company]], 121)</f>
        <v>0</v>
      </c>
      <c r="N210" s="200" cm="1">
        <f t="array" ref="N210">Common_InputFunctions.Utility_DisplayArrayInTable(Fertiliser_SourceData.Fertiliser_Products_Data5(),FertiliserProducts[[#Headers],[Company]], 121)</f>
        <v>6.8</v>
      </c>
      <c r="O210" s="200" t="str" cm="1">
        <f t="array" ref="O210">Common_InputFunctions.Utility_DisplayArrayInTable(Fertiliser_SourceData.Fertiliser_Products_Data5(),FertiliserProducts[[#Headers],[Company]], 121)</f>
        <v>Nitrogen - Generic</v>
      </c>
      <c r="P210" s="200" cm="1">
        <f t="array" ref="P210">Common_InputFunctions.Utility_DisplayArrayInTable(Fertiliser_SourceData.Fertiliser_Products_Data5(),FertiliserProducts[[#Headers],[Company]], 121)</f>
        <v>0.186</v>
      </c>
      <c r="Q210" s="200" t="str" cm="1">
        <f t="array" ref="Q210">Common_InputFunctions.Utility_DisplayArrayInTable(Fertiliser_SourceData.Fertiliser_Products_Data5(),FertiliserProducts[[#Headers],[Company]], 121)</f>
        <v>Phosphorus - Generic</v>
      </c>
      <c r="R210" s="200" cm="1">
        <f t="array" ref="R210">Common_InputFunctions.Utility_DisplayArrayInTable(Fertiliser_SourceData.Fertiliser_Products_Data5(),FertiliserProducts[[#Headers],[Company]], 121)</f>
        <v>0.127</v>
      </c>
      <c r="S210" s="200" t="str" cm="1">
        <f t="array" ref="S210">Common_InputFunctions.Utility_DisplayArrayInTable(Fertiliser_SourceData.Fertiliser_Products_Data5(),FertiliserProducts[[#Headers],[Company]], 121)</f>
        <v>Sulfur - Generic</v>
      </c>
      <c r="T210" s="200" cm="1">
        <f t="array" ref="T210">Common_InputFunctions.Utility_DisplayArrayInTable(Fertiliser_SourceData.Fertiliser_Products_Data5(),FertiliserProducts[[#Headers],[Company]], 121)</f>
        <v>6.8000000000000005E-2</v>
      </c>
      <c r="U210" s="200" t="str" cm="1">
        <f t="array" ref="U210">Common_InputFunctions.Utility_DisplayArrayInTable(Fertiliser_SourceData.Fertiliser_Products_Data5(),FertiliserProducts[[#Headers],[Company]], 121)</f>
        <v>Zinc</v>
      </c>
      <c r="V210" s="200" cm="1">
        <f t="array" ref="V210">Common_InputFunctions.Utility_DisplayArrayInTable(Fertiliser_SourceData.Fertiliser_Products_Data5(),FertiliserProducts[[#Headers],[Company]], 121)</f>
        <v>6.0000000000000001E-3</v>
      </c>
      <c r="W210" s="200" t="str" cm="1">
        <f t="array" ref="W210">Common_InputFunctions.Utility_DisplayArrayInTable(Fertiliser_SourceData.Fertiliser_Products_Data5(),FertiliserProducts[[#Headers],[Company]], 121)</f>
        <v/>
      </c>
      <c r="X210" s="200" t="str" cm="1">
        <f t="array" ref="X210">Common_InputFunctions.Utility_DisplayArrayInTable(Fertiliser_SourceData.Fertiliser_Products_Data5(),FertiliserProducts[[#Headers],[Company]], 121)</f>
        <v/>
      </c>
      <c r="Y210" s="200" t="str" cm="1">
        <f t="array" ref="Y210">Common_InputFunctions.Utility_DisplayArrayInTable(Fertiliser_SourceData.Fertiliser_Products_Data5(),FertiliserProducts[[#Headers],[Company]], 121)</f>
        <v/>
      </c>
      <c r="Z210" s="200" t="str" cm="1">
        <f t="array" ref="Z210">Common_InputFunctions.Utility_DisplayArrayInTable(Fertiliser_SourceData.Fertiliser_Products_Data5(),FertiliserProducts[[#Headers],[Company]], 121)</f>
        <v/>
      </c>
      <c r="AA210" s="200" t="str" cm="1">
        <f t="array" ref="AA210">Common_InputFunctions.Utility_DisplayArrayInTable(Fertiliser_SourceData.Fertiliser_Products_Data5(),FertiliserProducts[[#Headers],[Company]], 121)</f>
        <v/>
      </c>
      <c r="AB210" s="200" t="str" cm="1">
        <f t="array" ref="AB210">Common_InputFunctions.Utility_DisplayArrayInTable(Fertiliser_SourceData.Fertiliser_Products_Data5(),FertiliserProducts[[#Headers],[Company]], 121)</f>
        <v/>
      </c>
      <c r="AC210" s="200" t="str" cm="1">
        <f t="array" ref="AC210">Common_InputFunctions.Utility_DisplayArrayInTable(Fertiliser_SourceData.Fertiliser_Products_Data5(),FertiliserProducts[[#Headers],[Company]], 121)</f>
        <v/>
      </c>
      <c r="AD210" s="200" t="str" cm="1">
        <f t="array" ref="AD210">Common_InputFunctions.Utility_DisplayArrayInTable(Fertiliser_SourceData.Fertiliser_Products_Data5(),FertiliserProducts[[#Headers],[Company]], 121)</f>
        <v/>
      </c>
      <c r="AE210" s="200" t="str" cm="1">
        <f t="array" ref="AE210">Common_InputFunctions.Utility_DisplayArrayInTable(Fertiliser_SourceData.Fertiliser_Products_Data5(),FertiliserProducts[[#Headers],[Company]], 121)</f>
        <v/>
      </c>
      <c r="AF210" s="200" t="str" cm="1">
        <f t="array" ref="AF210">Common_InputFunctions.Utility_DisplayArrayInTable(Fertiliser_SourceData.Fertiliser_Products_Data5(),FertiliserProducts[[#Headers],[Company]], 121)</f>
        <v/>
      </c>
      <c r="AG210" s="200" t="str" cm="1">
        <f t="array" ref="AG210">Common_InputFunctions.Utility_DisplayArrayInTable(Fertiliser_SourceData.Fertiliser_Products_Data5(),FertiliserProducts[[#Headers],[Company]], 121)</f>
        <v/>
      </c>
      <c r="AH210" s="200" t="str" cm="1">
        <f t="array" ref="AH210">Common_InputFunctions.Utility_DisplayArrayInTable(Fertiliser_SourceData.Fertiliser_Products_Data5(),FertiliserProducts[[#Headers],[Company]], 121)</f>
        <v/>
      </c>
    </row>
    <row r="211" spans="4:34" x14ac:dyDescent="0.25">
      <c r="D211" s="200" t="str" cm="1">
        <f t="array" ref="D211">Common_InputFunctions.Utility_DisplayArrayInTable(Fertiliser_SourceData.Fertiliser_Products_Data5(),FertiliserProducts[[#Headers],[Company]], 121)</f>
        <v>Wengfu Australia</v>
      </c>
      <c r="E211" s="200" t="str" cm="1">
        <f t="array" ref="E211">Common_InputFunctions.Utility_DisplayArrayInTable(Fertiliser_SourceData.Fertiliser_Products_Data5(),FertiliserProducts[[#Headers],[Company]], 121)</f>
        <v>Wengfu Booster K</v>
      </c>
      <c r="F211" s="200" t="str" cm="1">
        <f t="array" ref="F211">Common_InputFunctions.Utility_DisplayArrayInTable(Fertiliser_SourceData.Fertiliser_Products_Data5(),FertiliserProducts[[#Headers],[Company]], 121)</f>
        <v>kg</v>
      </c>
      <c r="G211" s="200" cm="1">
        <f t="array" ref="G211">Common_InputFunctions.Utility_DisplayArrayInTable(Fertiliser_SourceData.Fertiliser_Products_Data5(),FertiliserProducts[[#Headers],[Company]], 121)</f>
        <v>1</v>
      </c>
      <c r="H211" s="200" t="str" cm="1">
        <f t="array" ref="H211">Common_InputFunctions.Utility_DisplayArrayInTable(Fertiliser_SourceData.Fertiliser_Products_Data5(),FertiliserProducts[[#Headers],[Company]], 121)</f>
        <v/>
      </c>
      <c r="I211" s="200" t="str" cm="1">
        <f t="array" ref="I211">Common_InputFunctions.Utility_DisplayArrayInTable(Fertiliser_SourceData.Fertiliser_Products_Data5(),FertiliserProducts[[#Headers],[Company]], 121)</f>
        <v/>
      </c>
      <c r="J211" s="200" t="str" cm="1">
        <f t="array" ref="J211">Common_InputFunctions.Utility_DisplayArrayInTable(Fertiliser_SourceData.Fertiliser_Products_Data5(),FertiliserProducts[[#Headers],[Company]], 121)</f>
        <v/>
      </c>
      <c r="K211" s="200" cm="1">
        <f t="array" ref="K211">Common_InputFunctions.Utility_DisplayArrayInTable(Fertiliser_SourceData.Fertiliser_Products_Data5(),FertiliserProducts[[#Headers],[Company]], 121)</f>
        <v>32</v>
      </c>
      <c r="L211" s="200" cm="1">
        <f t="array" ref="L211">Common_InputFunctions.Utility_DisplayArrayInTable(Fertiliser_SourceData.Fertiliser_Products_Data5(),FertiliserProducts[[#Headers],[Company]], 121)</f>
        <v>0</v>
      </c>
      <c r="M211" s="200" cm="1">
        <f t="array" ref="M211">Common_InputFunctions.Utility_DisplayArrayInTable(Fertiliser_SourceData.Fertiliser_Products_Data5(),FertiliserProducts[[#Headers],[Company]], 121)</f>
        <v>11</v>
      </c>
      <c r="N211" s="200" cm="1">
        <f t="array" ref="N211">Common_InputFunctions.Utility_DisplayArrayInTable(Fertiliser_SourceData.Fertiliser_Products_Data5(),FertiliserProducts[[#Headers],[Company]], 121)</f>
        <v>3</v>
      </c>
      <c r="O211" s="200" t="str" cm="1">
        <f t="array" ref="O211">Common_InputFunctions.Utility_DisplayArrayInTable(Fertiliser_SourceData.Fertiliser_Products_Data5(),FertiliserProducts[[#Headers],[Company]], 121)</f>
        <v>Nitrogen - Generic</v>
      </c>
      <c r="P211" s="200" cm="1">
        <f t="array" ref="P211">Common_InputFunctions.Utility_DisplayArrayInTable(Fertiliser_SourceData.Fertiliser_Products_Data5(),FertiliserProducts[[#Headers],[Company]], 121)</f>
        <v>0.32</v>
      </c>
      <c r="Q211" s="200" t="str" cm="1">
        <f t="array" ref="Q211">Common_InputFunctions.Utility_DisplayArrayInTable(Fertiliser_SourceData.Fertiliser_Products_Data5(),FertiliserProducts[[#Headers],[Company]], 121)</f>
        <v>Potassium - Generic</v>
      </c>
      <c r="R211" s="200" cm="1">
        <f t="array" ref="R211">Common_InputFunctions.Utility_DisplayArrayInTable(Fertiliser_SourceData.Fertiliser_Products_Data5(),FertiliserProducts[[#Headers],[Company]], 121)</f>
        <v>0.11</v>
      </c>
      <c r="S211" s="200" t="str" cm="1">
        <f t="array" ref="S211">Common_InputFunctions.Utility_DisplayArrayInTable(Fertiliser_SourceData.Fertiliser_Products_Data5(),FertiliserProducts[[#Headers],[Company]], 121)</f>
        <v>Sulfur - Generic</v>
      </c>
      <c r="T211" s="200" cm="1">
        <f t="array" ref="T211">Common_InputFunctions.Utility_DisplayArrayInTable(Fertiliser_SourceData.Fertiliser_Products_Data5(),FertiliserProducts[[#Headers],[Company]], 121)</f>
        <v>0.03</v>
      </c>
      <c r="U211" s="200" t="str" cm="1">
        <f t="array" ref="U211">Common_InputFunctions.Utility_DisplayArrayInTable(Fertiliser_SourceData.Fertiliser_Products_Data5(),FertiliserProducts[[#Headers],[Company]], 121)</f>
        <v/>
      </c>
      <c r="V211" s="200" t="str" cm="1">
        <f t="array" ref="V211">Common_InputFunctions.Utility_DisplayArrayInTable(Fertiliser_SourceData.Fertiliser_Products_Data5(),FertiliserProducts[[#Headers],[Company]], 121)</f>
        <v/>
      </c>
      <c r="W211" s="200" t="str" cm="1">
        <f t="array" ref="W211">Common_InputFunctions.Utility_DisplayArrayInTable(Fertiliser_SourceData.Fertiliser_Products_Data5(),FertiliserProducts[[#Headers],[Company]], 121)</f>
        <v/>
      </c>
      <c r="X211" s="200" t="str" cm="1">
        <f t="array" ref="X211">Common_InputFunctions.Utility_DisplayArrayInTable(Fertiliser_SourceData.Fertiliser_Products_Data5(),FertiliserProducts[[#Headers],[Company]], 121)</f>
        <v/>
      </c>
      <c r="Y211" s="200" t="str" cm="1">
        <f t="array" ref="Y211">Common_InputFunctions.Utility_DisplayArrayInTable(Fertiliser_SourceData.Fertiliser_Products_Data5(),FertiliserProducts[[#Headers],[Company]], 121)</f>
        <v/>
      </c>
      <c r="Z211" s="200" t="str" cm="1">
        <f t="array" ref="Z211">Common_InputFunctions.Utility_DisplayArrayInTable(Fertiliser_SourceData.Fertiliser_Products_Data5(),FertiliserProducts[[#Headers],[Company]], 121)</f>
        <v/>
      </c>
      <c r="AA211" s="200" t="str" cm="1">
        <f t="array" ref="AA211">Common_InputFunctions.Utility_DisplayArrayInTable(Fertiliser_SourceData.Fertiliser_Products_Data5(),FertiliserProducts[[#Headers],[Company]], 121)</f>
        <v/>
      </c>
      <c r="AB211" s="200" t="str" cm="1">
        <f t="array" ref="AB211">Common_InputFunctions.Utility_DisplayArrayInTable(Fertiliser_SourceData.Fertiliser_Products_Data5(),FertiliserProducts[[#Headers],[Company]], 121)</f>
        <v/>
      </c>
      <c r="AC211" s="200" t="str" cm="1">
        <f t="array" ref="AC211">Common_InputFunctions.Utility_DisplayArrayInTable(Fertiliser_SourceData.Fertiliser_Products_Data5(),FertiliserProducts[[#Headers],[Company]], 121)</f>
        <v/>
      </c>
      <c r="AD211" s="200" t="str" cm="1">
        <f t="array" ref="AD211">Common_InputFunctions.Utility_DisplayArrayInTable(Fertiliser_SourceData.Fertiliser_Products_Data5(),FertiliserProducts[[#Headers],[Company]], 121)</f>
        <v/>
      </c>
      <c r="AE211" s="200" t="str" cm="1">
        <f t="array" ref="AE211">Common_InputFunctions.Utility_DisplayArrayInTable(Fertiliser_SourceData.Fertiliser_Products_Data5(),FertiliserProducts[[#Headers],[Company]], 121)</f>
        <v/>
      </c>
      <c r="AF211" s="200" t="str" cm="1">
        <f t="array" ref="AF211">Common_InputFunctions.Utility_DisplayArrayInTable(Fertiliser_SourceData.Fertiliser_Products_Data5(),FertiliserProducts[[#Headers],[Company]], 121)</f>
        <v/>
      </c>
      <c r="AG211" s="200" t="str" cm="1">
        <f t="array" ref="AG211">Common_InputFunctions.Utility_DisplayArrayInTable(Fertiliser_SourceData.Fertiliser_Products_Data5(),FertiliserProducts[[#Headers],[Company]], 121)</f>
        <v/>
      </c>
      <c r="AH211" s="200" t="str" cm="1">
        <f t="array" ref="AH211">Common_InputFunctions.Utility_DisplayArrayInTable(Fertiliser_SourceData.Fertiliser_Products_Data5(),FertiliserProducts[[#Headers],[Company]], 121)</f>
        <v/>
      </c>
    </row>
    <row r="212" spans="4:34" x14ac:dyDescent="0.25">
      <c r="D212" s="200" t="str" cm="1">
        <f t="array" ref="D212">Common_InputFunctions.Utility_DisplayArrayInTable(Fertiliser_SourceData.Fertiliser_Products_Data5(),FertiliserProducts[[#Headers],[Company]], 121)</f>
        <v>Wengfu Australia</v>
      </c>
      <c r="E212" s="200" t="str" cm="1">
        <f t="array" ref="E212">Common_InputFunctions.Utility_DisplayArrayInTable(Fertiliser_SourceData.Fertiliser_Products_Data5(),FertiliserProducts[[#Headers],[Company]], 121)</f>
        <v>Wengfu Booster Rich 1</v>
      </c>
      <c r="F212" s="200" t="str" cm="1">
        <f t="array" ref="F212">Common_InputFunctions.Utility_DisplayArrayInTable(Fertiliser_SourceData.Fertiliser_Products_Data5(),FertiliserProducts[[#Headers],[Company]], 121)</f>
        <v>kg</v>
      </c>
      <c r="G212" s="200" cm="1">
        <f t="array" ref="G212">Common_InputFunctions.Utility_DisplayArrayInTable(Fertiliser_SourceData.Fertiliser_Products_Data5(),FertiliserProducts[[#Headers],[Company]], 121)</f>
        <v>1</v>
      </c>
      <c r="H212" s="200" t="str" cm="1">
        <f t="array" ref="H212">Common_InputFunctions.Utility_DisplayArrayInTable(Fertiliser_SourceData.Fertiliser_Products_Data5(),FertiliserProducts[[#Headers],[Company]], 121)</f>
        <v/>
      </c>
      <c r="I212" s="200" t="str" cm="1">
        <f t="array" ref="I212">Common_InputFunctions.Utility_DisplayArrayInTable(Fertiliser_SourceData.Fertiliser_Products_Data5(),FertiliserProducts[[#Headers],[Company]], 121)</f>
        <v/>
      </c>
      <c r="J212" s="200" t="str" cm="1">
        <f t="array" ref="J212">Common_InputFunctions.Utility_DisplayArrayInTable(Fertiliser_SourceData.Fertiliser_Products_Data5(),FertiliserProducts[[#Headers],[Company]], 121)</f>
        <v/>
      </c>
      <c r="K212" s="200" cm="1">
        <f t="array" ref="K212">Common_InputFunctions.Utility_DisplayArrayInTable(Fertiliser_SourceData.Fertiliser_Products_Data5(),FertiliserProducts[[#Headers],[Company]], 121)</f>
        <v>31</v>
      </c>
      <c r="L212" s="200" cm="1">
        <f t="array" ref="L212">Common_InputFunctions.Utility_DisplayArrayInTable(Fertiliser_SourceData.Fertiliser_Products_Data5(),FertiliserProducts[[#Headers],[Company]], 121)</f>
        <v>6</v>
      </c>
      <c r="M212" s="200" cm="1">
        <f t="array" ref="M212">Common_InputFunctions.Utility_DisplayArrayInTable(Fertiliser_SourceData.Fertiliser_Products_Data5(),FertiliserProducts[[#Headers],[Company]], 121)</f>
        <v>0</v>
      </c>
      <c r="N212" s="200" cm="1">
        <f t="array" ref="N212">Common_InputFunctions.Utility_DisplayArrayInTable(Fertiliser_SourceData.Fertiliser_Products_Data5(),FertiliserProducts[[#Headers],[Company]], 121)</f>
        <v>6</v>
      </c>
      <c r="O212" s="200" t="str" cm="1">
        <f t="array" ref="O212">Common_InputFunctions.Utility_DisplayArrayInTable(Fertiliser_SourceData.Fertiliser_Products_Data5(),FertiliserProducts[[#Headers],[Company]], 121)</f>
        <v>Nitrogen - Generic</v>
      </c>
      <c r="P212" s="200" cm="1">
        <f t="array" ref="P212">Common_InputFunctions.Utility_DisplayArrayInTable(Fertiliser_SourceData.Fertiliser_Products_Data5(),FertiliserProducts[[#Headers],[Company]], 121)</f>
        <v>0.31</v>
      </c>
      <c r="Q212" s="200" t="str" cm="1">
        <f t="array" ref="Q212">Common_InputFunctions.Utility_DisplayArrayInTable(Fertiliser_SourceData.Fertiliser_Products_Data5(),FertiliserProducts[[#Headers],[Company]], 121)</f>
        <v>Phosphorus - Generic</v>
      </c>
      <c r="R212" s="200" cm="1">
        <f t="array" ref="R212">Common_InputFunctions.Utility_DisplayArrayInTable(Fertiliser_SourceData.Fertiliser_Products_Data5(),FertiliserProducts[[#Headers],[Company]], 121)</f>
        <v>0.06</v>
      </c>
      <c r="S212" s="200" t="str" cm="1">
        <f t="array" ref="S212">Common_InputFunctions.Utility_DisplayArrayInTable(Fertiliser_SourceData.Fertiliser_Products_Data5(),FertiliserProducts[[#Headers],[Company]], 121)</f>
        <v>Sulfur - Generic</v>
      </c>
      <c r="T212" s="200" cm="1">
        <f t="array" ref="T212">Common_InputFunctions.Utility_DisplayArrayInTable(Fertiliser_SourceData.Fertiliser_Products_Data5(),FertiliserProducts[[#Headers],[Company]], 121)</f>
        <v>0.06</v>
      </c>
      <c r="U212" s="200" t="str" cm="1">
        <f t="array" ref="U212">Common_InputFunctions.Utility_DisplayArrayInTable(Fertiliser_SourceData.Fertiliser_Products_Data5(),FertiliserProducts[[#Headers],[Company]], 121)</f>
        <v/>
      </c>
      <c r="V212" s="200" t="str" cm="1">
        <f t="array" ref="V212">Common_InputFunctions.Utility_DisplayArrayInTable(Fertiliser_SourceData.Fertiliser_Products_Data5(),FertiliserProducts[[#Headers],[Company]], 121)</f>
        <v/>
      </c>
      <c r="W212" s="200" t="str" cm="1">
        <f t="array" ref="W212">Common_InputFunctions.Utility_DisplayArrayInTable(Fertiliser_SourceData.Fertiliser_Products_Data5(),FertiliserProducts[[#Headers],[Company]], 121)</f>
        <v/>
      </c>
      <c r="X212" s="200" t="str" cm="1">
        <f t="array" ref="X212">Common_InputFunctions.Utility_DisplayArrayInTable(Fertiliser_SourceData.Fertiliser_Products_Data5(),FertiliserProducts[[#Headers],[Company]], 121)</f>
        <v/>
      </c>
      <c r="Y212" s="200" t="str" cm="1">
        <f t="array" ref="Y212">Common_InputFunctions.Utility_DisplayArrayInTable(Fertiliser_SourceData.Fertiliser_Products_Data5(),FertiliserProducts[[#Headers],[Company]], 121)</f>
        <v/>
      </c>
      <c r="Z212" s="200" t="str" cm="1">
        <f t="array" ref="Z212">Common_InputFunctions.Utility_DisplayArrayInTable(Fertiliser_SourceData.Fertiliser_Products_Data5(),FertiliserProducts[[#Headers],[Company]], 121)</f>
        <v/>
      </c>
      <c r="AA212" s="200" t="str" cm="1">
        <f t="array" ref="AA212">Common_InputFunctions.Utility_DisplayArrayInTable(Fertiliser_SourceData.Fertiliser_Products_Data5(),FertiliserProducts[[#Headers],[Company]], 121)</f>
        <v/>
      </c>
      <c r="AB212" s="200" t="str" cm="1">
        <f t="array" ref="AB212">Common_InputFunctions.Utility_DisplayArrayInTable(Fertiliser_SourceData.Fertiliser_Products_Data5(),FertiliserProducts[[#Headers],[Company]], 121)</f>
        <v/>
      </c>
      <c r="AC212" s="200" t="str" cm="1">
        <f t="array" ref="AC212">Common_InputFunctions.Utility_DisplayArrayInTable(Fertiliser_SourceData.Fertiliser_Products_Data5(),FertiliserProducts[[#Headers],[Company]], 121)</f>
        <v/>
      </c>
      <c r="AD212" s="200" t="str" cm="1">
        <f t="array" ref="AD212">Common_InputFunctions.Utility_DisplayArrayInTable(Fertiliser_SourceData.Fertiliser_Products_Data5(),FertiliserProducts[[#Headers],[Company]], 121)</f>
        <v/>
      </c>
      <c r="AE212" s="200" t="str" cm="1">
        <f t="array" ref="AE212">Common_InputFunctions.Utility_DisplayArrayInTable(Fertiliser_SourceData.Fertiliser_Products_Data5(),FertiliserProducts[[#Headers],[Company]], 121)</f>
        <v/>
      </c>
      <c r="AF212" s="200" t="str" cm="1">
        <f t="array" ref="AF212">Common_InputFunctions.Utility_DisplayArrayInTable(Fertiliser_SourceData.Fertiliser_Products_Data5(),FertiliserProducts[[#Headers],[Company]], 121)</f>
        <v/>
      </c>
      <c r="AG212" s="200" t="str" cm="1">
        <f t="array" ref="AG212">Common_InputFunctions.Utility_DisplayArrayInTable(Fertiliser_SourceData.Fertiliser_Products_Data5(),FertiliserProducts[[#Headers],[Company]], 121)</f>
        <v/>
      </c>
      <c r="AH212" s="200" t="str" cm="1">
        <f t="array" ref="AH212">Common_InputFunctions.Utility_DisplayArrayInTable(Fertiliser_SourceData.Fertiliser_Products_Data5(),FertiliserProducts[[#Headers],[Company]], 121)</f>
        <v/>
      </c>
    </row>
    <row r="213" spans="4:34" x14ac:dyDescent="0.25">
      <c r="D213" s="200" t="str" cm="1">
        <f t="array" ref="D213">Common_InputFunctions.Utility_DisplayArrayInTable(Fertiliser_SourceData.Fertiliser_Products_Data5(),FertiliserProducts[[#Headers],[Company]], 121)</f>
        <v>Wengfu Australia</v>
      </c>
      <c r="E213" s="200" t="str" cm="1">
        <f t="array" ref="E213">Common_InputFunctions.Utility_DisplayArrayInTable(Fertiliser_SourceData.Fertiliser_Products_Data5(),FertiliserProducts[[#Headers],[Company]], 121)</f>
        <v>Wengfu Booster Grass DAP</v>
      </c>
      <c r="F213" s="200" t="str" cm="1">
        <f t="array" ref="F213">Common_InputFunctions.Utility_DisplayArrayInTable(Fertiliser_SourceData.Fertiliser_Products_Data5(),FertiliserProducts[[#Headers],[Company]], 121)</f>
        <v>kg</v>
      </c>
      <c r="G213" s="200" cm="1">
        <f t="array" ref="G213">Common_InputFunctions.Utility_DisplayArrayInTable(Fertiliser_SourceData.Fertiliser_Products_Data5(),FertiliserProducts[[#Headers],[Company]], 121)</f>
        <v>1</v>
      </c>
      <c r="H213" s="200" t="str" cm="1">
        <f t="array" ref="H213">Common_InputFunctions.Utility_DisplayArrayInTable(Fertiliser_SourceData.Fertiliser_Products_Data5(),FertiliserProducts[[#Headers],[Company]], 121)</f>
        <v/>
      </c>
      <c r="I213" s="200" t="str" cm="1">
        <f t="array" ref="I213">Common_InputFunctions.Utility_DisplayArrayInTable(Fertiliser_SourceData.Fertiliser_Products_Data5(),FertiliserProducts[[#Headers],[Company]], 121)</f>
        <v/>
      </c>
      <c r="J213" s="200" t="str" cm="1">
        <f t="array" ref="J213">Common_InputFunctions.Utility_DisplayArrayInTable(Fertiliser_SourceData.Fertiliser_Products_Data5(),FertiliserProducts[[#Headers],[Company]], 121)</f>
        <v/>
      </c>
      <c r="K213" s="200" cm="1">
        <f t="array" ref="K213">Common_InputFunctions.Utility_DisplayArrayInTable(Fertiliser_SourceData.Fertiliser_Products_Data5(),FertiliserProducts[[#Headers],[Company]], 121)</f>
        <v>21</v>
      </c>
      <c r="L213" s="200" cm="1">
        <f t="array" ref="L213">Common_InputFunctions.Utility_DisplayArrayInTable(Fertiliser_SourceData.Fertiliser_Products_Data5(),FertiliserProducts[[#Headers],[Company]], 121)</f>
        <v>4</v>
      </c>
      <c r="M213" s="200" cm="1">
        <f t="array" ref="M213">Common_InputFunctions.Utility_DisplayArrayInTable(Fertiliser_SourceData.Fertiliser_Products_Data5(),FertiliserProducts[[#Headers],[Company]], 121)</f>
        <v>8</v>
      </c>
      <c r="N213" s="200" cm="1">
        <f t="array" ref="N213">Common_InputFunctions.Utility_DisplayArrayInTable(Fertiliser_SourceData.Fertiliser_Products_Data5(),FertiliserProducts[[#Headers],[Company]], 121)</f>
        <v>7</v>
      </c>
      <c r="O213" s="200" t="str" cm="1">
        <f t="array" ref="O213">Common_InputFunctions.Utility_DisplayArrayInTable(Fertiliser_SourceData.Fertiliser_Products_Data5(),FertiliserProducts[[#Headers],[Company]], 121)</f>
        <v>Nitrogen - Generic</v>
      </c>
      <c r="P213" s="200" cm="1">
        <f t="array" ref="P213">Common_InputFunctions.Utility_DisplayArrayInTable(Fertiliser_SourceData.Fertiliser_Products_Data5(),FertiliserProducts[[#Headers],[Company]], 121)</f>
        <v>0.21</v>
      </c>
      <c r="Q213" s="200" t="str" cm="1">
        <f t="array" ref="Q213">Common_InputFunctions.Utility_DisplayArrayInTable(Fertiliser_SourceData.Fertiliser_Products_Data5(),FertiliserProducts[[#Headers],[Company]], 121)</f>
        <v>Phosphorus - Generic</v>
      </c>
      <c r="R213" s="200" cm="1">
        <f t="array" ref="R213">Common_InputFunctions.Utility_DisplayArrayInTable(Fertiliser_SourceData.Fertiliser_Products_Data5(),FertiliserProducts[[#Headers],[Company]], 121)</f>
        <v>0.04</v>
      </c>
      <c r="S213" s="200" t="str" cm="1">
        <f t="array" ref="S213">Common_InputFunctions.Utility_DisplayArrayInTable(Fertiliser_SourceData.Fertiliser_Products_Data5(),FertiliserProducts[[#Headers],[Company]], 121)</f>
        <v>Potassium - Generic</v>
      </c>
      <c r="T213" s="200" cm="1">
        <f t="array" ref="T213">Common_InputFunctions.Utility_DisplayArrayInTable(Fertiliser_SourceData.Fertiliser_Products_Data5(),FertiliserProducts[[#Headers],[Company]], 121)</f>
        <v>0.08</v>
      </c>
      <c r="U213" s="200" t="str" cm="1">
        <f t="array" ref="U213">Common_InputFunctions.Utility_DisplayArrayInTable(Fertiliser_SourceData.Fertiliser_Products_Data5(),FertiliserProducts[[#Headers],[Company]], 121)</f>
        <v>Sulfur - Generic</v>
      </c>
      <c r="V213" s="200" cm="1">
        <f t="array" ref="V213">Common_InputFunctions.Utility_DisplayArrayInTable(Fertiliser_SourceData.Fertiliser_Products_Data5(),FertiliserProducts[[#Headers],[Company]], 121)</f>
        <v>7.0000000000000007E-2</v>
      </c>
      <c r="W213" s="200" t="str" cm="1">
        <f t="array" ref="W213">Common_InputFunctions.Utility_DisplayArrayInTable(Fertiliser_SourceData.Fertiliser_Products_Data5(),FertiliserProducts[[#Headers],[Company]], 121)</f>
        <v/>
      </c>
      <c r="X213" s="200" t="str" cm="1">
        <f t="array" ref="X213">Common_InputFunctions.Utility_DisplayArrayInTable(Fertiliser_SourceData.Fertiliser_Products_Data5(),FertiliserProducts[[#Headers],[Company]], 121)</f>
        <v/>
      </c>
      <c r="Y213" s="200" t="str" cm="1">
        <f t="array" ref="Y213">Common_InputFunctions.Utility_DisplayArrayInTable(Fertiliser_SourceData.Fertiliser_Products_Data5(),FertiliserProducts[[#Headers],[Company]], 121)</f>
        <v/>
      </c>
      <c r="Z213" s="200" t="str" cm="1">
        <f t="array" ref="Z213">Common_InputFunctions.Utility_DisplayArrayInTable(Fertiliser_SourceData.Fertiliser_Products_Data5(),FertiliserProducts[[#Headers],[Company]], 121)</f>
        <v/>
      </c>
      <c r="AA213" s="200" t="str" cm="1">
        <f t="array" ref="AA213">Common_InputFunctions.Utility_DisplayArrayInTable(Fertiliser_SourceData.Fertiliser_Products_Data5(),FertiliserProducts[[#Headers],[Company]], 121)</f>
        <v/>
      </c>
      <c r="AB213" s="200" t="str" cm="1">
        <f t="array" ref="AB213">Common_InputFunctions.Utility_DisplayArrayInTable(Fertiliser_SourceData.Fertiliser_Products_Data5(),FertiliserProducts[[#Headers],[Company]], 121)</f>
        <v/>
      </c>
      <c r="AC213" s="200" t="str" cm="1">
        <f t="array" ref="AC213">Common_InputFunctions.Utility_DisplayArrayInTable(Fertiliser_SourceData.Fertiliser_Products_Data5(),FertiliserProducts[[#Headers],[Company]], 121)</f>
        <v/>
      </c>
      <c r="AD213" s="200" t="str" cm="1">
        <f t="array" ref="AD213">Common_InputFunctions.Utility_DisplayArrayInTable(Fertiliser_SourceData.Fertiliser_Products_Data5(),FertiliserProducts[[#Headers],[Company]], 121)</f>
        <v/>
      </c>
      <c r="AE213" s="200" t="str" cm="1">
        <f t="array" ref="AE213">Common_InputFunctions.Utility_DisplayArrayInTable(Fertiliser_SourceData.Fertiliser_Products_Data5(),FertiliserProducts[[#Headers],[Company]], 121)</f>
        <v/>
      </c>
      <c r="AF213" s="200" t="str" cm="1">
        <f t="array" ref="AF213">Common_InputFunctions.Utility_DisplayArrayInTable(Fertiliser_SourceData.Fertiliser_Products_Data5(),FertiliserProducts[[#Headers],[Company]], 121)</f>
        <v/>
      </c>
      <c r="AG213" s="200" t="str" cm="1">
        <f t="array" ref="AG213">Common_InputFunctions.Utility_DisplayArrayInTable(Fertiliser_SourceData.Fertiliser_Products_Data5(),FertiliserProducts[[#Headers],[Company]], 121)</f>
        <v/>
      </c>
      <c r="AH213" s="200" t="str" cm="1">
        <f t="array" ref="AH213">Common_InputFunctions.Utility_DisplayArrayInTable(Fertiliser_SourceData.Fertiliser_Products_Data5(),FertiliserProducts[[#Headers],[Company]], 121)</f>
        <v/>
      </c>
    </row>
    <row r="214" spans="4:34" x14ac:dyDescent="0.25">
      <c r="D214" s="200" t="str" cm="1">
        <f t="array" ref="D214">Common_InputFunctions.Utility_DisplayArrayInTable(Fertiliser_SourceData.Fertiliser_Products_Data5(),FertiliserProducts[[#Headers],[Company]], 121)</f>
        <v>Wengfu Australia</v>
      </c>
      <c r="E214" s="200" t="str" cm="1">
        <f t="array" ref="E214">Common_InputFunctions.Utility_DisplayArrayInTable(Fertiliser_SourceData.Fertiliser_Products_Data5(),FertiliserProducts[[#Headers],[Company]], 121)</f>
        <v>Wengfu Aftergraze</v>
      </c>
      <c r="F214" s="200" t="str" cm="1">
        <f t="array" ref="F214">Common_InputFunctions.Utility_DisplayArrayInTable(Fertiliser_SourceData.Fertiliser_Products_Data5(),FertiliserProducts[[#Headers],[Company]], 121)</f>
        <v>kg</v>
      </c>
      <c r="G214" s="200" cm="1">
        <f t="array" ref="G214">Common_InputFunctions.Utility_DisplayArrayInTable(Fertiliser_SourceData.Fertiliser_Products_Data5(),FertiliserProducts[[#Headers],[Company]], 121)</f>
        <v>1</v>
      </c>
      <c r="H214" s="200" t="str" cm="1">
        <f t="array" ref="H214">Common_InputFunctions.Utility_DisplayArrayInTable(Fertiliser_SourceData.Fertiliser_Products_Data5(),FertiliserProducts[[#Headers],[Company]], 121)</f>
        <v/>
      </c>
      <c r="I214" s="200" t="str" cm="1">
        <f t="array" ref="I214">Common_InputFunctions.Utility_DisplayArrayInTable(Fertiliser_SourceData.Fertiliser_Products_Data5(),FertiliserProducts[[#Headers],[Company]], 121)</f>
        <v/>
      </c>
      <c r="J214" s="200" t="str" cm="1">
        <f t="array" ref="J214">Common_InputFunctions.Utility_DisplayArrayInTable(Fertiliser_SourceData.Fertiliser_Products_Data5(),FertiliserProducts[[#Headers],[Company]], 121)</f>
        <v/>
      </c>
      <c r="K214" s="200" cm="1">
        <f t="array" ref="K214">Common_InputFunctions.Utility_DisplayArrayInTable(Fertiliser_SourceData.Fertiliser_Products_Data5(),FertiliserProducts[[#Headers],[Company]], 121)</f>
        <v>23</v>
      </c>
      <c r="L214" s="200" cm="1">
        <f t="array" ref="L214">Common_InputFunctions.Utility_DisplayArrayInTable(Fertiliser_SourceData.Fertiliser_Products_Data5(),FertiliserProducts[[#Headers],[Company]], 121)</f>
        <v>0</v>
      </c>
      <c r="M214" s="200" cm="1">
        <f t="array" ref="M214">Common_InputFunctions.Utility_DisplayArrayInTable(Fertiliser_SourceData.Fertiliser_Products_Data5(),FertiliserProducts[[#Headers],[Company]], 121)</f>
        <v>25</v>
      </c>
      <c r="N214" s="200" cm="1">
        <f t="array" ref="N214">Common_InputFunctions.Utility_DisplayArrayInTable(Fertiliser_SourceData.Fertiliser_Products_Data5(),FertiliserProducts[[#Headers],[Company]], 121)</f>
        <v>0</v>
      </c>
      <c r="O214" s="200" t="str" cm="1">
        <f t="array" ref="O214">Common_InputFunctions.Utility_DisplayArrayInTable(Fertiliser_SourceData.Fertiliser_Products_Data5(),FertiliserProducts[[#Headers],[Company]], 121)</f>
        <v>Nitrogen - Generic</v>
      </c>
      <c r="P214" s="200" cm="1">
        <f t="array" ref="P214">Common_InputFunctions.Utility_DisplayArrayInTable(Fertiliser_SourceData.Fertiliser_Products_Data5(),FertiliserProducts[[#Headers],[Company]], 121)</f>
        <v>0.23</v>
      </c>
      <c r="Q214" s="200" t="str" cm="1">
        <f t="array" ref="Q214">Common_InputFunctions.Utility_DisplayArrayInTable(Fertiliser_SourceData.Fertiliser_Products_Data5(),FertiliserProducts[[#Headers],[Company]], 121)</f>
        <v>Potassium - Generic</v>
      </c>
      <c r="R214" s="200" cm="1">
        <f t="array" ref="R214">Common_InputFunctions.Utility_DisplayArrayInTable(Fertiliser_SourceData.Fertiliser_Products_Data5(),FertiliserProducts[[#Headers],[Company]], 121)</f>
        <v>0.25</v>
      </c>
      <c r="S214" s="200" t="str" cm="1">
        <f t="array" ref="S214">Common_InputFunctions.Utility_DisplayArrayInTable(Fertiliser_SourceData.Fertiliser_Products_Data5(),FertiliserProducts[[#Headers],[Company]], 121)</f>
        <v/>
      </c>
      <c r="T214" s="200" t="str" cm="1">
        <f t="array" ref="T214">Common_InputFunctions.Utility_DisplayArrayInTable(Fertiliser_SourceData.Fertiliser_Products_Data5(),FertiliserProducts[[#Headers],[Company]], 121)</f>
        <v/>
      </c>
      <c r="U214" s="200" t="str" cm="1">
        <f t="array" ref="U214">Common_InputFunctions.Utility_DisplayArrayInTable(Fertiliser_SourceData.Fertiliser_Products_Data5(),FertiliserProducts[[#Headers],[Company]], 121)</f>
        <v/>
      </c>
      <c r="V214" s="200" t="str" cm="1">
        <f t="array" ref="V214">Common_InputFunctions.Utility_DisplayArrayInTable(Fertiliser_SourceData.Fertiliser_Products_Data5(),FertiliserProducts[[#Headers],[Company]], 121)</f>
        <v/>
      </c>
      <c r="W214" s="200" t="str" cm="1">
        <f t="array" ref="W214">Common_InputFunctions.Utility_DisplayArrayInTable(Fertiliser_SourceData.Fertiliser_Products_Data5(),FertiliserProducts[[#Headers],[Company]], 121)</f>
        <v/>
      </c>
      <c r="X214" s="200" t="str" cm="1">
        <f t="array" ref="X214">Common_InputFunctions.Utility_DisplayArrayInTable(Fertiliser_SourceData.Fertiliser_Products_Data5(),FertiliserProducts[[#Headers],[Company]], 121)</f>
        <v/>
      </c>
      <c r="Y214" s="200" t="str" cm="1">
        <f t="array" ref="Y214">Common_InputFunctions.Utility_DisplayArrayInTable(Fertiliser_SourceData.Fertiliser_Products_Data5(),FertiliserProducts[[#Headers],[Company]], 121)</f>
        <v/>
      </c>
      <c r="Z214" s="200" t="str" cm="1">
        <f t="array" ref="Z214">Common_InputFunctions.Utility_DisplayArrayInTable(Fertiliser_SourceData.Fertiliser_Products_Data5(),FertiliserProducts[[#Headers],[Company]], 121)</f>
        <v/>
      </c>
      <c r="AA214" s="200" t="str" cm="1">
        <f t="array" ref="AA214">Common_InputFunctions.Utility_DisplayArrayInTable(Fertiliser_SourceData.Fertiliser_Products_Data5(),FertiliserProducts[[#Headers],[Company]], 121)</f>
        <v/>
      </c>
      <c r="AB214" s="200" t="str" cm="1">
        <f t="array" ref="AB214">Common_InputFunctions.Utility_DisplayArrayInTable(Fertiliser_SourceData.Fertiliser_Products_Data5(),FertiliserProducts[[#Headers],[Company]], 121)</f>
        <v/>
      </c>
      <c r="AC214" s="200" t="str" cm="1">
        <f t="array" ref="AC214">Common_InputFunctions.Utility_DisplayArrayInTable(Fertiliser_SourceData.Fertiliser_Products_Data5(),FertiliserProducts[[#Headers],[Company]], 121)</f>
        <v/>
      </c>
      <c r="AD214" s="200" t="str" cm="1">
        <f t="array" ref="AD214">Common_InputFunctions.Utility_DisplayArrayInTable(Fertiliser_SourceData.Fertiliser_Products_Data5(),FertiliserProducts[[#Headers],[Company]], 121)</f>
        <v/>
      </c>
      <c r="AE214" s="200" t="str" cm="1">
        <f t="array" ref="AE214">Common_InputFunctions.Utility_DisplayArrayInTable(Fertiliser_SourceData.Fertiliser_Products_Data5(),FertiliserProducts[[#Headers],[Company]], 121)</f>
        <v/>
      </c>
      <c r="AF214" s="200" t="str" cm="1">
        <f t="array" ref="AF214">Common_InputFunctions.Utility_DisplayArrayInTable(Fertiliser_SourceData.Fertiliser_Products_Data5(),FertiliserProducts[[#Headers],[Company]], 121)</f>
        <v/>
      </c>
      <c r="AG214" s="200" t="str" cm="1">
        <f t="array" ref="AG214">Common_InputFunctions.Utility_DisplayArrayInTable(Fertiliser_SourceData.Fertiliser_Products_Data5(),FertiliserProducts[[#Headers],[Company]], 121)</f>
        <v/>
      </c>
      <c r="AH214" s="200" t="str" cm="1">
        <f t="array" ref="AH214">Common_InputFunctions.Utility_DisplayArrayInTable(Fertiliser_SourceData.Fertiliser_Products_Data5(),FertiliserProducts[[#Headers],[Company]], 121)</f>
        <v/>
      </c>
    </row>
    <row r="215" spans="4:34" x14ac:dyDescent="0.25">
      <c r="D215" s="200" t="str" cm="1">
        <f t="array" ref="D215">Common_InputFunctions.Utility_DisplayArrayInTable(Fertiliser_SourceData.Fertiliser_Products_Data5(),FertiliserProducts[[#Headers],[Company]], 121)</f>
        <v>Wengfu Australia</v>
      </c>
      <c r="E215" s="200" t="str" cm="1">
        <f t="array" ref="E215">Common_InputFunctions.Utility_DisplayArrayInTable(Fertiliser_SourceData.Fertiliser_Products_Data5(),FertiliserProducts[[#Headers],[Company]], 121)</f>
        <v>Wengfu Sidedress</v>
      </c>
      <c r="F215" s="200" t="str" cm="1">
        <f t="array" ref="F215">Common_InputFunctions.Utility_DisplayArrayInTable(Fertiliser_SourceData.Fertiliser_Products_Data5(),FertiliserProducts[[#Headers],[Company]], 121)</f>
        <v>kg</v>
      </c>
      <c r="G215" s="200" cm="1">
        <f t="array" ref="G215">Common_InputFunctions.Utility_DisplayArrayInTable(Fertiliser_SourceData.Fertiliser_Products_Data5(),FertiliserProducts[[#Headers],[Company]], 121)</f>
        <v>1</v>
      </c>
      <c r="H215" s="200" t="str" cm="1">
        <f t="array" ref="H215">Common_InputFunctions.Utility_DisplayArrayInTable(Fertiliser_SourceData.Fertiliser_Products_Data5(),FertiliserProducts[[#Headers],[Company]], 121)</f>
        <v/>
      </c>
      <c r="I215" s="200" t="str" cm="1">
        <f t="array" ref="I215">Common_InputFunctions.Utility_DisplayArrayInTable(Fertiliser_SourceData.Fertiliser_Products_Data5(),FertiliserProducts[[#Headers],[Company]], 121)</f>
        <v/>
      </c>
      <c r="J215" s="200" t="str" cm="1">
        <f t="array" ref="J215">Common_InputFunctions.Utility_DisplayArrayInTable(Fertiliser_SourceData.Fertiliser_Products_Data5(),FertiliserProducts[[#Headers],[Company]], 121)</f>
        <v/>
      </c>
      <c r="K215" s="200" cm="1">
        <f t="array" ref="K215">Common_InputFunctions.Utility_DisplayArrayInTable(Fertiliser_SourceData.Fertiliser_Products_Data5(),FertiliserProducts[[#Headers],[Company]], 121)</f>
        <v>25</v>
      </c>
      <c r="L215" s="200" cm="1">
        <f t="array" ref="L215">Common_InputFunctions.Utility_DisplayArrayInTable(Fertiliser_SourceData.Fertiliser_Products_Data5(),FertiliserProducts[[#Headers],[Company]], 121)</f>
        <v>4</v>
      </c>
      <c r="M215" s="200" cm="1">
        <f t="array" ref="M215">Common_InputFunctions.Utility_DisplayArrayInTable(Fertiliser_SourceData.Fertiliser_Products_Data5(),FertiliserProducts[[#Headers],[Company]], 121)</f>
        <v>13</v>
      </c>
      <c r="N215" s="200" cm="1">
        <f t="array" ref="N215">Common_InputFunctions.Utility_DisplayArrayInTable(Fertiliser_SourceData.Fertiliser_Products_Data5(),FertiliserProducts[[#Headers],[Company]], 121)</f>
        <v>4</v>
      </c>
      <c r="O215" s="200" t="str" cm="1">
        <f t="array" ref="O215">Common_InputFunctions.Utility_DisplayArrayInTable(Fertiliser_SourceData.Fertiliser_Products_Data5(),FertiliserProducts[[#Headers],[Company]], 121)</f>
        <v>Nitrogen - Generic</v>
      </c>
      <c r="P215" s="200" cm="1">
        <f t="array" ref="P215">Common_InputFunctions.Utility_DisplayArrayInTable(Fertiliser_SourceData.Fertiliser_Products_Data5(),FertiliserProducts[[#Headers],[Company]], 121)</f>
        <v>0.25</v>
      </c>
      <c r="Q215" s="200" t="str" cm="1">
        <f t="array" ref="Q215">Common_InputFunctions.Utility_DisplayArrayInTable(Fertiliser_SourceData.Fertiliser_Products_Data5(),FertiliserProducts[[#Headers],[Company]], 121)</f>
        <v>Phosphorus - Generic</v>
      </c>
      <c r="R215" s="200" cm="1">
        <f t="array" ref="R215">Common_InputFunctions.Utility_DisplayArrayInTable(Fertiliser_SourceData.Fertiliser_Products_Data5(),FertiliserProducts[[#Headers],[Company]], 121)</f>
        <v>0.04</v>
      </c>
      <c r="S215" s="200" t="str" cm="1">
        <f t="array" ref="S215">Common_InputFunctions.Utility_DisplayArrayInTable(Fertiliser_SourceData.Fertiliser_Products_Data5(),FertiliserProducts[[#Headers],[Company]], 121)</f>
        <v>Potassium - Generic</v>
      </c>
      <c r="T215" s="200" cm="1">
        <f t="array" ref="T215">Common_InputFunctions.Utility_DisplayArrayInTable(Fertiliser_SourceData.Fertiliser_Products_Data5(),FertiliserProducts[[#Headers],[Company]], 121)</f>
        <v>0.13</v>
      </c>
      <c r="U215" s="200" t="str" cm="1">
        <f t="array" ref="U215">Common_InputFunctions.Utility_DisplayArrayInTable(Fertiliser_SourceData.Fertiliser_Products_Data5(),FertiliserProducts[[#Headers],[Company]], 121)</f>
        <v>Sulfur - Generic</v>
      </c>
      <c r="V215" s="200" cm="1">
        <f t="array" ref="V215">Common_InputFunctions.Utility_DisplayArrayInTable(Fertiliser_SourceData.Fertiliser_Products_Data5(),FertiliserProducts[[#Headers],[Company]], 121)</f>
        <v>0.04</v>
      </c>
      <c r="W215" s="200" t="str" cm="1">
        <f t="array" ref="W215">Common_InputFunctions.Utility_DisplayArrayInTable(Fertiliser_SourceData.Fertiliser_Products_Data5(),FertiliserProducts[[#Headers],[Company]], 121)</f>
        <v/>
      </c>
      <c r="X215" s="200" t="str" cm="1">
        <f t="array" ref="X215">Common_InputFunctions.Utility_DisplayArrayInTable(Fertiliser_SourceData.Fertiliser_Products_Data5(),FertiliserProducts[[#Headers],[Company]], 121)</f>
        <v/>
      </c>
      <c r="Y215" s="200" t="str" cm="1">
        <f t="array" ref="Y215">Common_InputFunctions.Utility_DisplayArrayInTable(Fertiliser_SourceData.Fertiliser_Products_Data5(),FertiliserProducts[[#Headers],[Company]], 121)</f>
        <v/>
      </c>
      <c r="Z215" s="200" t="str" cm="1">
        <f t="array" ref="Z215">Common_InputFunctions.Utility_DisplayArrayInTable(Fertiliser_SourceData.Fertiliser_Products_Data5(),FertiliserProducts[[#Headers],[Company]], 121)</f>
        <v/>
      </c>
      <c r="AA215" s="200" t="str" cm="1">
        <f t="array" ref="AA215">Common_InputFunctions.Utility_DisplayArrayInTable(Fertiliser_SourceData.Fertiliser_Products_Data5(),FertiliserProducts[[#Headers],[Company]], 121)</f>
        <v/>
      </c>
      <c r="AB215" s="200" t="str" cm="1">
        <f t="array" ref="AB215">Common_InputFunctions.Utility_DisplayArrayInTable(Fertiliser_SourceData.Fertiliser_Products_Data5(),FertiliserProducts[[#Headers],[Company]], 121)</f>
        <v/>
      </c>
      <c r="AC215" s="200" t="str" cm="1">
        <f t="array" ref="AC215">Common_InputFunctions.Utility_DisplayArrayInTable(Fertiliser_SourceData.Fertiliser_Products_Data5(),FertiliserProducts[[#Headers],[Company]], 121)</f>
        <v/>
      </c>
      <c r="AD215" s="200" t="str" cm="1">
        <f t="array" ref="AD215">Common_InputFunctions.Utility_DisplayArrayInTable(Fertiliser_SourceData.Fertiliser_Products_Data5(),FertiliserProducts[[#Headers],[Company]], 121)</f>
        <v/>
      </c>
      <c r="AE215" s="200" t="str" cm="1">
        <f t="array" ref="AE215">Common_InputFunctions.Utility_DisplayArrayInTable(Fertiliser_SourceData.Fertiliser_Products_Data5(),FertiliserProducts[[#Headers],[Company]], 121)</f>
        <v/>
      </c>
      <c r="AF215" s="200" t="str" cm="1">
        <f t="array" ref="AF215">Common_InputFunctions.Utility_DisplayArrayInTable(Fertiliser_SourceData.Fertiliser_Products_Data5(),FertiliserProducts[[#Headers],[Company]], 121)</f>
        <v/>
      </c>
      <c r="AG215" s="200" t="str" cm="1">
        <f t="array" ref="AG215">Common_InputFunctions.Utility_DisplayArrayInTable(Fertiliser_SourceData.Fertiliser_Products_Data5(),FertiliserProducts[[#Headers],[Company]], 121)</f>
        <v/>
      </c>
      <c r="AH215" s="200" t="str" cm="1">
        <f t="array" ref="AH215">Common_InputFunctions.Utility_DisplayArrayInTable(Fertiliser_SourceData.Fertiliser_Products_Data5(),FertiliserProducts[[#Headers],[Company]], 121)</f>
        <v/>
      </c>
    </row>
    <row r="216" spans="4:34" x14ac:dyDescent="0.25">
      <c r="D216" s="200" t="str" cm="1">
        <f t="array" ref="D216">Common_InputFunctions.Utility_DisplayArrayInTable(Fertiliser_SourceData.Fertiliser_Products_Data5(),FertiliserProducts[[#Headers],[Company]], 121)</f>
        <v>Wengfu Australia</v>
      </c>
      <c r="E216" s="200" t="str" cm="1">
        <f t="array" ref="E216">Common_InputFunctions.Utility_DisplayArrayInTable(Fertiliser_SourceData.Fertiliser_Products_Data5(),FertiliserProducts[[#Headers],[Company]], 121)</f>
        <v>Wengfu Pasture Booster</v>
      </c>
      <c r="F216" s="200" t="str" cm="1">
        <f t="array" ref="F216">Common_InputFunctions.Utility_DisplayArrayInTable(Fertiliser_SourceData.Fertiliser_Products_Data5(),FertiliserProducts[[#Headers],[Company]], 121)</f>
        <v>kg</v>
      </c>
      <c r="G216" s="200" cm="1">
        <f t="array" ref="G216">Common_InputFunctions.Utility_DisplayArrayInTable(Fertiliser_SourceData.Fertiliser_Products_Data5(),FertiliserProducts[[#Headers],[Company]], 121)</f>
        <v>1</v>
      </c>
      <c r="H216" s="200" t="str" cm="1">
        <f t="array" ref="H216">Common_InputFunctions.Utility_DisplayArrayInTable(Fertiliser_SourceData.Fertiliser_Products_Data5(),FertiliserProducts[[#Headers],[Company]], 121)</f>
        <v/>
      </c>
      <c r="I216" s="200" t="str" cm="1">
        <f t="array" ref="I216">Common_InputFunctions.Utility_DisplayArrayInTable(Fertiliser_SourceData.Fertiliser_Products_Data5(),FertiliserProducts[[#Headers],[Company]], 121)</f>
        <v/>
      </c>
      <c r="J216" s="200" t="str" cm="1">
        <f t="array" ref="J216">Common_InputFunctions.Utility_DisplayArrayInTable(Fertiliser_SourceData.Fertiliser_Products_Data5(),FertiliserProducts[[#Headers],[Company]], 121)</f>
        <v/>
      </c>
      <c r="K216" s="200" cm="1">
        <f t="array" ref="K216">Common_InputFunctions.Utility_DisplayArrayInTable(Fertiliser_SourceData.Fertiliser_Products_Data5(),FertiliserProducts[[#Headers],[Company]], 121)</f>
        <v>13</v>
      </c>
      <c r="L216" s="200" cm="1">
        <f t="array" ref="L216">Common_InputFunctions.Utility_DisplayArrayInTable(Fertiliser_SourceData.Fertiliser_Products_Data5(),FertiliserProducts[[#Headers],[Company]], 121)</f>
        <v>5</v>
      </c>
      <c r="M216" s="200" cm="1">
        <f t="array" ref="M216">Common_InputFunctions.Utility_DisplayArrayInTable(Fertiliser_SourceData.Fertiliser_Products_Data5(),FertiliserProducts[[#Headers],[Company]], 121)</f>
        <v>24</v>
      </c>
      <c r="N216" s="200" cm="1">
        <f t="array" ref="N216">Common_InputFunctions.Utility_DisplayArrayInTable(Fertiliser_SourceData.Fertiliser_Products_Data5(),FertiliserProducts[[#Headers],[Company]], 121)</f>
        <v>5</v>
      </c>
      <c r="O216" s="200" t="str" cm="1">
        <f t="array" ref="O216">Common_InputFunctions.Utility_DisplayArrayInTable(Fertiliser_SourceData.Fertiliser_Products_Data5(),FertiliserProducts[[#Headers],[Company]], 121)</f>
        <v>Nitrogen - Generic</v>
      </c>
      <c r="P216" s="200" cm="1">
        <f t="array" ref="P216">Common_InputFunctions.Utility_DisplayArrayInTable(Fertiliser_SourceData.Fertiliser_Products_Data5(),FertiliserProducts[[#Headers],[Company]], 121)</f>
        <v>0.13</v>
      </c>
      <c r="Q216" s="200" t="str" cm="1">
        <f t="array" ref="Q216">Common_InputFunctions.Utility_DisplayArrayInTable(Fertiliser_SourceData.Fertiliser_Products_Data5(),FertiliserProducts[[#Headers],[Company]], 121)</f>
        <v>Phosphorus - Generic</v>
      </c>
      <c r="R216" s="200" cm="1">
        <f t="array" ref="R216">Common_InputFunctions.Utility_DisplayArrayInTable(Fertiliser_SourceData.Fertiliser_Products_Data5(),FertiliserProducts[[#Headers],[Company]], 121)</f>
        <v>0.05</v>
      </c>
      <c r="S216" s="200" t="str" cm="1">
        <f t="array" ref="S216">Common_InputFunctions.Utility_DisplayArrayInTable(Fertiliser_SourceData.Fertiliser_Products_Data5(),FertiliserProducts[[#Headers],[Company]], 121)</f>
        <v>Potassium - Generic</v>
      </c>
      <c r="T216" s="200" cm="1">
        <f t="array" ref="T216">Common_InputFunctions.Utility_DisplayArrayInTable(Fertiliser_SourceData.Fertiliser_Products_Data5(),FertiliserProducts[[#Headers],[Company]], 121)</f>
        <v>0.24</v>
      </c>
      <c r="U216" s="200" t="str" cm="1">
        <f t="array" ref="U216">Common_InputFunctions.Utility_DisplayArrayInTable(Fertiliser_SourceData.Fertiliser_Products_Data5(),FertiliserProducts[[#Headers],[Company]], 121)</f>
        <v>Sulfur - Generic</v>
      </c>
      <c r="V216" s="200" cm="1">
        <f t="array" ref="V216">Common_InputFunctions.Utility_DisplayArrayInTable(Fertiliser_SourceData.Fertiliser_Products_Data5(),FertiliserProducts[[#Headers],[Company]], 121)</f>
        <v>0.05</v>
      </c>
      <c r="W216" s="200" t="str" cm="1">
        <f t="array" ref="W216">Common_InputFunctions.Utility_DisplayArrayInTable(Fertiliser_SourceData.Fertiliser_Products_Data5(),FertiliserProducts[[#Headers],[Company]], 121)</f>
        <v/>
      </c>
      <c r="X216" s="200" t="str" cm="1">
        <f t="array" ref="X216">Common_InputFunctions.Utility_DisplayArrayInTable(Fertiliser_SourceData.Fertiliser_Products_Data5(),FertiliserProducts[[#Headers],[Company]], 121)</f>
        <v/>
      </c>
      <c r="Y216" s="200" t="str" cm="1">
        <f t="array" ref="Y216">Common_InputFunctions.Utility_DisplayArrayInTable(Fertiliser_SourceData.Fertiliser_Products_Data5(),FertiliserProducts[[#Headers],[Company]], 121)</f>
        <v/>
      </c>
      <c r="Z216" s="200" t="str" cm="1">
        <f t="array" ref="Z216">Common_InputFunctions.Utility_DisplayArrayInTable(Fertiliser_SourceData.Fertiliser_Products_Data5(),FertiliserProducts[[#Headers],[Company]], 121)</f>
        <v/>
      </c>
      <c r="AA216" s="200" t="str" cm="1">
        <f t="array" ref="AA216">Common_InputFunctions.Utility_DisplayArrayInTable(Fertiliser_SourceData.Fertiliser_Products_Data5(),FertiliserProducts[[#Headers],[Company]], 121)</f>
        <v/>
      </c>
      <c r="AB216" s="200" t="str" cm="1">
        <f t="array" ref="AB216">Common_InputFunctions.Utility_DisplayArrayInTable(Fertiliser_SourceData.Fertiliser_Products_Data5(),FertiliserProducts[[#Headers],[Company]], 121)</f>
        <v/>
      </c>
      <c r="AC216" s="200" t="str" cm="1">
        <f t="array" ref="AC216">Common_InputFunctions.Utility_DisplayArrayInTable(Fertiliser_SourceData.Fertiliser_Products_Data5(),FertiliserProducts[[#Headers],[Company]], 121)</f>
        <v/>
      </c>
      <c r="AD216" s="200" t="str" cm="1">
        <f t="array" ref="AD216">Common_InputFunctions.Utility_DisplayArrayInTable(Fertiliser_SourceData.Fertiliser_Products_Data5(),FertiliserProducts[[#Headers],[Company]], 121)</f>
        <v/>
      </c>
      <c r="AE216" s="200" t="str" cm="1">
        <f t="array" ref="AE216">Common_InputFunctions.Utility_DisplayArrayInTable(Fertiliser_SourceData.Fertiliser_Products_Data5(),FertiliserProducts[[#Headers],[Company]], 121)</f>
        <v/>
      </c>
      <c r="AF216" s="200" t="str" cm="1">
        <f t="array" ref="AF216">Common_InputFunctions.Utility_DisplayArrayInTable(Fertiliser_SourceData.Fertiliser_Products_Data5(),FertiliserProducts[[#Headers],[Company]], 121)</f>
        <v/>
      </c>
      <c r="AG216" s="200" t="str" cm="1">
        <f t="array" ref="AG216">Common_InputFunctions.Utility_DisplayArrayInTable(Fertiliser_SourceData.Fertiliser_Products_Data5(),FertiliserProducts[[#Headers],[Company]], 121)</f>
        <v/>
      </c>
      <c r="AH216" s="200" t="str" cm="1">
        <f t="array" ref="AH216">Common_InputFunctions.Utility_DisplayArrayInTable(Fertiliser_SourceData.Fertiliser_Products_Data5(),FertiliserProducts[[#Headers],[Company]], 121)</f>
        <v/>
      </c>
    </row>
    <row r="217" spans="4:34" x14ac:dyDescent="0.25">
      <c r="D217" s="200" t="str" cm="1">
        <f t="array" ref="D217">Common_InputFunctions.Utility_DisplayArrayInTable(Fertiliser_SourceData.Fertiliser_Products_Data5(),FertiliserProducts[[#Headers],[Company]], 121)</f>
        <v>Wengfu Australia</v>
      </c>
      <c r="E217" s="200" t="str" cm="1">
        <f t="array" ref="E217">Common_InputFunctions.Utility_DisplayArrayInTable(Fertiliser_SourceData.Fertiliser_Products_Data5(),FertiliserProducts[[#Headers],[Company]], 121)</f>
        <v>Wengfu DAP Hay Booster</v>
      </c>
      <c r="F217" s="200" t="str" cm="1">
        <f t="array" ref="F217">Common_InputFunctions.Utility_DisplayArrayInTable(Fertiliser_SourceData.Fertiliser_Products_Data5(),FertiliserProducts[[#Headers],[Company]], 121)</f>
        <v>kg</v>
      </c>
      <c r="G217" s="200" cm="1">
        <f t="array" ref="G217">Common_InputFunctions.Utility_DisplayArrayInTable(Fertiliser_SourceData.Fertiliser_Products_Data5(),FertiliserProducts[[#Headers],[Company]], 121)</f>
        <v>1</v>
      </c>
      <c r="H217" s="200" t="str" cm="1">
        <f t="array" ref="H217">Common_InputFunctions.Utility_DisplayArrayInTable(Fertiliser_SourceData.Fertiliser_Products_Data5(),FertiliserProducts[[#Headers],[Company]], 121)</f>
        <v/>
      </c>
      <c r="I217" s="200" t="str" cm="1">
        <f t="array" ref="I217">Common_InputFunctions.Utility_DisplayArrayInTable(Fertiliser_SourceData.Fertiliser_Products_Data5(),FertiliserProducts[[#Headers],[Company]], 121)</f>
        <v/>
      </c>
      <c r="J217" s="200" t="str" cm="1">
        <f t="array" ref="J217">Common_InputFunctions.Utility_DisplayArrayInTable(Fertiliser_SourceData.Fertiliser_Products_Data5(),FertiliserProducts[[#Headers],[Company]], 121)</f>
        <v/>
      </c>
      <c r="K217" s="200" cm="1">
        <f t="array" ref="K217">Common_InputFunctions.Utility_DisplayArrayInTable(Fertiliser_SourceData.Fertiliser_Products_Data5(),FertiliserProducts[[#Headers],[Company]], 121)</f>
        <v>11</v>
      </c>
      <c r="L217" s="200" cm="1">
        <f t="array" ref="L217">Common_InputFunctions.Utility_DisplayArrayInTable(Fertiliser_SourceData.Fertiliser_Products_Data5(),FertiliserProducts[[#Headers],[Company]], 121)</f>
        <v>5</v>
      </c>
      <c r="M217" s="200" cm="1">
        <f t="array" ref="M217">Common_InputFunctions.Utility_DisplayArrayInTable(Fertiliser_SourceData.Fertiliser_Products_Data5(),FertiliserProducts[[#Headers],[Company]], 121)</f>
        <v>24</v>
      </c>
      <c r="N217" s="200" cm="1">
        <f t="array" ref="N217">Common_InputFunctions.Utility_DisplayArrayInTable(Fertiliser_SourceData.Fertiliser_Products_Data5(),FertiliserProducts[[#Headers],[Company]], 121)</f>
        <v>4</v>
      </c>
      <c r="O217" s="200" t="str" cm="1">
        <f t="array" ref="O217">Common_InputFunctions.Utility_DisplayArrayInTable(Fertiliser_SourceData.Fertiliser_Products_Data5(),FertiliserProducts[[#Headers],[Company]], 121)</f>
        <v>Nitrogen - Generic</v>
      </c>
      <c r="P217" s="200" cm="1">
        <f t="array" ref="P217">Common_InputFunctions.Utility_DisplayArrayInTable(Fertiliser_SourceData.Fertiliser_Products_Data5(),FertiliserProducts[[#Headers],[Company]], 121)</f>
        <v>0.11</v>
      </c>
      <c r="Q217" s="200" t="str" cm="1">
        <f t="array" ref="Q217">Common_InputFunctions.Utility_DisplayArrayInTable(Fertiliser_SourceData.Fertiliser_Products_Data5(),FertiliserProducts[[#Headers],[Company]], 121)</f>
        <v>Phosphorus - Generic</v>
      </c>
      <c r="R217" s="200" cm="1">
        <f t="array" ref="R217">Common_InputFunctions.Utility_DisplayArrayInTable(Fertiliser_SourceData.Fertiliser_Products_Data5(),FertiliserProducts[[#Headers],[Company]], 121)</f>
        <v>0.05</v>
      </c>
      <c r="S217" s="200" t="str" cm="1">
        <f t="array" ref="S217">Common_InputFunctions.Utility_DisplayArrayInTable(Fertiliser_SourceData.Fertiliser_Products_Data5(),FertiliserProducts[[#Headers],[Company]], 121)</f>
        <v>Potassium - Generic</v>
      </c>
      <c r="T217" s="200" cm="1">
        <f t="array" ref="T217">Common_InputFunctions.Utility_DisplayArrayInTable(Fertiliser_SourceData.Fertiliser_Products_Data5(),FertiliserProducts[[#Headers],[Company]], 121)</f>
        <v>0.24</v>
      </c>
      <c r="U217" s="200" t="str" cm="1">
        <f t="array" ref="U217">Common_InputFunctions.Utility_DisplayArrayInTable(Fertiliser_SourceData.Fertiliser_Products_Data5(),FertiliserProducts[[#Headers],[Company]], 121)</f>
        <v>Sulfur - Generic</v>
      </c>
      <c r="V217" s="200" cm="1">
        <f t="array" ref="V217">Common_InputFunctions.Utility_DisplayArrayInTable(Fertiliser_SourceData.Fertiliser_Products_Data5(),FertiliserProducts[[#Headers],[Company]], 121)</f>
        <v>0.04</v>
      </c>
      <c r="W217" s="200" t="str" cm="1">
        <f t="array" ref="W217">Common_InputFunctions.Utility_DisplayArrayInTable(Fertiliser_SourceData.Fertiliser_Products_Data5(),FertiliserProducts[[#Headers],[Company]], 121)</f>
        <v/>
      </c>
      <c r="X217" s="200" t="str" cm="1">
        <f t="array" ref="X217">Common_InputFunctions.Utility_DisplayArrayInTable(Fertiliser_SourceData.Fertiliser_Products_Data5(),FertiliserProducts[[#Headers],[Company]], 121)</f>
        <v/>
      </c>
      <c r="Y217" s="200" t="str" cm="1">
        <f t="array" ref="Y217">Common_InputFunctions.Utility_DisplayArrayInTable(Fertiliser_SourceData.Fertiliser_Products_Data5(),FertiliserProducts[[#Headers],[Company]], 121)</f>
        <v/>
      </c>
      <c r="Z217" s="200" t="str" cm="1">
        <f t="array" ref="Z217">Common_InputFunctions.Utility_DisplayArrayInTable(Fertiliser_SourceData.Fertiliser_Products_Data5(),FertiliserProducts[[#Headers],[Company]], 121)</f>
        <v/>
      </c>
      <c r="AA217" s="200" t="str" cm="1">
        <f t="array" ref="AA217">Common_InputFunctions.Utility_DisplayArrayInTable(Fertiliser_SourceData.Fertiliser_Products_Data5(),FertiliserProducts[[#Headers],[Company]], 121)</f>
        <v/>
      </c>
      <c r="AB217" s="200" t="str" cm="1">
        <f t="array" ref="AB217">Common_InputFunctions.Utility_DisplayArrayInTable(Fertiliser_SourceData.Fertiliser_Products_Data5(),FertiliserProducts[[#Headers],[Company]], 121)</f>
        <v/>
      </c>
      <c r="AC217" s="200" t="str" cm="1">
        <f t="array" ref="AC217">Common_InputFunctions.Utility_DisplayArrayInTable(Fertiliser_SourceData.Fertiliser_Products_Data5(),FertiliserProducts[[#Headers],[Company]], 121)</f>
        <v/>
      </c>
      <c r="AD217" s="200" t="str" cm="1">
        <f t="array" ref="AD217">Common_InputFunctions.Utility_DisplayArrayInTable(Fertiliser_SourceData.Fertiliser_Products_Data5(),FertiliserProducts[[#Headers],[Company]], 121)</f>
        <v/>
      </c>
      <c r="AE217" s="200" t="str" cm="1">
        <f t="array" ref="AE217">Common_InputFunctions.Utility_DisplayArrayInTable(Fertiliser_SourceData.Fertiliser_Products_Data5(),FertiliserProducts[[#Headers],[Company]], 121)</f>
        <v/>
      </c>
      <c r="AF217" s="200" t="str" cm="1">
        <f t="array" ref="AF217">Common_InputFunctions.Utility_DisplayArrayInTable(Fertiliser_SourceData.Fertiliser_Products_Data5(),FertiliserProducts[[#Headers],[Company]], 121)</f>
        <v/>
      </c>
      <c r="AG217" s="200" t="str" cm="1">
        <f t="array" ref="AG217">Common_InputFunctions.Utility_DisplayArrayInTable(Fertiliser_SourceData.Fertiliser_Products_Data5(),FertiliserProducts[[#Headers],[Company]], 121)</f>
        <v/>
      </c>
      <c r="AH217" s="200" t="str" cm="1">
        <f t="array" ref="AH217">Common_InputFunctions.Utility_DisplayArrayInTable(Fertiliser_SourceData.Fertiliser_Products_Data5(),FertiliserProducts[[#Headers],[Company]], 121)</f>
        <v/>
      </c>
    </row>
    <row r="218" spans="4:34" x14ac:dyDescent="0.25">
      <c r="D218" s="200" t="str" cm="1">
        <f t="array" ref="D218">Common_InputFunctions.Utility_DisplayArrayInTable(Fertiliser_SourceData.Fertiliser_Products_Data5(),FertiliserProducts[[#Headers],[Company]], 121)</f>
        <v>Wengfu Australia</v>
      </c>
      <c r="E218" s="200" t="str" cm="1">
        <f t="array" ref="E218">Common_InputFunctions.Utility_DisplayArrayInTable(Fertiliser_SourceData.Fertiliser_Products_Data5(),FertiliserProducts[[#Headers],[Company]], 121)</f>
        <v>Wengfu MAP Hay Booster</v>
      </c>
      <c r="F218" s="200" t="str" cm="1">
        <f t="array" ref="F218">Common_InputFunctions.Utility_DisplayArrayInTable(Fertiliser_SourceData.Fertiliser_Products_Data5(),FertiliserProducts[[#Headers],[Company]], 121)</f>
        <v>kg</v>
      </c>
      <c r="G218" s="200" cm="1">
        <f t="array" ref="G218">Common_InputFunctions.Utility_DisplayArrayInTable(Fertiliser_SourceData.Fertiliser_Products_Data5(),FertiliserProducts[[#Headers],[Company]], 121)</f>
        <v>1</v>
      </c>
      <c r="H218" s="200" t="str" cm="1">
        <f t="array" ref="H218">Common_InputFunctions.Utility_DisplayArrayInTable(Fertiliser_SourceData.Fertiliser_Products_Data5(),FertiliserProducts[[#Headers],[Company]], 121)</f>
        <v/>
      </c>
      <c r="I218" s="200" t="str" cm="1">
        <f t="array" ref="I218">Common_InputFunctions.Utility_DisplayArrayInTable(Fertiliser_SourceData.Fertiliser_Products_Data5(),FertiliserProducts[[#Headers],[Company]], 121)</f>
        <v/>
      </c>
      <c r="J218" s="200" t="str" cm="1">
        <f t="array" ref="J218">Common_InputFunctions.Utility_DisplayArrayInTable(Fertiliser_SourceData.Fertiliser_Products_Data5(),FertiliserProducts[[#Headers],[Company]], 121)</f>
        <v/>
      </c>
      <c r="K218" s="200" cm="1">
        <f t="array" ref="K218">Common_InputFunctions.Utility_DisplayArrayInTable(Fertiliser_SourceData.Fertiliser_Products_Data5(),FertiliserProducts[[#Headers],[Company]], 121)</f>
        <v>11</v>
      </c>
      <c r="L218" s="200" cm="1">
        <f t="array" ref="L218">Common_InputFunctions.Utility_DisplayArrayInTable(Fertiliser_SourceData.Fertiliser_Products_Data5(),FertiliserProducts[[#Headers],[Company]], 121)</f>
        <v>8</v>
      </c>
      <c r="M218" s="200" cm="1">
        <f t="array" ref="M218">Common_InputFunctions.Utility_DisplayArrayInTable(Fertiliser_SourceData.Fertiliser_Products_Data5(),FertiliserProducts[[#Headers],[Company]], 121)</f>
        <v>20</v>
      </c>
      <c r="N218" s="200" cm="1">
        <f t="array" ref="N218">Common_InputFunctions.Utility_DisplayArrayInTable(Fertiliser_SourceData.Fertiliser_Products_Data5(),FertiliserProducts[[#Headers],[Company]], 121)</f>
        <v>6</v>
      </c>
      <c r="O218" s="200" t="str" cm="1">
        <f t="array" ref="O218">Common_InputFunctions.Utility_DisplayArrayInTable(Fertiliser_SourceData.Fertiliser_Products_Data5(),FertiliserProducts[[#Headers],[Company]], 121)</f>
        <v>Nitrogen - Generic</v>
      </c>
      <c r="P218" s="200" cm="1">
        <f t="array" ref="P218">Common_InputFunctions.Utility_DisplayArrayInTable(Fertiliser_SourceData.Fertiliser_Products_Data5(),FertiliserProducts[[#Headers],[Company]], 121)</f>
        <v>0.11</v>
      </c>
      <c r="Q218" s="200" t="str" cm="1">
        <f t="array" ref="Q218">Common_InputFunctions.Utility_DisplayArrayInTable(Fertiliser_SourceData.Fertiliser_Products_Data5(),FertiliserProducts[[#Headers],[Company]], 121)</f>
        <v>Phosphorus - Generic</v>
      </c>
      <c r="R218" s="200" cm="1">
        <f t="array" ref="R218">Common_InputFunctions.Utility_DisplayArrayInTable(Fertiliser_SourceData.Fertiliser_Products_Data5(),FertiliserProducts[[#Headers],[Company]], 121)</f>
        <v>0.08</v>
      </c>
      <c r="S218" s="200" t="str" cm="1">
        <f t="array" ref="S218">Common_InputFunctions.Utility_DisplayArrayInTable(Fertiliser_SourceData.Fertiliser_Products_Data5(),FertiliserProducts[[#Headers],[Company]], 121)</f>
        <v>Potassium - Generic</v>
      </c>
      <c r="T218" s="200" cm="1">
        <f t="array" ref="T218">Common_InputFunctions.Utility_DisplayArrayInTable(Fertiliser_SourceData.Fertiliser_Products_Data5(),FertiliserProducts[[#Headers],[Company]], 121)</f>
        <v>0.2</v>
      </c>
      <c r="U218" s="200" t="str" cm="1">
        <f t="array" ref="U218">Common_InputFunctions.Utility_DisplayArrayInTable(Fertiliser_SourceData.Fertiliser_Products_Data5(),FertiliserProducts[[#Headers],[Company]], 121)</f>
        <v>Sulfur - Generic</v>
      </c>
      <c r="V218" s="200" cm="1">
        <f t="array" ref="V218">Common_InputFunctions.Utility_DisplayArrayInTable(Fertiliser_SourceData.Fertiliser_Products_Data5(),FertiliserProducts[[#Headers],[Company]], 121)</f>
        <v>0.06</v>
      </c>
      <c r="W218" s="200" t="str" cm="1">
        <f t="array" ref="W218">Common_InputFunctions.Utility_DisplayArrayInTable(Fertiliser_SourceData.Fertiliser_Products_Data5(),FertiliserProducts[[#Headers],[Company]], 121)</f>
        <v/>
      </c>
      <c r="X218" s="200" t="str" cm="1">
        <f t="array" ref="X218">Common_InputFunctions.Utility_DisplayArrayInTable(Fertiliser_SourceData.Fertiliser_Products_Data5(),FertiliserProducts[[#Headers],[Company]], 121)</f>
        <v/>
      </c>
      <c r="Y218" s="200" t="str" cm="1">
        <f t="array" ref="Y218">Common_InputFunctions.Utility_DisplayArrayInTable(Fertiliser_SourceData.Fertiliser_Products_Data5(),FertiliserProducts[[#Headers],[Company]], 121)</f>
        <v/>
      </c>
      <c r="Z218" s="200" t="str" cm="1">
        <f t="array" ref="Z218">Common_InputFunctions.Utility_DisplayArrayInTable(Fertiliser_SourceData.Fertiliser_Products_Data5(),FertiliserProducts[[#Headers],[Company]], 121)</f>
        <v/>
      </c>
      <c r="AA218" s="200" t="str" cm="1">
        <f t="array" ref="AA218">Common_InputFunctions.Utility_DisplayArrayInTable(Fertiliser_SourceData.Fertiliser_Products_Data5(),FertiliserProducts[[#Headers],[Company]], 121)</f>
        <v/>
      </c>
      <c r="AB218" s="200" t="str" cm="1">
        <f t="array" ref="AB218">Common_InputFunctions.Utility_DisplayArrayInTable(Fertiliser_SourceData.Fertiliser_Products_Data5(),FertiliserProducts[[#Headers],[Company]], 121)</f>
        <v/>
      </c>
      <c r="AC218" s="200" t="str" cm="1">
        <f t="array" ref="AC218">Common_InputFunctions.Utility_DisplayArrayInTable(Fertiliser_SourceData.Fertiliser_Products_Data5(),FertiliserProducts[[#Headers],[Company]], 121)</f>
        <v/>
      </c>
      <c r="AD218" s="200" t="str" cm="1">
        <f t="array" ref="AD218">Common_InputFunctions.Utility_DisplayArrayInTable(Fertiliser_SourceData.Fertiliser_Products_Data5(),FertiliserProducts[[#Headers],[Company]], 121)</f>
        <v/>
      </c>
      <c r="AE218" s="200" t="str" cm="1">
        <f t="array" ref="AE218">Common_InputFunctions.Utility_DisplayArrayInTable(Fertiliser_SourceData.Fertiliser_Products_Data5(),FertiliserProducts[[#Headers],[Company]], 121)</f>
        <v/>
      </c>
      <c r="AF218" s="200" t="str" cm="1">
        <f t="array" ref="AF218">Common_InputFunctions.Utility_DisplayArrayInTable(Fertiliser_SourceData.Fertiliser_Products_Data5(),FertiliserProducts[[#Headers],[Company]], 121)</f>
        <v/>
      </c>
      <c r="AG218" s="200" t="str" cm="1">
        <f t="array" ref="AG218">Common_InputFunctions.Utility_DisplayArrayInTable(Fertiliser_SourceData.Fertiliser_Products_Data5(),FertiliserProducts[[#Headers],[Company]], 121)</f>
        <v/>
      </c>
      <c r="AH218" s="200" t="str" cm="1">
        <f t="array" ref="AH218">Common_InputFunctions.Utility_DisplayArrayInTable(Fertiliser_SourceData.Fertiliser_Products_Data5(),FertiliserProducts[[#Headers],[Company]], 121)</f>
        <v/>
      </c>
    </row>
    <row r="219" spans="4:34" x14ac:dyDescent="0.25">
      <c r="D219" s="200" t="str" cm="1">
        <f t="array" ref="D219">Common_InputFunctions.Utility_DisplayArrayInTable(Fertiliser_SourceData.Fertiliser_Products_Data5(),FertiliserProducts[[#Headers],[Company]], 121)</f>
        <v>Wengfu Australia</v>
      </c>
      <c r="E219" s="200" t="str" cm="1">
        <f t="array" ref="E219">Common_InputFunctions.Utility_DisplayArrayInTable(Fertiliser_SourceData.Fertiliser_Products_Data5(),FertiliserProducts[[#Headers],[Company]], 121)</f>
        <v>Wengfu Fodder Booster</v>
      </c>
      <c r="F219" s="200" t="str" cm="1">
        <f t="array" ref="F219">Common_InputFunctions.Utility_DisplayArrayInTable(Fertiliser_SourceData.Fertiliser_Products_Data5(),FertiliserProducts[[#Headers],[Company]], 121)</f>
        <v>kg</v>
      </c>
      <c r="G219" s="200" cm="1">
        <f t="array" ref="G219">Common_InputFunctions.Utility_DisplayArrayInTable(Fertiliser_SourceData.Fertiliser_Products_Data5(),FertiliserProducts[[#Headers],[Company]], 121)</f>
        <v>1</v>
      </c>
      <c r="H219" s="200" t="str" cm="1">
        <f t="array" ref="H219">Common_InputFunctions.Utility_DisplayArrayInTable(Fertiliser_SourceData.Fertiliser_Products_Data5(),FertiliserProducts[[#Headers],[Company]], 121)</f>
        <v/>
      </c>
      <c r="I219" s="200" t="str" cm="1">
        <f t="array" ref="I219">Common_InputFunctions.Utility_DisplayArrayInTable(Fertiliser_SourceData.Fertiliser_Products_Data5(),FertiliserProducts[[#Headers],[Company]], 121)</f>
        <v/>
      </c>
      <c r="J219" s="200" t="str" cm="1">
        <f t="array" ref="J219">Common_InputFunctions.Utility_DisplayArrayInTable(Fertiliser_SourceData.Fertiliser_Products_Data5(),FertiliserProducts[[#Headers],[Company]], 121)</f>
        <v/>
      </c>
      <c r="K219" s="200" cm="1">
        <f t="array" ref="K219">Common_InputFunctions.Utility_DisplayArrayInTable(Fertiliser_SourceData.Fertiliser_Products_Data5(),FertiliserProducts[[#Headers],[Company]], 121)</f>
        <v>9</v>
      </c>
      <c r="L219" s="200" cm="1">
        <f t="array" ref="L219">Common_InputFunctions.Utility_DisplayArrayInTable(Fertiliser_SourceData.Fertiliser_Products_Data5(),FertiliserProducts[[#Headers],[Company]], 121)</f>
        <v>4</v>
      </c>
      <c r="M219" s="200" cm="1">
        <f t="array" ref="M219">Common_InputFunctions.Utility_DisplayArrayInTable(Fertiliser_SourceData.Fertiliser_Products_Data5(),FertiliserProducts[[#Headers],[Company]], 121)</f>
        <v>5</v>
      </c>
      <c r="N219" s="200" cm="1">
        <f t="array" ref="N219">Common_InputFunctions.Utility_DisplayArrayInTable(Fertiliser_SourceData.Fertiliser_Products_Data5(),FertiliserProducts[[#Headers],[Company]], 121)</f>
        <v>15</v>
      </c>
      <c r="O219" s="200" t="str" cm="1">
        <f t="array" ref="O219">Common_InputFunctions.Utility_DisplayArrayInTable(Fertiliser_SourceData.Fertiliser_Products_Data5(),FertiliserProducts[[#Headers],[Company]], 121)</f>
        <v>Nitrogen - Generic</v>
      </c>
      <c r="P219" s="200" cm="1">
        <f t="array" ref="P219">Common_InputFunctions.Utility_DisplayArrayInTable(Fertiliser_SourceData.Fertiliser_Products_Data5(),FertiliserProducts[[#Headers],[Company]], 121)</f>
        <v>0.09</v>
      </c>
      <c r="Q219" s="200" t="str" cm="1">
        <f t="array" ref="Q219">Common_InputFunctions.Utility_DisplayArrayInTable(Fertiliser_SourceData.Fertiliser_Products_Data5(),FertiliserProducts[[#Headers],[Company]], 121)</f>
        <v>Phosphorus - Generic</v>
      </c>
      <c r="R219" s="200" cm="1">
        <f t="array" ref="R219">Common_InputFunctions.Utility_DisplayArrayInTable(Fertiliser_SourceData.Fertiliser_Products_Data5(),FertiliserProducts[[#Headers],[Company]], 121)</f>
        <v>0.04</v>
      </c>
      <c r="S219" s="200" t="str" cm="1">
        <f t="array" ref="S219">Common_InputFunctions.Utility_DisplayArrayInTable(Fertiliser_SourceData.Fertiliser_Products_Data5(),FertiliserProducts[[#Headers],[Company]], 121)</f>
        <v>Potassium - Generic</v>
      </c>
      <c r="T219" s="200" cm="1">
        <f t="array" ref="T219">Common_InputFunctions.Utility_DisplayArrayInTable(Fertiliser_SourceData.Fertiliser_Products_Data5(),FertiliserProducts[[#Headers],[Company]], 121)</f>
        <v>0.05</v>
      </c>
      <c r="U219" s="200" t="str" cm="1">
        <f t="array" ref="U219">Common_InputFunctions.Utility_DisplayArrayInTable(Fertiliser_SourceData.Fertiliser_Products_Data5(),FertiliserProducts[[#Headers],[Company]], 121)</f>
        <v>Sulfur - Generic</v>
      </c>
      <c r="V219" s="200" cm="1">
        <f t="array" ref="V219">Common_InputFunctions.Utility_DisplayArrayInTable(Fertiliser_SourceData.Fertiliser_Products_Data5(),FertiliserProducts[[#Headers],[Company]], 121)</f>
        <v>0.15</v>
      </c>
      <c r="W219" s="200" t="str" cm="1">
        <f t="array" ref="W219">Common_InputFunctions.Utility_DisplayArrayInTable(Fertiliser_SourceData.Fertiliser_Products_Data5(),FertiliserProducts[[#Headers],[Company]], 121)</f>
        <v/>
      </c>
      <c r="X219" s="200" t="str" cm="1">
        <f t="array" ref="X219">Common_InputFunctions.Utility_DisplayArrayInTable(Fertiliser_SourceData.Fertiliser_Products_Data5(),FertiliserProducts[[#Headers],[Company]], 121)</f>
        <v/>
      </c>
      <c r="Y219" s="200" t="str" cm="1">
        <f t="array" ref="Y219">Common_InputFunctions.Utility_DisplayArrayInTable(Fertiliser_SourceData.Fertiliser_Products_Data5(),FertiliserProducts[[#Headers],[Company]], 121)</f>
        <v/>
      </c>
      <c r="Z219" s="200" t="str" cm="1">
        <f t="array" ref="Z219">Common_InputFunctions.Utility_DisplayArrayInTable(Fertiliser_SourceData.Fertiliser_Products_Data5(),FertiliserProducts[[#Headers],[Company]], 121)</f>
        <v/>
      </c>
      <c r="AA219" s="200" t="str" cm="1">
        <f t="array" ref="AA219">Common_InputFunctions.Utility_DisplayArrayInTable(Fertiliser_SourceData.Fertiliser_Products_Data5(),FertiliserProducts[[#Headers],[Company]], 121)</f>
        <v/>
      </c>
      <c r="AB219" s="200" t="str" cm="1">
        <f t="array" ref="AB219">Common_InputFunctions.Utility_DisplayArrayInTable(Fertiliser_SourceData.Fertiliser_Products_Data5(),FertiliserProducts[[#Headers],[Company]], 121)</f>
        <v/>
      </c>
      <c r="AC219" s="200" t="str" cm="1">
        <f t="array" ref="AC219">Common_InputFunctions.Utility_DisplayArrayInTable(Fertiliser_SourceData.Fertiliser_Products_Data5(),FertiliserProducts[[#Headers],[Company]], 121)</f>
        <v/>
      </c>
      <c r="AD219" s="200" t="str" cm="1">
        <f t="array" ref="AD219">Common_InputFunctions.Utility_DisplayArrayInTable(Fertiliser_SourceData.Fertiliser_Products_Data5(),FertiliserProducts[[#Headers],[Company]], 121)</f>
        <v/>
      </c>
      <c r="AE219" s="200" t="str" cm="1">
        <f t="array" ref="AE219">Common_InputFunctions.Utility_DisplayArrayInTable(Fertiliser_SourceData.Fertiliser_Products_Data5(),FertiliserProducts[[#Headers],[Company]], 121)</f>
        <v/>
      </c>
      <c r="AF219" s="200" t="str" cm="1">
        <f t="array" ref="AF219">Common_InputFunctions.Utility_DisplayArrayInTable(Fertiliser_SourceData.Fertiliser_Products_Data5(),FertiliserProducts[[#Headers],[Company]], 121)</f>
        <v/>
      </c>
      <c r="AG219" s="200" t="str" cm="1">
        <f t="array" ref="AG219">Common_InputFunctions.Utility_DisplayArrayInTable(Fertiliser_SourceData.Fertiliser_Products_Data5(),FertiliserProducts[[#Headers],[Company]], 121)</f>
        <v/>
      </c>
      <c r="AH219" s="200" t="str" cm="1">
        <f t="array" ref="AH219">Common_InputFunctions.Utility_DisplayArrayInTable(Fertiliser_SourceData.Fertiliser_Products_Data5(),FertiliserProducts[[#Headers],[Company]], 121)</f>
        <v/>
      </c>
    </row>
    <row r="220" spans="4:34" x14ac:dyDescent="0.25">
      <c r="D220" s="200" t="str" cm="1">
        <f t="array" ref="D220">Common_InputFunctions.Utility_DisplayArrayInTable(Fertiliser_SourceData.Fertiliser_Products_Data5(),FertiliserProducts[[#Headers],[Company]], 121)</f>
        <v>CSBP</v>
      </c>
      <c r="E220" s="200" t="str" cm="1">
        <f t="array" ref="E220">Common_InputFunctions.Utility_DisplayArrayInTable(Fertiliser_SourceData.Fertiliser_Products_Data5(),FertiliserProducts[[#Headers],[Company]], 121)</f>
        <v>K-Till Extra</v>
      </c>
      <c r="F220" s="200" t="str" cm="1">
        <f t="array" ref="F220">Common_InputFunctions.Utility_DisplayArrayInTable(Fertiliser_SourceData.Fertiliser_Products_Data5(),FertiliserProducts[[#Headers],[Company]], 121)</f>
        <v>kg</v>
      </c>
      <c r="G220" s="200" cm="1">
        <f t="array" ref="G220">Common_InputFunctions.Utility_DisplayArrayInTable(Fertiliser_SourceData.Fertiliser_Products_Data5(),FertiliserProducts[[#Headers],[Company]], 121)</f>
        <v>1</v>
      </c>
      <c r="H220" s="200" t="str" cm="1">
        <f t="array" ref="H220">Common_InputFunctions.Utility_DisplayArrayInTable(Fertiliser_SourceData.Fertiliser_Products_Data5(),FertiliserProducts[[#Headers],[Company]], 121)</f>
        <v/>
      </c>
      <c r="I220" s="200" t="str" cm="1">
        <f t="array" ref="I220">Common_InputFunctions.Utility_DisplayArrayInTable(Fertiliser_SourceData.Fertiliser_Products_Data5(),FertiliserProducts[[#Headers],[Company]], 121)</f>
        <v/>
      </c>
      <c r="J220" s="200" t="str" cm="1">
        <f t="array" ref="J220">Common_InputFunctions.Utility_DisplayArrayInTable(Fertiliser_SourceData.Fertiliser_Products_Data5(),FertiliserProducts[[#Headers],[Company]], 121)</f>
        <v/>
      </c>
      <c r="K220" s="200" cm="1">
        <f t="array" ref="K220">Common_InputFunctions.Utility_DisplayArrayInTable(Fertiliser_SourceData.Fertiliser_Products_Data5(),FertiliserProducts[[#Headers],[Company]], 121)</f>
        <v>10.73</v>
      </c>
      <c r="L220" s="200" cm="1">
        <f t="array" ref="L220">Common_InputFunctions.Utility_DisplayArrayInTable(Fertiliser_SourceData.Fertiliser_Products_Data5(),FertiliserProducts[[#Headers],[Company]], 121)</f>
        <v>10.95</v>
      </c>
      <c r="M220" s="200" cm="1">
        <f t="array" ref="M220">Common_InputFunctions.Utility_DisplayArrayInTable(Fertiliser_SourceData.Fertiliser_Products_Data5(),FertiliserProducts[[#Headers],[Company]], 121)</f>
        <v>11.35</v>
      </c>
      <c r="N220" s="200" cm="1">
        <f t="array" ref="N220">Common_InputFunctions.Utility_DisplayArrayInTable(Fertiliser_SourceData.Fertiliser_Products_Data5(),FertiliserProducts[[#Headers],[Company]], 121)</f>
        <v>6.55</v>
      </c>
      <c r="O220" s="200" t="str" cm="1">
        <f t="array" ref="O220">Common_InputFunctions.Utility_DisplayArrayInTable(Fertiliser_SourceData.Fertiliser_Products_Data5(),FertiliserProducts[[#Headers],[Company]], 121)</f>
        <v>Monoammonium phosphate (MAP)</v>
      </c>
      <c r="P220" s="200" cm="1">
        <f t="array" ref="P220">Common_InputFunctions.Utility_DisplayArrayInTable(Fertiliser_SourceData.Fertiliser_Products_Data5(),FertiliserProducts[[#Headers],[Company]], 121)</f>
        <v>0.5</v>
      </c>
      <c r="Q220" s="200" t="str" cm="1">
        <f t="array" ref="Q220">Common_InputFunctions.Utility_DisplayArrayInTable(Fertiliser_SourceData.Fertiliser_Products_Data5(),FertiliserProducts[[#Headers],[Company]], 121)</f>
        <v>Sulphate of ammonia (SOA)</v>
      </c>
      <c r="R220" s="200" cm="1">
        <f t="array" ref="R220">Common_InputFunctions.Utility_DisplayArrayInTable(Fertiliser_SourceData.Fertiliser_Products_Data5(),FertiliserProducts[[#Headers],[Company]], 121)</f>
        <v>0.27300000000000002</v>
      </c>
      <c r="S220" s="200" t="str" cm="1">
        <f t="array" ref="S220">Common_InputFunctions.Utility_DisplayArrayInTable(Fertiliser_SourceData.Fertiliser_Products_Data5(),FertiliserProducts[[#Headers],[Company]], 121)</f>
        <v>Muriate of potash (MOP)</v>
      </c>
      <c r="T220" s="200" cm="1">
        <f t="array" ref="T220">Common_InputFunctions.Utility_DisplayArrayInTable(Fertiliser_SourceData.Fertiliser_Products_Data5(),FertiliserProducts[[#Headers],[Company]], 121)</f>
        <v>0.22700000000000001</v>
      </c>
      <c r="U220" s="200" t="str" cm="1">
        <f t="array" ref="U220">Common_InputFunctions.Utility_DisplayArrayInTable(Fertiliser_SourceData.Fertiliser_Products_Data5(),FertiliserProducts[[#Headers],[Company]], 121)</f>
        <v>Copper</v>
      </c>
      <c r="V220" s="200" t="str" cm="1">
        <f t="array" ref="V220">Common_InputFunctions.Utility_DisplayArrayInTable(Fertiliser_SourceData.Fertiliser_Products_Data5(),FertiliserProducts[[#Headers],[Company]], 121)</f>
        <v>No data</v>
      </c>
      <c r="W220" s="200" t="str" cm="1">
        <f t="array" ref="W220">Common_InputFunctions.Utility_DisplayArrayInTable(Fertiliser_SourceData.Fertiliser_Products_Data5(),FertiliserProducts[[#Headers],[Company]], 121)</f>
        <v>Zinc</v>
      </c>
      <c r="X220" s="200" t="str" cm="1">
        <f t="array" ref="X220">Common_InputFunctions.Utility_DisplayArrayInTable(Fertiliser_SourceData.Fertiliser_Products_Data5(),FertiliserProducts[[#Headers],[Company]], 121)</f>
        <v>No data</v>
      </c>
      <c r="Y220" s="200" t="str" cm="1">
        <f t="array" ref="Y220">Common_InputFunctions.Utility_DisplayArrayInTable(Fertiliser_SourceData.Fertiliser_Products_Data5(),FertiliserProducts[[#Headers],[Company]], 121)</f>
        <v/>
      </c>
      <c r="Z220" s="200" t="str" cm="1">
        <f t="array" ref="Z220">Common_InputFunctions.Utility_DisplayArrayInTable(Fertiliser_SourceData.Fertiliser_Products_Data5(),FertiliserProducts[[#Headers],[Company]], 121)</f>
        <v/>
      </c>
      <c r="AA220" s="200" t="str" cm="1">
        <f t="array" ref="AA220">Common_InputFunctions.Utility_DisplayArrayInTable(Fertiliser_SourceData.Fertiliser_Products_Data5(),FertiliserProducts[[#Headers],[Company]], 121)</f>
        <v/>
      </c>
      <c r="AB220" s="200" t="str" cm="1">
        <f t="array" ref="AB220">Common_InputFunctions.Utility_DisplayArrayInTable(Fertiliser_SourceData.Fertiliser_Products_Data5(),FertiliserProducts[[#Headers],[Company]], 121)</f>
        <v/>
      </c>
      <c r="AC220" s="200" t="str" cm="1">
        <f t="array" ref="AC220">Common_InputFunctions.Utility_DisplayArrayInTable(Fertiliser_SourceData.Fertiliser_Products_Data5(),FertiliserProducts[[#Headers],[Company]], 121)</f>
        <v/>
      </c>
      <c r="AD220" s="200" t="str" cm="1">
        <f t="array" ref="AD220">Common_InputFunctions.Utility_DisplayArrayInTable(Fertiliser_SourceData.Fertiliser_Products_Data5(),FertiliserProducts[[#Headers],[Company]], 121)</f>
        <v/>
      </c>
      <c r="AE220" s="200" t="str" cm="1">
        <f t="array" ref="AE220">Common_InputFunctions.Utility_DisplayArrayInTable(Fertiliser_SourceData.Fertiliser_Products_Data5(),FertiliserProducts[[#Headers],[Company]], 121)</f>
        <v/>
      </c>
      <c r="AF220" s="200" t="str" cm="1">
        <f t="array" ref="AF220">Common_InputFunctions.Utility_DisplayArrayInTable(Fertiliser_SourceData.Fertiliser_Products_Data5(),FertiliserProducts[[#Headers],[Company]], 121)</f>
        <v/>
      </c>
      <c r="AG220" s="200" t="str" cm="1">
        <f t="array" ref="AG220">Common_InputFunctions.Utility_DisplayArrayInTable(Fertiliser_SourceData.Fertiliser_Products_Data5(),FertiliserProducts[[#Headers],[Company]], 121)</f>
        <v/>
      </c>
      <c r="AH220" s="200" t="str" cm="1">
        <f t="array" ref="AH220">Common_InputFunctions.Utility_DisplayArrayInTable(Fertiliser_SourceData.Fertiliser_Products_Data5(),FertiliserProducts[[#Headers],[Company]], 121)</f>
        <v/>
      </c>
    </row>
    <row r="221" spans="4:34" x14ac:dyDescent="0.25">
      <c r="D221" s="200" t="str" cm="1">
        <f t="array" ref="D221">Common_InputFunctions.Utility_DisplayArrayInTable(Fertiliser_SourceData.Fertiliser_Products_Data5(),FertiliserProducts[[#Headers],[Company]], 121)</f>
        <v>CSBP</v>
      </c>
      <c r="E221" s="200" t="str" cm="1">
        <f t="array" ref="E221">Common_InputFunctions.Utility_DisplayArrayInTable(Fertiliser_SourceData.Fertiliser_Products_Data5(),FertiliserProducts[[#Headers],[Company]], 121)</f>
        <v>Agras Extra</v>
      </c>
      <c r="F221" s="200" t="str" cm="1">
        <f t="array" ref="F221">Common_InputFunctions.Utility_DisplayArrayInTable(Fertiliser_SourceData.Fertiliser_Products_Data5(),FertiliserProducts[[#Headers],[Company]], 121)</f>
        <v>kg</v>
      </c>
      <c r="G221" s="200" cm="1">
        <f t="array" ref="G221">Common_InputFunctions.Utility_DisplayArrayInTable(Fertiliser_SourceData.Fertiliser_Products_Data5(),FertiliserProducts[[#Headers],[Company]], 121)</f>
        <v>1</v>
      </c>
      <c r="H221" s="200" t="str" cm="1">
        <f t="array" ref="H221">Common_InputFunctions.Utility_DisplayArrayInTable(Fertiliser_SourceData.Fertiliser_Products_Data5(),FertiliserProducts[[#Headers],[Company]], 121)</f>
        <v/>
      </c>
      <c r="I221" s="200" t="str" cm="1">
        <f t="array" ref="I221">Common_InputFunctions.Utility_DisplayArrayInTable(Fertiliser_SourceData.Fertiliser_Products_Data5(),FertiliserProducts[[#Headers],[Company]], 121)</f>
        <v/>
      </c>
      <c r="J221" s="200" t="str" cm="1">
        <f t="array" ref="J221">Common_InputFunctions.Utility_DisplayArrayInTable(Fertiliser_SourceData.Fertiliser_Products_Data5(),FertiliserProducts[[#Headers],[Company]], 121)</f>
        <v/>
      </c>
      <c r="K221" s="200" cm="1">
        <f t="array" ref="K221">Common_InputFunctions.Utility_DisplayArrayInTable(Fertiliser_SourceData.Fertiliser_Products_Data5(),FertiliserProducts[[#Headers],[Company]], 121)</f>
        <v>16.95</v>
      </c>
      <c r="L221" s="200" cm="1">
        <f t="array" ref="L221">Common_InputFunctions.Utility_DisplayArrayInTable(Fertiliser_SourceData.Fertiliser_Products_Data5(),FertiliserProducts[[#Headers],[Company]], 121)</f>
        <v>8.06</v>
      </c>
      <c r="M221" s="200" t="str" cm="1">
        <f t="array" ref="M221">Common_InputFunctions.Utility_DisplayArrayInTable(Fertiliser_SourceData.Fertiliser_Products_Data5(),FertiliserProducts[[#Headers],[Company]], 121)</f>
        <v/>
      </c>
      <c r="N221" s="200" cm="1">
        <f t="array" ref="N221">Common_InputFunctions.Utility_DisplayArrayInTable(Fertiliser_SourceData.Fertiliser_Products_Data5(),FertiliserProducts[[#Headers],[Company]], 121)</f>
        <v>15.17</v>
      </c>
      <c r="O221" s="200" t="str" cm="1">
        <f t="array" ref="O221">Common_InputFunctions.Utility_DisplayArrayInTable(Fertiliser_SourceData.Fertiliser_Products_Data5(),FertiliserProducts[[#Headers],[Company]], 121)</f>
        <v>Sulphate of ammonia (SOA)</v>
      </c>
      <c r="P221" s="200" cm="1">
        <f t="array" ref="P221">Common_InputFunctions.Utility_DisplayArrayInTable(Fertiliser_SourceData.Fertiliser_Products_Data5(),FertiliserProducts[[#Headers],[Company]], 121)</f>
        <v>0.63200000000000001</v>
      </c>
      <c r="Q221" s="200" t="str" cm="1">
        <f t="array" ref="Q221">Common_InputFunctions.Utility_DisplayArrayInTable(Fertiliser_SourceData.Fertiliser_Products_Data5(),FertiliserProducts[[#Headers],[Company]], 121)</f>
        <v>Monoammonium phosphate (MAP)</v>
      </c>
      <c r="R221" s="200" cm="1">
        <f t="array" ref="R221">Common_InputFunctions.Utility_DisplayArrayInTable(Fertiliser_SourceData.Fertiliser_Products_Data5(),FertiliserProducts[[#Headers],[Company]], 121)</f>
        <v>0.36799999999999999</v>
      </c>
      <c r="S221" s="200" t="str" cm="1">
        <f t="array" ref="S221">Common_InputFunctions.Utility_DisplayArrayInTable(Fertiliser_SourceData.Fertiliser_Products_Data5(),FertiliserProducts[[#Headers],[Company]], 121)</f>
        <v>Zinc</v>
      </c>
      <c r="T221" s="200" t="str" cm="1">
        <f t="array" ref="T221">Common_InputFunctions.Utility_DisplayArrayInTable(Fertiliser_SourceData.Fertiliser_Products_Data5(),FertiliserProducts[[#Headers],[Company]], 121)</f>
        <v>No data</v>
      </c>
      <c r="U221" s="200" t="str" cm="1">
        <f t="array" ref="U221">Common_InputFunctions.Utility_DisplayArrayInTable(Fertiliser_SourceData.Fertiliser_Products_Data5(),FertiliserProducts[[#Headers],[Company]], 121)</f>
        <v>Copper</v>
      </c>
      <c r="V221" s="200" t="str" cm="1">
        <f t="array" ref="V221">Common_InputFunctions.Utility_DisplayArrayInTable(Fertiliser_SourceData.Fertiliser_Products_Data5(),FertiliserProducts[[#Headers],[Company]], 121)</f>
        <v>No data</v>
      </c>
      <c r="W221" s="200" t="str" cm="1">
        <f t="array" ref="W221">Common_InputFunctions.Utility_DisplayArrayInTable(Fertiliser_SourceData.Fertiliser_Products_Data5(),FertiliserProducts[[#Headers],[Company]], 121)</f>
        <v>Molybdenum</v>
      </c>
      <c r="X221" s="200" t="str" cm="1">
        <f t="array" ref="X221">Common_InputFunctions.Utility_DisplayArrayInTable(Fertiliser_SourceData.Fertiliser_Products_Data5(),FertiliserProducts[[#Headers],[Company]], 121)</f>
        <v>No data</v>
      </c>
      <c r="Y221" s="200" t="str" cm="1">
        <f t="array" ref="Y221">Common_InputFunctions.Utility_DisplayArrayInTable(Fertiliser_SourceData.Fertiliser_Products_Data5(),FertiliserProducts[[#Headers],[Company]], 121)</f>
        <v>Cobalt</v>
      </c>
      <c r="Z221" s="200" t="str" cm="1">
        <f t="array" ref="Z221">Common_InputFunctions.Utility_DisplayArrayInTable(Fertiliser_SourceData.Fertiliser_Products_Data5(),FertiliserProducts[[#Headers],[Company]], 121)</f>
        <v>No data</v>
      </c>
      <c r="AA221" s="200" t="str" cm="1">
        <f t="array" ref="AA221">Common_InputFunctions.Utility_DisplayArrayInTable(Fertiliser_SourceData.Fertiliser_Products_Data5(),FertiliserProducts[[#Headers],[Company]], 121)</f>
        <v/>
      </c>
      <c r="AB221" s="200" t="str" cm="1">
        <f t="array" ref="AB221">Common_InputFunctions.Utility_DisplayArrayInTable(Fertiliser_SourceData.Fertiliser_Products_Data5(),FertiliserProducts[[#Headers],[Company]], 121)</f>
        <v/>
      </c>
      <c r="AC221" s="200" t="str" cm="1">
        <f t="array" ref="AC221">Common_InputFunctions.Utility_DisplayArrayInTable(Fertiliser_SourceData.Fertiliser_Products_Data5(),FertiliserProducts[[#Headers],[Company]], 121)</f>
        <v/>
      </c>
      <c r="AD221" s="200" t="str" cm="1">
        <f t="array" ref="AD221">Common_InputFunctions.Utility_DisplayArrayInTable(Fertiliser_SourceData.Fertiliser_Products_Data5(),FertiliserProducts[[#Headers],[Company]], 121)</f>
        <v/>
      </c>
      <c r="AE221" s="200" t="str" cm="1">
        <f t="array" ref="AE221">Common_InputFunctions.Utility_DisplayArrayInTable(Fertiliser_SourceData.Fertiliser_Products_Data5(),FertiliserProducts[[#Headers],[Company]], 121)</f>
        <v/>
      </c>
      <c r="AF221" s="200" t="str" cm="1">
        <f t="array" ref="AF221">Common_InputFunctions.Utility_DisplayArrayInTable(Fertiliser_SourceData.Fertiliser_Products_Data5(),FertiliserProducts[[#Headers],[Company]], 121)</f>
        <v/>
      </c>
      <c r="AG221" s="200" t="str" cm="1">
        <f t="array" ref="AG221">Common_InputFunctions.Utility_DisplayArrayInTable(Fertiliser_SourceData.Fertiliser_Products_Data5(),FertiliserProducts[[#Headers],[Company]], 121)</f>
        <v/>
      </c>
      <c r="AH221" s="200" t="str" cm="1">
        <f t="array" ref="AH221">Common_InputFunctions.Utility_DisplayArrayInTable(Fertiliser_SourceData.Fertiliser_Products_Data5(),FertiliserProducts[[#Headers],[Company]], 121)</f>
        <v/>
      </c>
    </row>
    <row r="222" spans="4:34" x14ac:dyDescent="0.25">
      <c r="D222" s="200" t="str" cm="1">
        <f t="array" ref="D222">Common_InputFunctions.Utility_DisplayArrayInTable(Fertiliser_SourceData.Fertiliser_Products_Data5(),FertiliserProducts[[#Headers],[Company]], 121)</f>
        <v>CSBP</v>
      </c>
      <c r="E222" s="200" t="str" cm="1">
        <f t="array" ref="E222">Common_InputFunctions.Utility_DisplayArrayInTable(Fertiliser_SourceData.Fertiliser_Products_Data5(),FertiliserProducts[[#Headers],[Company]], 121)</f>
        <v>Super Copper Zinc Moly</v>
      </c>
      <c r="F222" s="200" t="str" cm="1">
        <f t="array" ref="F222">Common_InputFunctions.Utility_DisplayArrayInTable(Fertiliser_SourceData.Fertiliser_Products_Data5(),FertiliserProducts[[#Headers],[Company]], 121)</f>
        <v>kg</v>
      </c>
      <c r="G222" s="200" cm="1">
        <f t="array" ref="G222">Common_InputFunctions.Utility_DisplayArrayInTable(Fertiliser_SourceData.Fertiliser_Products_Data5(),FertiliserProducts[[#Headers],[Company]], 121)</f>
        <v>1</v>
      </c>
      <c r="H222" s="200" t="str" cm="1">
        <f t="array" ref="H222">Common_InputFunctions.Utility_DisplayArrayInTable(Fertiliser_SourceData.Fertiliser_Products_Data5(),FertiliserProducts[[#Headers],[Company]], 121)</f>
        <v/>
      </c>
      <c r="I222" s="200" t="str" cm="1">
        <f t="array" ref="I222">Common_InputFunctions.Utility_DisplayArrayInTable(Fertiliser_SourceData.Fertiliser_Products_Data5(),FertiliserProducts[[#Headers],[Company]], 121)</f>
        <v/>
      </c>
      <c r="J222" s="200" t="str" cm="1">
        <f t="array" ref="J222">Common_InputFunctions.Utility_DisplayArrayInTable(Fertiliser_SourceData.Fertiliser_Products_Data5(),FertiliserProducts[[#Headers],[Company]], 121)</f>
        <v/>
      </c>
      <c r="K222" s="200" t="str" cm="1">
        <f t="array" ref="K222">Common_InputFunctions.Utility_DisplayArrayInTable(Fertiliser_SourceData.Fertiliser_Products_Data5(),FertiliserProducts[[#Headers],[Company]], 121)</f>
        <v/>
      </c>
      <c r="L222" s="200" cm="1">
        <f t="array" ref="L222">Common_InputFunctions.Utility_DisplayArrayInTable(Fertiliser_SourceData.Fertiliser_Products_Data5(),FertiliserProducts[[#Headers],[Company]], 121)</f>
        <v>8.8000000000000007</v>
      </c>
      <c r="M222" s="200" t="str" cm="1">
        <f t="array" ref="M222">Common_InputFunctions.Utility_DisplayArrayInTable(Fertiliser_SourceData.Fertiliser_Products_Data5(),FertiliserProducts[[#Headers],[Company]], 121)</f>
        <v/>
      </c>
      <c r="N222" s="200" cm="1">
        <f t="array" ref="N222">Common_InputFunctions.Utility_DisplayArrayInTable(Fertiliser_SourceData.Fertiliser_Products_Data5(),FertiliserProducts[[#Headers],[Company]], 121)</f>
        <v>11</v>
      </c>
      <c r="O222" s="200" t="str" cm="1">
        <f t="array" ref="O222">Common_InputFunctions.Utility_DisplayArrayInTable(Fertiliser_SourceData.Fertiliser_Products_Data5(),FertiliserProducts[[#Headers],[Company]], 121)</f>
        <v>Single superphosphate (SSP)</v>
      </c>
      <c r="P222" s="200" cm="1">
        <f t="array" ref="P222">Common_InputFunctions.Utility_DisplayArrayInTable(Fertiliser_SourceData.Fertiliser_Products_Data5(),FertiliserProducts[[#Headers],[Company]], 121)</f>
        <v>1</v>
      </c>
      <c r="Q222" s="200" t="str" cm="1">
        <f t="array" ref="Q222">Common_InputFunctions.Utility_DisplayArrayInTable(Fertiliser_SourceData.Fertiliser_Products_Data5(),FertiliserProducts[[#Headers],[Company]], 121)</f>
        <v>Copper</v>
      </c>
      <c r="R222" s="200" cm="1">
        <f t="array" ref="R222">Common_InputFunctions.Utility_DisplayArrayInTable(Fertiliser_SourceData.Fertiliser_Products_Data5(),FertiliserProducts[[#Headers],[Company]], 121)</f>
        <v>6.0000000000000001E-3</v>
      </c>
      <c r="S222" s="200" t="str" cm="1">
        <f t="array" ref="S222">Common_InputFunctions.Utility_DisplayArrayInTable(Fertiliser_SourceData.Fertiliser_Products_Data5(),FertiliserProducts[[#Headers],[Company]], 121)</f>
        <v>Zinc</v>
      </c>
      <c r="T222" s="200" cm="1">
        <f t="array" ref="T222">Common_InputFunctions.Utility_DisplayArrayInTable(Fertiliser_SourceData.Fertiliser_Products_Data5(),FertiliserProducts[[#Headers],[Company]], 121)</f>
        <v>3.0000000000000001E-3</v>
      </c>
      <c r="U222" s="200" t="str" cm="1">
        <f t="array" ref="U222">Common_InputFunctions.Utility_DisplayArrayInTable(Fertiliser_SourceData.Fertiliser_Products_Data5(),FertiliserProducts[[#Headers],[Company]], 121)</f>
        <v>Molybdenum</v>
      </c>
      <c r="V222" s="200" cm="1">
        <f t="array" ref="V222">Common_InputFunctions.Utility_DisplayArrayInTable(Fertiliser_SourceData.Fertiliser_Products_Data5(),FertiliserProducts[[#Headers],[Company]], 121)</f>
        <v>5.9999999999999995E-4</v>
      </c>
      <c r="W222" s="200" t="str" cm="1">
        <f t="array" ref="W222">Common_InputFunctions.Utility_DisplayArrayInTable(Fertiliser_SourceData.Fertiliser_Products_Data5(),FertiliserProducts[[#Headers],[Company]], 121)</f>
        <v/>
      </c>
      <c r="X222" s="200" t="str" cm="1">
        <f t="array" ref="X222">Common_InputFunctions.Utility_DisplayArrayInTable(Fertiliser_SourceData.Fertiliser_Products_Data5(),FertiliserProducts[[#Headers],[Company]], 121)</f>
        <v/>
      </c>
      <c r="Y222" s="200" t="str" cm="1">
        <f t="array" ref="Y222">Common_InputFunctions.Utility_DisplayArrayInTable(Fertiliser_SourceData.Fertiliser_Products_Data5(),FertiliserProducts[[#Headers],[Company]], 121)</f>
        <v/>
      </c>
      <c r="Z222" s="200" t="str" cm="1">
        <f t="array" ref="Z222">Common_InputFunctions.Utility_DisplayArrayInTable(Fertiliser_SourceData.Fertiliser_Products_Data5(),FertiliserProducts[[#Headers],[Company]], 121)</f>
        <v/>
      </c>
      <c r="AA222" s="200" t="str" cm="1">
        <f t="array" ref="AA222">Common_InputFunctions.Utility_DisplayArrayInTable(Fertiliser_SourceData.Fertiliser_Products_Data5(),FertiliserProducts[[#Headers],[Company]], 121)</f>
        <v/>
      </c>
      <c r="AB222" s="200" t="str" cm="1">
        <f t="array" ref="AB222">Common_InputFunctions.Utility_DisplayArrayInTable(Fertiliser_SourceData.Fertiliser_Products_Data5(),FertiliserProducts[[#Headers],[Company]], 121)</f>
        <v/>
      </c>
      <c r="AC222" s="200" t="str" cm="1">
        <f t="array" ref="AC222">Common_InputFunctions.Utility_DisplayArrayInTable(Fertiliser_SourceData.Fertiliser_Products_Data5(),FertiliserProducts[[#Headers],[Company]], 121)</f>
        <v/>
      </c>
      <c r="AD222" s="200" t="str" cm="1">
        <f t="array" ref="AD222">Common_InputFunctions.Utility_DisplayArrayInTable(Fertiliser_SourceData.Fertiliser_Products_Data5(),FertiliserProducts[[#Headers],[Company]], 121)</f>
        <v/>
      </c>
      <c r="AE222" s="200" t="str" cm="1">
        <f t="array" ref="AE222">Common_InputFunctions.Utility_DisplayArrayInTable(Fertiliser_SourceData.Fertiliser_Products_Data5(),FertiliserProducts[[#Headers],[Company]], 121)</f>
        <v/>
      </c>
      <c r="AF222" s="200" t="str" cm="1">
        <f t="array" ref="AF222">Common_InputFunctions.Utility_DisplayArrayInTable(Fertiliser_SourceData.Fertiliser_Products_Data5(),FertiliserProducts[[#Headers],[Company]], 121)</f>
        <v/>
      </c>
      <c r="AG222" s="200" t="str" cm="1">
        <f t="array" ref="AG222">Common_InputFunctions.Utility_DisplayArrayInTable(Fertiliser_SourceData.Fertiliser_Products_Data5(),FertiliserProducts[[#Headers],[Company]], 121)</f>
        <v/>
      </c>
      <c r="AH222" s="200" t="str" cm="1">
        <f t="array" ref="AH222">Common_InputFunctions.Utility_DisplayArrayInTable(Fertiliser_SourceData.Fertiliser_Products_Data5(),FertiliserProducts[[#Headers],[Company]], 121)</f>
        <v/>
      </c>
    </row>
    <row r="223" spans="4:34" x14ac:dyDescent="0.25">
      <c r="D223" s="200" t="str" cm="1">
        <f t="array" ref="D223">Common_InputFunctions.Utility_DisplayArrayInTable(Fertiliser_SourceData.Fertiliser_Products_Data5(),FertiliserProducts[[#Headers],[Company]], 121)</f>
        <v>CSBP</v>
      </c>
      <c r="E223" s="200" t="str" cm="1">
        <f t="array" ref="E223">Common_InputFunctions.Utility_DisplayArrayInTable(Fertiliser_SourceData.Fertiliser_Products_Data5(),FertiliserProducts[[#Headers],[Company]], 121)</f>
        <v>Flexi-N</v>
      </c>
      <c r="F223" s="200" t="str" cm="1">
        <f t="array" ref="F223">Common_InputFunctions.Utility_DisplayArrayInTable(Fertiliser_SourceData.Fertiliser_Products_Data5(),FertiliserProducts[[#Headers],[Company]], 121)</f>
        <v>L</v>
      </c>
      <c r="G223" s="200" cm="1">
        <f t="array" ref="G223">Common_InputFunctions.Utility_DisplayArrayInTable(Fertiliser_SourceData.Fertiliser_Products_Data5(),FertiliserProducts[[#Headers],[Company]], 121)</f>
        <v>1.32</v>
      </c>
      <c r="H223" s="200" t="str" cm="1">
        <f t="array" ref="H223">Common_InputFunctions.Utility_DisplayArrayInTable(Fertiliser_SourceData.Fertiliser_Products_Data5(),FertiliserProducts[[#Headers],[Company]], 121)</f>
        <v/>
      </c>
      <c r="I223" s="200" t="str" cm="1">
        <f t="array" ref="I223">Common_InputFunctions.Utility_DisplayArrayInTable(Fertiliser_SourceData.Fertiliser_Products_Data5(),FertiliserProducts[[#Headers],[Company]], 121)</f>
        <v/>
      </c>
      <c r="J223" s="200" t="str" cm="1">
        <f t="array" ref="J223">Common_InputFunctions.Utility_DisplayArrayInTable(Fertiliser_SourceData.Fertiliser_Products_Data5(),FertiliserProducts[[#Headers],[Company]], 121)</f>
        <v/>
      </c>
      <c r="K223" s="200" cm="1">
        <f t="array" ref="K223">Common_InputFunctions.Utility_DisplayArrayInTable(Fertiliser_SourceData.Fertiliser_Products_Data5(),FertiliserProducts[[#Headers],[Company]], 121)</f>
        <v>32</v>
      </c>
      <c r="L223" s="200" t="str" cm="1">
        <f t="array" ref="L223">Common_InputFunctions.Utility_DisplayArrayInTable(Fertiliser_SourceData.Fertiliser_Products_Data5(),FertiliserProducts[[#Headers],[Company]], 121)</f>
        <v/>
      </c>
      <c r="M223" s="200" t="str" cm="1">
        <f t="array" ref="M223">Common_InputFunctions.Utility_DisplayArrayInTable(Fertiliser_SourceData.Fertiliser_Products_Data5(),FertiliserProducts[[#Headers],[Company]], 121)</f>
        <v/>
      </c>
      <c r="N223" s="200" t="str" cm="1">
        <f t="array" ref="N223">Common_InputFunctions.Utility_DisplayArrayInTable(Fertiliser_SourceData.Fertiliser_Products_Data5(),FertiliserProducts[[#Headers],[Company]], 121)</f>
        <v/>
      </c>
      <c r="O223" s="200" t="str" cm="1">
        <f t="array" ref="O223">Common_InputFunctions.Utility_DisplayArrayInTable(Fertiliser_SourceData.Fertiliser_Products_Data5(),FertiliserProducts[[#Headers],[Company]], 121)</f>
        <v>Urea-ammonium nitrate (UAN)</v>
      </c>
      <c r="P223" s="200" cm="1">
        <f t="array" ref="P223">Common_InputFunctions.Utility_DisplayArrayInTable(Fertiliser_SourceData.Fertiliser_Products_Data5(),FertiliserProducts[[#Headers],[Company]], 121)</f>
        <v>1</v>
      </c>
      <c r="Q223" s="200" t="str" cm="1">
        <f t="array" ref="Q223">Common_InputFunctions.Utility_DisplayArrayInTable(Fertiliser_SourceData.Fertiliser_Products_Data5(),FertiliserProducts[[#Headers],[Company]], 121)</f>
        <v/>
      </c>
      <c r="R223" s="200" t="str" cm="1">
        <f t="array" ref="R223">Common_InputFunctions.Utility_DisplayArrayInTable(Fertiliser_SourceData.Fertiliser_Products_Data5(),FertiliserProducts[[#Headers],[Company]], 121)</f>
        <v/>
      </c>
      <c r="S223" s="200" t="str" cm="1">
        <f t="array" ref="S223">Common_InputFunctions.Utility_DisplayArrayInTable(Fertiliser_SourceData.Fertiliser_Products_Data5(),FertiliserProducts[[#Headers],[Company]], 121)</f>
        <v/>
      </c>
      <c r="T223" s="200" t="str" cm="1">
        <f t="array" ref="T223">Common_InputFunctions.Utility_DisplayArrayInTable(Fertiliser_SourceData.Fertiliser_Products_Data5(),FertiliserProducts[[#Headers],[Company]], 121)</f>
        <v/>
      </c>
      <c r="U223" s="200" t="str" cm="1">
        <f t="array" ref="U223">Common_InputFunctions.Utility_DisplayArrayInTable(Fertiliser_SourceData.Fertiliser_Products_Data5(),FertiliserProducts[[#Headers],[Company]], 121)</f>
        <v/>
      </c>
      <c r="V223" s="200" t="str" cm="1">
        <f t="array" ref="V223">Common_InputFunctions.Utility_DisplayArrayInTable(Fertiliser_SourceData.Fertiliser_Products_Data5(),FertiliserProducts[[#Headers],[Company]], 121)</f>
        <v/>
      </c>
      <c r="W223" s="200" t="str" cm="1">
        <f t="array" ref="W223">Common_InputFunctions.Utility_DisplayArrayInTable(Fertiliser_SourceData.Fertiliser_Products_Data5(),FertiliserProducts[[#Headers],[Company]], 121)</f>
        <v/>
      </c>
      <c r="X223" s="200" t="str" cm="1">
        <f t="array" ref="X223">Common_InputFunctions.Utility_DisplayArrayInTable(Fertiliser_SourceData.Fertiliser_Products_Data5(),FertiliserProducts[[#Headers],[Company]], 121)</f>
        <v/>
      </c>
      <c r="Y223" s="200" t="str" cm="1">
        <f t="array" ref="Y223">Common_InputFunctions.Utility_DisplayArrayInTable(Fertiliser_SourceData.Fertiliser_Products_Data5(),FertiliserProducts[[#Headers],[Company]], 121)</f>
        <v/>
      </c>
      <c r="Z223" s="200" t="str" cm="1">
        <f t="array" ref="Z223">Common_InputFunctions.Utility_DisplayArrayInTable(Fertiliser_SourceData.Fertiliser_Products_Data5(),FertiliserProducts[[#Headers],[Company]], 121)</f>
        <v/>
      </c>
      <c r="AA223" s="200" t="str" cm="1">
        <f t="array" ref="AA223">Common_InputFunctions.Utility_DisplayArrayInTable(Fertiliser_SourceData.Fertiliser_Products_Data5(),FertiliserProducts[[#Headers],[Company]], 121)</f>
        <v/>
      </c>
      <c r="AB223" s="200" t="str" cm="1">
        <f t="array" ref="AB223">Common_InputFunctions.Utility_DisplayArrayInTable(Fertiliser_SourceData.Fertiliser_Products_Data5(),FertiliserProducts[[#Headers],[Company]], 121)</f>
        <v/>
      </c>
      <c r="AC223" s="200" t="str" cm="1">
        <f t="array" ref="AC223">Common_InputFunctions.Utility_DisplayArrayInTable(Fertiliser_SourceData.Fertiliser_Products_Data5(),FertiliserProducts[[#Headers],[Company]], 121)</f>
        <v/>
      </c>
      <c r="AD223" s="200" t="str" cm="1">
        <f t="array" ref="AD223">Common_InputFunctions.Utility_DisplayArrayInTable(Fertiliser_SourceData.Fertiliser_Products_Data5(),FertiliserProducts[[#Headers],[Company]], 121)</f>
        <v/>
      </c>
      <c r="AE223" s="200" t="str" cm="1">
        <f t="array" ref="AE223">Common_InputFunctions.Utility_DisplayArrayInTable(Fertiliser_SourceData.Fertiliser_Products_Data5(),FertiliserProducts[[#Headers],[Company]], 121)</f>
        <v/>
      </c>
      <c r="AF223" s="200" t="str" cm="1">
        <f t="array" ref="AF223">Common_InputFunctions.Utility_DisplayArrayInTable(Fertiliser_SourceData.Fertiliser_Products_Data5(),FertiliserProducts[[#Headers],[Company]], 121)</f>
        <v/>
      </c>
      <c r="AG223" s="200" t="str" cm="1">
        <f t="array" ref="AG223">Common_InputFunctions.Utility_DisplayArrayInTable(Fertiliser_SourceData.Fertiliser_Products_Data5(),FertiliserProducts[[#Headers],[Company]], 121)</f>
        <v/>
      </c>
      <c r="AH223" s="200"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7AC5C-BF8B-40BE-B047-76B044ED5D5F}">
  <dimension ref="A1:AI165"/>
  <sheetViews>
    <sheetView showGridLines="0" topLeftCell="A138"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835</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92"/>
      <c r="F5" s="192"/>
      <c r="G5" s="192"/>
      <c r="H5" s="192"/>
      <c r="I5" s="192"/>
      <c r="J5" s="192"/>
      <c r="K5" s="192"/>
      <c r="L5" s="192"/>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92"/>
      <c r="F6" s="192"/>
      <c r="G6" s="192"/>
      <c r="H6" s="192"/>
      <c r="I6" s="192"/>
      <c r="J6" s="192"/>
      <c r="K6" s="192"/>
      <c r="L6" s="192"/>
    </row>
    <row r="7" spans="1:35" ht="20.100000000000001" customHeight="1" x14ac:dyDescent="0.25">
      <c r="D7" s="27" t="str" cm="1">
        <f t="array" ref="D7">Fuel_SourceData.Fuel_Scope1Scope3EmissionFactorsTransport_Source()</f>
        <v>Australian National Greenhouse Accounts Factors 2025 - Table 9</v>
      </c>
      <c r="E7" s="192"/>
      <c r="F7" s="192"/>
      <c r="G7" s="192"/>
      <c r="H7" s="192"/>
      <c r="I7" s="192"/>
      <c r="J7" s="192"/>
      <c r="K7" s="192"/>
      <c r="L7" s="192"/>
    </row>
    <row r="8" spans="1:35" ht="20.100000000000001" customHeight="1" x14ac:dyDescent="0.25">
      <c r="A8" s="7" t="s">
        <v>0</v>
      </c>
      <c r="D8" s="35" t="str" cm="1">
        <f t="array" ref="D8">"⚠️" &amp; Fuel_SourceData.Fuel_Scope1Scope3EmissionFactorsTransport_Variation()</f>
        <v>⚠️VARIATION OF SOURCE DATA: 'NE' values returned as zero for calculations.</v>
      </c>
      <c r="E8" s="192"/>
      <c r="F8" s="192"/>
      <c r="G8" s="192"/>
      <c r="H8" s="192"/>
      <c r="I8" s="192"/>
      <c r="J8" s="192"/>
      <c r="K8" s="192"/>
      <c r="L8" s="192"/>
    </row>
    <row r="9" spans="1:35" ht="20.100000000000001" customHeight="1" x14ac:dyDescent="0.25">
      <c r="A9" s="5" t="str">
        <f>HYPERLINK("#'Input - Enterprise'!A1", "Enterprise")</f>
        <v>Enterprise</v>
      </c>
      <c r="D9" s="241" t="s">
        <v>836</v>
      </c>
      <c r="E9" s="241" t="s">
        <v>837</v>
      </c>
      <c r="F9" s="241" t="s">
        <v>838</v>
      </c>
      <c r="G9" s="241" t="s">
        <v>839</v>
      </c>
      <c r="H9" s="241" t="s">
        <v>840</v>
      </c>
      <c r="I9" s="241" t="s">
        <v>841</v>
      </c>
      <c r="J9" s="241" t="s">
        <v>842</v>
      </c>
      <c r="K9" s="241" t="s">
        <v>843</v>
      </c>
      <c r="L9" s="241" t="s">
        <v>844</v>
      </c>
    </row>
    <row r="10" spans="1:35" ht="20.100000000000001" customHeight="1" x14ac:dyDescent="0.25">
      <c r="A10" s="5" t="str">
        <f>HYPERLINK("#'Input - Site'!A1", "Site")</f>
        <v>Site</v>
      </c>
      <c r="D10" s="242" t="str" cm="1">
        <f t="array" ref="D10">Common_InputFunctions.Utility_DisplayArrayInTable(Fuel_SourceData.Fuel_Scope1Scope3EmissionFactorsTransport_Data(), Table_Fuel_EFs_Transport[[#Headers],[Transport type]], 0)</f>
        <v>Cars and light commercial vehicles</v>
      </c>
      <c r="E10" s="242" t="str" cm="1">
        <f t="array" ref="E10">Common_InputFunctions.Utility_DisplayArrayInTable(Fuel_SourceData.Fuel_Scope1Scope3EmissionFactorsTransport_Data(), Table_Fuel_EFs_Transport[[#Headers],[Transport type]], 0)</f>
        <v>Gasoline</v>
      </c>
      <c r="F10" s="242" cm="1">
        <f t="array" ref="F10">Common_InputFunctions.Utility_DisplayArrayInTable(Fuel_SourceData.Fuel_Scope1Scope3EmissionFactorsTransport_Data(), Table_Fuel_EFs_Transport[[#Headers],[Transport type]], 0)</f>
        <v>34.200000000000003</v>
      </c>
      <c r="G10" s="242" t="str" cm="1">
        <f t="array" ref="G10">Common_InputFunctions.Utility_DisplayArrayInTable(Fuel_SourceData.Fuel_Scope1Scope3EmissionFactorsTransport_Data(), Table_Fuel_EFs_Transport[[#Headers],[Transport type]], 0)</f>
        <v>kl</v>
      </c>
      <c r="H10" s="242" cm="1">
        <f t="array" ref="H10">Common_InputFunctions.Utility_DisplayArrayInTable(Fuel_SourceData.Fuel_Scope1Scope3EmissionFactorsTransport_Data(), Table_Fuel_EFs_Transport[[#Headers],[Transport type]], 0)</f>
        <v>67.400000000000006</v>
      </c>
      <c r="I10" s="242" cm="1">
        <f t="array" ref="I10">Common_InputFunctions.Utility_DisplayArrayInTable(Fuel_SourceData.Fuel_Scope1Scope3EmissionFactorsTransport_Data(), Table_Fuel_EFs_Transport[[#Headers],[Transport type]], 0)</f>
        <v>0.02</v>
      </c>
      <c r="J10" s="242" cm="1">
        <f t="array" ref="J10">Common_InputFunctions.Utility_DisplayArrayInTable(Fuel_SourceData.Fuel_Scope1Scope3EmissionFactorsTransport_Data(), Table_Fuel_EFs_Transport[[#Headers],[Transport type]], 0)</f>
        <v>0.2</v>
      </c>
      <c r="K10" s="242" cm="1">
        <f t="array" ref="K10">Common_InputFunctions.Utility_DisplayArrayInTable(Fuel_SourceData.Fuel_Scope1Scope3EmissionFactorsTransport_Data(), Table_Fuel_EFs_Transport[[#Headers],[Transport type]], 0)</f>
        <v>67.62</v>
      </c>
      <c r="L10" s="242"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42" t="str" cm="1">
        <f t="array" ref="D11">Common_InputFunctions.Utility_DisplayArrayInTable(Fuel_SourceData.Fuel_Scope1Scope3EmissionFactorsTransport_Data(), Table_Fuel_EFs_Transport[[#Headers],[Transport type]], 0)</f>
        <v>Cars and light commercial vehicles</v>
      </c>
      <c r="E11" s="242" t="str" cm="1">
        <f t="array" ref="E11">Common_InputFunctions.Utility_DisplayArrayInTable(Fuel_SourceData.Fuel_Scope1Scope3EmissionFactorsTransport_Data(), Table_Fuel_EFs_Transport[[#Headers],[Transport type]], 0)</f>
        <v>Diesel oil</v>
      </c>
      <c r="F11" s="242" cm="1">
        <f t="array" ref="F11">Common_InputFunctions.Utility_DisplayArrayInTable(Fuel_SourceData.Fuel_Scope1Scope3EmissionFactorsTransport_Data(), Table_Fuel_EFs_Transport[[#Headers],[Transport type]], 0)</f>
        <v>38.6</v>
      </c>
      <c r="G11" s="242" t="str" cm="1">
        <f t="array" ref="G11">Common_InputFunctions.Utility_DisplayArrayInTable(Fuel_SourceData.Fuel_Scope1Scope3EmissionFactorsTransport_Data(), Table_Fuel_EFs_Transport[[#Headers],[Transport type]], 0)</f>
        <v>kl</v>
      </c>
      <c r="H11" s="242" cm="1">
        <f t="array" ref="H11">Common_InputFunctions.Utility_DisplayArrayInTable(Fuel_SourceData.Fuel_Scope1Scope3EmissionFactorsTransport_Data(), Table_Fuel_EFs_Transport[[#Headers],[Transport type]], 0)</f>
        <v>69.900000000000006</v>
      </c>
      <c r="I11" s="242" cm="1">
        <f t="array" ref="I11">Common_InputFunctions.Utility_DisplayArrayInTable(Fuel_SourceData.Fuel_Scope1Scope3EmissionFactorsTransport_Data(), Table_Fuel_EFs_Transport[[#Headers],[Transport type]], 0)</f>
        <v>0.01</v>
      </c>
      <c r="J11" s="242" cm="1">
        <f t="array" ref="J11">Common_InputFunctions.Utility_DisplayArrayInTable(Fuel_SourceData.Fuel_Scope1Scope3EmissionFactorsTransport_Data(), Table_Fuel_EFs_Transport[[#Headers],[Transport type]], 0)</f>
        <v>0.5</v>
      </c>
      <c r="K11" s="242" cm="1">
        <f t="array" ref="K11">Common_InputFunctions.Utility_DisplayArrayInTable(Fuel_SourceData.Fuel_Scope1Scope3EmissionFactorsTransport_Data(), Table_Fuel_EFs_Transport[[#Headers],[Transport type]], 0)</f>
        <v>70.41</v>
      </c>
      <c r="L11" s="242"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42" t="str" cm="1">
        <f t="array" ref="D12">Common_InputFunctions.Utility_DisplayArrayInTable(Fuel_SourceData.Fuel_Scope1Scope3EmissionFactorsTransport_Data(), Table_Fuel_EFs_Transport[[#Headers],[Transport type]], 0)</f>
        <v>Cars and light commercial vehicles</v>
      </c>
      <c r="E12" s="242" t="str" cm="1">
        <f t="array" ref="E12">Common_InputFunctions.Utility_DisplayArrayInTable(Fuel_SourceData.Fuel_Scope1Scope3EmissionFactorsTransport_Data(), Table_Fuel_EFs_Transport[[#Headers],[Transport type]], 0)</f>
        <v>Liquefied petroleum gas (LPG)</v>
      </c>
      <c r="F12" s="242" cm="1">
        <f t="array" ref="F12">Common_InputFunctions.Utility_DisplayArrayInTable(Fuel_SourceData.Fuel_Scope1Scope3EmissionFactorsTransport_Data(), Table_Fuel_EFs_Transport[[#Headers],[Transport type]], 0)</f>
        <v>26.2</v>
      </c>
      <c r="G12" s="242" t="str" cm="1">
        <f t="array" ref="G12">Common_InputFunctions.Utility_DisplayArrayInTable(Fuel_SourceData.Fuel_Scope1Scope3EmissionFactorsTransport_Data(), Table_Fuel_EFs_Transport[[#Headers],[Transport type]], 0)</f>
        <v>kl</v>
      </c>
      <c r="H12" s="242" cm="1">
        <f t="array" ref="H12">Common_InputFunctions.Utility_DisplayArrayInTable(Fuel_SourceData.Fuel_Scope1Scope3EmissionFactorsTransport_Data(), Table_Fuel_EFs_Transport[[#Headers],[Transport type]], 0)</f>
        <v>60.2</v>
      </c>
      <c r="I12" s="242" cm="1">
        <f t="array" ref="I12">Common_InputFunctions.Utility_DisplayArrayInTable(Fuel_SourceData.Fuel_Scope1Scope3EmissionFactorsTransport_Data(), Table_Fuel_EFs_Transport[[#Headers],[Transport type]], 0)</f>
        <v>0.5</v>
      </c>
      <c r="J12" s="242" cm="1">
        <f t="array" ref="J12">Common_InputFunctions.Utility_DisplayArrayInTable(Fuel_SourceData.Fuel_Scope1Scope3EmissionFactorsTransport_Data(), Table_Fuel_EFs_Transport[[#Headers],[Transport type]], 0)</f>
        <v>0.3</v>
      </c>
      <c r="K12" s="242" cm="1">
        <f t="array" ref="K12">Common_InputFunctions.Utility_DisplayArrayInTable(Fuel_SourceData.Fuel_Scope1Scope3EmissionFactorsTransport_Data(), Table_Fuel_EFs_Transport[[#Headers],[Transport type]], 0)</f>
        <v>61</v>
      </c>
      <c r="L12" s="242"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42" t="str" cm="1">
        <f t="array" ref="D13">Common_InputFunctions.Utility_DisplayArrayInTable(Fuel_SourceData.Fuel_Scope1Scope3EmissionFactorsTransport_Data(), Table_Fuel_EFs_Transport[[#Headers],[Transport type]], 0)</f>
        <v>Cars and light commercial vehicles</v>
      </c>
      <c r="E13" s="242" t="str" cm="1">
        <f t="array" ref="E13">Common_InputFunctions.Utility_DisplayArrayInTable(Fuel_SourceData.Fuel_Scope1Scope3EmissionFactorsTransport_Data(), Table_Fuel_EFs_Transport[[#Headers],[Transport type]], 0)</f>
        <v>Fuel oil</v>
      </c>
      <c r="F13" s="242" cm="1">
        <f t="array" ref="F13">Common_InputFunctions.Utility_DisplayArrayInTable(Fuel_SourceData.Fuel_Scope1Scope3EmissionFactorsTransport_Data(), Table_Fuel_EFs_Transport[[#Headers],[Transport type]], 0)</f>
        <v>39.700000000000003</v>
      </c>
      <c r="G13" s="242" t="str" cm="1">
        <f t="array" ref="G13">Common_InputFunctions.Utility_DisplayArrayInTable(Fuel_SourceData.Fuel_Scope1Scope3EmissionFactorsTransport_Data(), Table_Fuel_EFs_Transport[[#Headers],[Transport type]], 0)</f>
        <v>kl</v>
      </c>
      <c r="H13" s="242" cm="1">
        <f t="array" ref="H13">Common_InputFunctions.Utility_DisplayArrayInTable(Fuel_SourceData.Fuel_Scope1Scope3EmissionFactorsTransport_Data(), Table_Fuel_EFs_Transport[[#Headers],[Transport type]], 0)</f>
        <v>73.599999999999994</v>
      </c>
      <c r="I13" s="242" cm="1">
        <f t="array" ref="I13">Common_InputFunctions.Utility_DisplayArrayInTable(Fuel_SourceData.Fuel_Scope1Scope3EmissionFactorsTransport_Data(), Table_Fuel_EFs_Transport[[#Headers],[Transport type]], 0)</f>
        <v>0.08</v>
      </c>
      <c r="J13" s="242" cm="1">
        <f t="array" ref="J13">Common_InputFunctions.Utility_DisplayArrayInTable(Fuel_SourceData.Fuel_Scope1Scope3EmissionFactorsTransport_Data(), Table_Fuel_EFs_Transport[[#Headers],[Transport type]], 0)</f>
        <v>0.5</v>
      </c>
      <c r="K13" s="242" cm="1">
        <f t="array" ref="K13">Common_InputFunctions.Utility_DisplayArrayInTable(Fuel_SourceData.Fuel_Scope1Scope3EmissionFactorsTransport_Data(), Table_Fuel_EFs_Transport[[#Headers],[Transport type]], 0)</f>
        <v>74.180000000000007</v>
      </c>
      <c r="L13" s="242"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42" t="str" cm="1">
        <f t="array" ref="D14">Common_InputFunctions.Utility_DisplayArrayInTable(Fuel_SourceData.Fuel_Scope1Scope3EmissionFactorsTransport_Data(), Table_Fuel_EFs_Transport[[#Headers],[Transport type]], 0)</f>
        <v>Cars and light commercial vehicles</v>
      </c>
      <c r="E14" s="242" t="str" cm="1">
        <f t="array" ref="E14">Common_InputFunctions.Utility_DisplayArrayInTable(Fuel_SourceData.Fuel_Scope1Scope3EmissionFactorsTransport_Data(), Table_Fuel_EFs_Transport[[#Headers],[Transport type]], 0)</f>
        <v>Ethanol</v>
      </c>
      <c r="F14" s="242" cm="1">
        <f t="array" ref="F14">Common_InputFunctions.Utility_DisplayArrayInTable(Fuel_SourceData.Fuel_Scope1Scope3EmissionFactorsTransport_Data(), Table_Fuel_EFs_Transport[[#Headers],[Transport type]], 0)</f>
        <v>23.4</v>
      </c>
      <c r="G14" s="242" t="str" cm="1">
        <f t="array" ref="G14">Common_InputFunctions.Utility_DisplayArrayInTable(Fuel_SourceData.Fuel_Scope1Scope3EmissionFactorsTransport_Data(), Table_Fuel_EFs_Transport[[#Headers],[Transport type]], 0)</f>
        <v>kl</v>
      </c>
      <c r="H14" s="242" cm="1">
        <f t="array" ref="H14">Common_InputFunctions.Utility_DisplayArrayInTable(Fuel_SourceData.Fuel_Scope1Scope3EmissionFactorsTransport_Data(), Table_Fuel_EFs_Transport[[#Headers],[Transport type]], 0)</f>
        <v>0</v>
      </c>
      <c r="I14" s="242" cm="1">
        <f t="array" ref="I14">Common_InputFunctions.Utility_DisplayArrayInTable(Fuel_SourceData.Fuel_Scope1Scope3EmissionFactorsTransport_Data(), Table_Fuel_EFs_Transport[[#Headers],[Transport type]], 0)</f>
        <v>0.2</v>
      </c>
      <c r="J14" s="242" cm="1">
        <f t="array" ref="J14">Common_InputFunctions.Utility_DisplayArrayInTable(Fuel_SourceData.Fuel_Scope1Scope3EmissionFactorsTransport_Data(), Table_Fuel_EFs_Transport[[#Headers],[Transport type]], 0)</f>
        <v>0.2</v>
      </c>
      <c r="K14" s="242" cm="1">
        <f t="array" ref="K14">Common_InputFunctions.Utility_DisplayArrayInTable(Fuel_SourceData.Fuel_Scope1Scope3EmissionFactorsTransport_Data(), Table_Fuel_EFs_Transport[[#Headers],[Transport type]], 0)</f>
        <v>0.4</v>
      </c>
      <c r="L14" s="242"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42" t="str" cm="1">
        <f t="array" ref="D15">Common_InputFunctions.Utility_DisplayArrayInTable(Fuel_SourceData.Fuel_Scope1Scope3EmissionFactorsTransport_Data(), Table_Fuel_EFs_Transport[[#Headers],[Transport type]], 0)</f>
        <v>Cars and light commercial vehicles</v>
      </c>
      <c r="E15" s="242" t="str" cm="1">
        <f t="array" ref="E15">Common_InputFunctions.Utility_DisplayArrayInTable(Fuel_SourceData.Fuel_Scope1Scope3EmissionFactorsTransport_Data(), Table_Fuel_EFs_Transport[[#Headers],[Transport type]], 0)</f>
        <v>Biodiesel</v>
      </c>
      <c r="F15" s="242" cm="1">
        <f t="array" ref="F15">Common_InputFunctions.Utility_DisplayArrayInTable(Fuel_SourceData.Fuel_Scope1Scope3EmissionFactorsTransport_Data(), Table_Fuel_EFs_Transport[[#Headers],[Transport type]], 0)</f>
        <v>34.6</v>
      </c>
      <c r="G15" s="242" t="str" cm="1">
        <f t="array" ref="G15">Common_InputFunctions.Utility_DisplayArrayInTable(Fuel_SourceData.Fuel_Scope1Scope3EmissionFactorsTransport_Data(), Table_Fuel_EFs_Transport[[#Headers],[Transport type]], 0)</f>
        <v>kl</v>
      </c>
      <c r="H15" s="242" cm="1">
        <f t="array" ref="H15">Common_InputFunctions.Utility_DisplayArrayInTable(Fuel_SourceData.Fuel_Scope1Scope3EmissionFactorsTransport_Data(), Table_Fuel_EFs_Transport[[#Headers],[Transport type]], 0)</f>
        <v>0</v>
      </c>
      <c r="I15" s="242" cm="1">
        <f t="array" ref="I15">Common_InputFunctions.Utility_DisplayArrayInTable(Fuel_SourceData.Fuel_Scope1Scope3EmissionFactorsTransport_Data(), Table_Fuel_EFs_Transport[[#Headers],[Transport type]], 0)</f>
        <v>0.8</v>
      </c>
      <c r="J15" s="242" cm="1">
        <f t="array" ref="J15">Common_InputFunctions.Utility_DisplayArrayInTable(Fuel_SourceData.Fuel_Scope1Scope3EmissionFactorsTransport_Data(), Table_Fuel_EFs_Transport[[#Headers],[Transport type]], 0)</f>
        <v>1.7</v>
      </c>
      <c r="K15" s="242" cm="1">
        <f t="array" ref="K15">Common_InputFunctions.Utility_DisplayArrayInTable(Fuel_SourceData.Fuel_Scope1Scope3EmissionFactorsTransport_Data(), Table_Fuel_EFs_Transport[[#Headers],[Transport type]], 0)</f>
        <v>2.5</v>
      </c>
      <c r="L15" s="242"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42" t="str" cm="1">
        <f t="array" ref="D16">Common_InputFunctions.Utility_DisplayArrayInTable(Fuel_SourceData.Fuel_Scope1Scope3EmissionFactorsTransport_Data(), Table_Fuel_EFs_Transport[[#Headers],[Transport type]], 0)</f>
        <v>Cars and light commercial vehicles</v>
      </c>
      <c r="E16" s="242" t="str" cm="1">
        <f t="array" ref="E16">Common_InputFunctions.Utility_DisplayArrayInTable(Fuel_SourceData.Fuel_Scope1Scope3EmissionFactorsTransport_Data(), Table_Fuel_EFs_Transport[[#Headers],[Transport type]], 0)</f>
        <v>Renewable diesel</v>
      </c>
      <c r="F16" s="242" cm="1">
        <f t="array" ref="F16">Common_InputFunctions.Utility_DisplayArrayInTable(Fuel_SourceData.Fuel_Scope1Scope3EmissionFactorsTransport_Data(), Table_Fuel_EFs_Transport[[#Headers],[Transport type]], 0)</f>
        <v>38.6</v>
      </c>
      <c r="G16" s="242" t="str" cm="1">
        <f t="array" ref="G16">Common_InputFunctions.Utility_DisplayArrayInTable(Fuel_SourceData.Fuel_Scope1Scope3EmissionFactorsTransport_Data(), Table_Fuel_EFs_Transport[[#Headers],[Transport type]], 0)</f>
        <v>kl</v>
      </c>
      <c r="H16" s="242" cm="1">
        <f t="array" ref="H16">Common_InputFunctions.Utility_DisplayArrayInTable(Fuel_SourceData.Fuel_Scope1Scope3EmissionFactorsTransport_Data(), Table_Fuel_EFs_Transport[[#Headers],[Transport type]], 0)</f>
        <v>0</v>
      </c>
      <c r="I16" s="242" cm="1">
        <f t="array" ref="I16">Common_InputFunctions.Utility_DisplayArrayInTable(Fuel_SourceData.Fuel_Scope1Scope3EmissionFactorsTransport_Data(), Table_Fuel_EFs_Transport[[#Headers],[Transport type]], 0)</f>
        <v>0.01</v>
      </c>
      <c r="J16" s="242" cm="1">
        <f t="array" ref="J16">Common_InputFunctions.Utility_DisplayArrayInTable(Fuel_SourceData.Fuel_Scope1Scope3EmissionFactorsTransport_Data(), Table_Fuel_EFs_Transport[[#Headers],[Transport type]], 0)</f>
        <v>0.5</v>
      </c>
      <c r="K16" s="242" cm="1">
        <f t="array" ref="K16">Common_InputFunctions.Utility_DisplayArrayInTable(Fuel_SourceData.Fuel_Scope1Scope3EmissionFactorsTransport_Data(), Table_Fuel_EFs_Transport[[#Headers],[Transport type]], 0)</f>
        <v>0.51</v>
      </c>
      <c r="L16" s="242"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42" t="str" cm="1">
        <f t="array" ref="D17">Common_InputFunctions.Utility_DisplayArrayInTable(Fuel_SourceData.Fuel_Scope1Scope3EmissionFactorsTransport_Data(), Table_Fuel_EFs_Transport[[#Headers],[Transport type]], 0)</f>
        <v>Cars and light commercial vehicles</v>
      </c>
      <c r="E17" s="242" t="str" cm="1">
        <f t="array" ref="E17">Common_InputFunctions.Utility_DisplayArrayInTable(Fuel_SourceData.Fuel_Scope1Scope3EmissionFactorsTransport_Data(), Table_Fuel_EFs_Transport[[#Headers],[Transport type]], 0)</f>
        <v>Other biofuels</v>
      </c>
      <c r="F17" s="242" cm="1">
        <f t="array" ref="F17">Common_InputFunctions.Utility_DisplayArrayInTable(Fuel_SourceData.Fuel_Scope1Scope3EmissionFactorsTransport_Data(), Table_Fuel_EFs_Transport[[#Headers],[Transport type]], 0)</f>
        <v>23.4</v>
      </c>
      <c r="G17" s="242" t="str" cm="1">
        <f t="array" ref="G17">Common_InputFunctions.Utility_DisplayArrayInTable(Fuel_SourceData.Fuel_Scope1Scope3EmissionFactorsTransport_Data(), Table_Fuel_EFs_Transport[[#Headers],[Transport type]], 0)</f>
        <v>kl</v>
      </c>
      <c r="H17" s="242" cm="1">
        <f t="array" ref="H17">Common_InputFunctions.Utility_DisplayArrayInTable(Fuel_SourceData.Fuel_Scope1Scope3EmissionFactorsTransport_Data(), Table_Fuel_EFs_Transport[[#Headers],[Transport type]], 0)</f>
        <v>0</v>
      </c>
      <c r="I17" s="242" cm="1">
        <f t="array" ref="I17">Common_InputFunctions.Utility_DisplayArrayInTable(Fuel_SourceData.Fuel_Scope1Scope3EmissionFactorsTransport_Data(), Table_Fuel_EFs_Transport[[#Headers],[Transport type]], 0)</f>
        <v>0.8</v>
      </c>
      <c r="J17" s="242" cm="1">
        <f t="array" ref="J17">Common_InputFunctions.Utility_DisplayArrayInTable(Fuel_SourceData.Fuel_Scope1Scope3EmissionFactorsTransport_Data(), Table_Fuel_EFs_Transport[[#Headers],[Transport type]], 0)</f>
        <v>1.7</v>
      </c>
      <c r="K17" s="242" cm="1">
        <f t="array" ref="K17">Common_InputFunctions.Utility_DisplayArrayInTable(Fuel_SourceData.Fuel_Scope1Scope3EmissionFactorsTransport_Data(), Table_Fuel_EFs_Transport[[#Headers],[Transport type]], 0)</f>
        <v>2.5</v>
      </c>
      <c r="L17" s="242"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42" t="str" cm="1">
        <f t="array" ref="D18">Common_InputFunctions.Utility_DisplayArrayInTable(Fuel_SourceData.Fuel_Scope1Scope3EmissionFactorsTransport_Data(), Table_Fuel_EFs_Transport[[#Headers],[Transport type]], 0)</f>
        <v>Light duty vehicles</v>
      </c>
      <c r="E18" s="242" t="str" cm="1">
        <f t="array" ref="E18">Common_InputFunctions.Utility_DisplayArrayInTable(Fuel_SourceData.Fuel_Scope1Scope3EmissionFactorsTransport_Data(), Table_Fuel_EFs_Transport[[#Headers],[Transport type]], 0)</f>
        <v>Compressed natural gas</v>
      </c>
      <c r="F18" s="242" cm="1">
        <f t="array" ref="F18">Common_InputFunctions.Utility_DisplayArrayInTable(Fuel_SourceData.Fuel_Scope1Scope3EmissionFactorsTransport_Data(), Table_Fuel_EFs_Transport[[#Headers],[Transport type]], 0)</f>
        <v>3.9300000000000002E-2</v>
      </c>
      <c r="G18" s="242" t="str" cm="1">
        <f t="array" ref="G18">Common_InputFunctions.Utility_DisplayArrayInTable(Fuel_SourceData.Fuel_Scope1Scope3EmissionFactorsTransport_Data(), Table_Fuel_EFs_Transport[[#Headers],[Transport type]], 0)</f>
        <v>m3</v>
      </c>
      <c r="H18" s="242" cm="1">
        <f t="array" ref="H18">Common_InputFunctions.Utility_DisplayArrayInTable(Fuel_SourceData.Fuel_Scope1Scope3EmissionFactorsTransport_Data(), Table_Fuel_EFs_Transport[[#Headers],[Transport type]], 0)</f>
        <v>51.4</v>
      </c>
      <c r="I18" s="242" cm="1">
        <f t="array" ref="I18">Common_InputFunctions.Utility_DisplayArrayInTable(Fuel_SourceData.Fuel_Scope1Scope3EmissionFactorsTransport_Data(), Table_Fuel_EFs_Transport[[#Headers],[Transport type]], 0)</f>
        <v>7.3</v>
      </c>
      <c r="J18" s="242" cm="1">
        <f t="array" ref="J18">Common_InputFunctions.Utility_DisplayArrayInTable(Fuel_SourceData.Fuel_Scope1Scope3EmissionFactorsTransport_Data(), Table_Fuel_EFs_Transport[[#Headers],[Transport type]], 0)</f>
        <v>0.3</v>
      </c>
      <c r="K18" s="242" cm="1">
        <f t="array" ref="K18">Common_InputFunctions.Utility_DisplayArrayInTable(Fuel_SourceData.Fuel_Scope1Scope3EmissionFactorsTransport_Data(), Table_Fuel_EFs_Transport[[#Headers],[Transport type]], 0)</f>
        <v>59</v>
      </c>
      <c r="L18" s="242"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42" t="str" cm="1">
        <f t="array" ref="D19">Common_InputFunctions.Utility_DisplayArrayInTable(Fuel_SourceData.Fuel_Scope1Scope3EmissionFactorsTransport_Data(), Table_Fuel_EFs_Transport[[#Headers],[Transport type]], 0)</f>
        <v>Light duty vehicles</v>
      </c>
      <c r="E19" s="242" t="str" cm="1">
        <f t="array" ref="E19">Common_InputFunctions.Utility_DisplayArrayInTable(Fuel_SourceData.Fuel_Scope1Scope3EmissionFactorsTransport_Data(), Table_Fuel_EFs_Transport[[#Headers],[Transport type]], 0)</f>
        <v>Liquefied natural gas</v>
      </c>
      <c r="F19" s="242" cm="1">
        <f t="array" ref="F19">Common_InputFunctions.Utility_DisplayArrayInTable(Fuel_SourceData.Fuel_Scope1Scope3EmissionFactorsTransport_Data(), Table_Fuel_EFs_Transport[[#Headers],[Transport type]], 0)</f>
        <v>25.3</v>
      </c>
      <c r="G19" s="242" t="str" cm="1">
        <f t="array" ref="G19">Common_InputFunctions.Utility_DisplayArrayInTable(Fuel_SourceData.Fuel_Scope1Scope3EmissionFactorsTransport_Data(), Table_Fuel_EFs_Transport[[#Headers],[Transport type]], 0)</f>
        <v>kl</v>
      </c>
      <c r="H19" s="242" cm="1">
        <f t="array" ref="H19">Common_InputFunctions.Utility_DisplayArrayInTable(Fuel_SourceData.Fuel_Scope1Scope3EmissionFactorsTransport_Data(), Table_Fuel_EFs_Transport[[#Headers],[Transport type]], 0)</f>
        <v>51.4</v>
      </c>
      <c r="I19" s="242" cm="1">
        <f t="array" ref="I19">Common_InputFunctions.Utility_DisplayArrayInTable(Fuel_SourceData.Fuel_Scope1Scope3EmissionFactorsTransport_Data(), Table_Fuel_EFs_Transport[[#Headers],[Transport type]], 0)</f>
        <v>7.3</v>
      </c>
      <c r="J19" s="242" cm="1">
        <f t="array" ref="J19">Common_InputFunctions.Utility_DisplayArrayInTable(Fuel_SourceData.Fuel_Scope1Scope3EmissionFactorsTransport_Data(), Table_Fuel_EFs_Transport[[#Headers],[Transport type]], 0)</f>
        <v>0.3</v>
      </c>
      <c r="K19" s="242" cm="1">
        <f t="array" ref="K19">Common_InputFunctions.Utility_DisplayArrayInTable(Fuel_SourceData.Fuel_Scope1Scope3EmissionFactorsTransport_Data(), Table_Fuel_EFs_Transport[[#Headers],[Transport type]], 0)</f>
        <v>59</v>
      </c>
      <c r="L19" s="242"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Common farm inputs'!A1", "Common farm inputs")</f>
        <v>Common farm inputs</v>
      </c>
      <c r="D20" s="242" t="str" cm="1">
        <f t="array" ref="D20">Common_InputFunctions.Utility_DisplayArrayInTable(Fuel_SourceData.Fuel_Scope1Scope3EmissionFactorsTransport_Data(), Table_Fuel_EFs_Transport[[#Headers],[Transport type]], 0)</f>
        <v>Heavy duty vehicles</v>
      </c>
      <c r="E20" s="242" t="str" cm="1">
        <f t="array" ref="E20">Common_InputFunctions.Utility_DisplayArrayInTable(Fuel_SourceData.Fuel_Scope1Scope3EmissionFactorsTransport_Data(), Table_Fuel_EFs_Transport[[#Headers],[Transport type]], 0)</f>
        <v>Compressed natural gas</v>
      </c>
      <c r="F20" s="242" cm="1">
        <f t="array" ref="F20">Common_InputFunctions.Utility_DisplayArrayInTable(Fuel_SourceData.Fuel_Scope1Scope3EmissionFactorsTransport_Data(), Table_Fuel_EFs_Transport[[#Headers],[Transport type]], 0)</f>
        <v>3.9300000000000002E-2</v>
      </c>
      <c r="G20" s="242" t="str" cm="1">
        <f t="array" ref="G20">Common_InputFunctions.Utility_DisplayArrayInTable(Fuel_SourceData.Fuel_Scope1Scope3EmissionFactorsTransport_Data(), Table_Fuel_EFs_Transport[[#Headers],[Transport type]], 0)</f>
        <v>m3</v>
      </c>
      <c r="H20" s="242" cm="1">
        <f t="array" ref="H20">Common_InputFunctions.Utility_DisplayArrayInTable(Fuel_SourceData.Fuel_Scope1Scope3EmissionFactorsTransport_Data(), Table_Fuel_EFs_Transport[[#Headers],[Transport type]], 0)</f>
        <v>51.4</v>
      </c>
      <c r="I20" s="242" cm="1">
        <f t="array" ref="I20">Common_InputFunctions.Utility_DisplayArrayInTable(Fuel_SourceData.Fuel_Scope1Scope3EmissionFactorsTransport_Data(), Table_Fuel_EFs_Transport[[#Headers],[Transport type]], 0)</f>
        <v>2.8</v>
      </c>
      <c r="J20" s="242" cm="1">
        <f t="array" ref="J20">Common_InputFunctions.Utility_DisplayArrayInTable(Fuel_SourceData.Fuel_Scope1Scope3EmissionFactorsTransport_Data(), Table_Fuel_EFs_Transport[[#Headers],[Transport type]], 0)</f>
        <v>0.3</v>
      </c>
      <c r="K20" s="242" cm="1">
        <f t="array" ref="K20">Common_InputFunctions.Utility_DisplayArrayInTable(Fuel_SourceData.Fuel_Scope1Scope3EmissionFactorsTransport_Data(), Table_Fuel_EFs_Transport[[#Headers],[Transport type]], 0)</f>
        <v>54.5</v>
      </c>
      <c r="L20" s="242"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Crop pasture farm input'!A1", "Crop pasture farm input")</f>
        <v>Crop pasture farm input</v>
      </c>
      <c r="D21" s="242" t="str" cm="1">
        <f t="array" ref="D21">Common_InputFunctions.Utility_DisplayArrayInTable(Fuel_SourceData.Fuel_Scope1Scope3EmissionFactorsTransport_Data(), Table_Fuel_EFs_Transport[[#Headers],[Transport type]], 0)</f>
        <v>Heavy duty vehicles</v>
      </c>
      <c r="E21" s="242" t="str" cm="1">
        <f t="array" ref="E21">Common_InputFunctions.Utility_DisplayArrayInTable(Fuel_SourceData.Fuel_Scope1Scope3EmissionFactorsTransport_Data(), Table_Fuel_EFs_Transport[[#Headers],[Transport type]], 0)</f>
        <v>Liquefied natural gas</v>
      </c>
      <c r="F21" s="242" cm="1">
        <f t="array" ref="F21">Common_InputFunctions.Utility_DisplayArrayInTable(Fuel_SourceData.Fuel_Scope1Scope3EmissionFactorsTransport_Data(), Table_Fuel_EFs_Transport[[#Headers],[Transport type]], 0)</f>
        <v>25.3</v>
      </c>
      <c r="G21" s="242" t="str" cm="1">
        <f t="array" ref="G21">Common_InputFunctions.Utility_DisplayArrayInTable(Fuel_SourceData.Fuel_Scope1Scope3EmissionFactorsTransport_Data(), Table_Fuel_EFs_Transport[[#Headers],[Transport type]], 0)</f>
        <v>kl</v>
      </c>
      <c r="H21" s="242" cm="1">
        <f t="array" ref="H21">Common_InputFunctions.Utility_DisplayArrayInTable(Fuel_SourceData.Fuel_Scope1Scope3EmissionFactorsTransport_Data(), Table_Fuel_EFs_Transport[[#Headers],[Transport type]], 0)</f>
        <v>51.4</v>
      </c>
      <c r="I21" s="242" cm="1">
        <f t="array" ref="I21">Common_InputFunctions.Utility_DisplayArrayInTable(Fuel_SourceData.Fuel_Scope1Scope3EmissionFactorsTransport_Data(), Table_Fuel_EFs_Transport[[#Headers],[Transport type]], 0)</f>
        <v>2.8</v>
      </c>
      <c r="J21" s="242" cm="1">
        <f t="array" ref="J21">Common_InputFunctions.Utility_DisplayArrayInTable(Fuel_SourceData.Fuel_Scope1Scope3EmissionFactorsTransport_Data(), Table_Fuel_EFs_Transport[[#Headers],[Transport type]], 0)</f>
        <v>0.3</v>
      </c>
      <c r="K21" s="242" cm="1">
        <f t="array" ref="K21">Common_InputFunctions.Utility_DisplayArrayInTable(Fuel_SourceData.Fuel_Scope1Scope3EmissionFactorsTransport_Data(), Table_Fuel_EFs_Transport[[#Headers],[Transport type]], 0)</f>
        <v>54.5</v>
      </c>
      <c r="L21" s="242"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Livestock farm Inputs'!A1", "Livestock farm Inputs")</f>
        <v>Livestock farm Inputs</v>
      </c>
      <c r="D22" s="242" t="str" cm="1">
        <f t="array" ref="D22">Common_InputFunctions.Utility_DisplayArrayInTable(Fuel_SourceData.Fuel_Scope1Scope3EmissionFactorsTransport_Data(), Table_Fuel_EFs_Transport[[#Headers],[Transport type]], 0)</f>
        <v>Heavy duty vehicles</v>
      </c>
      <c r="E22" s="242" t="str" cm="1">
        <f t="array" ref="E22">Common_InputFunctions.Utility_DisplayArrayInTable(Fuel_SourceData.Fuel_Scope1Scope3EmissionFactorsTransport_Data(), Table_Fuel_EFs_Transport[[#Headers],[Transport type]], 0)</f>
        <v>Diesel oil - Euro iv or higher</v>
      </c>
      <c r="F22" s="242" cm="1">
        <f t="array" ref="F22">Common_InputFunctions.Utility_DisplayArrayInTable(Fuel_SourceData.Fuel_Scope1Scope3EmissionFactorsTransport_Data(), Table_Fuel_EFs_Transport[[#Headers],[Transport type]], 0)</f>
        <v>38.6</v>
      </c>
      <c r="G22" s="242" t="str" cm="1">
        <f t="array" ref="G22">Common_InputFunctions.Utility_DisplayArrayInTable(Fuel_SourceData.Fuel_Scope1Scope3EmissionFactorsTransport_Data(), Table_Fuel_EFs_Transport[[#Headers],[Transport type]], 0)</f>
        <v>kl</v>
      </c>
      <c r="H22" s="242" cm="1">
        <f t="array" ref="H22">Common_InputFunctions.Utility_DisplayArrayInTable(Fuel_SourceData.Fuel_Scope1Scope3EmissionFactorsTransport_Data(), Table_Fuel_EFs_Transport[[#Headers],[Transport type]], 0)</f>
        <v>69.900000000000006</v>
      </c>
      <c r="I22" s="242" cm="1">
        <f t="array" ref="I22">Common_InputFunctions.Utility_DisplayArrayInTable(Fuel_SourceData.Fuel_Scope1Scope3EmissionFactorsTransport_Data(), Table_Fuel_EFs_Transport[[#Headers],[Transport type]], 0)</f>
        <v>7.0000000000000007E-2</v>
      </c>
      <c r="J22" s="242" cm="1">
        <f t="array" ref="J22">Common_InputFunctions.Utility_DisplayArrayInTable(Fuel_SourceData.Fuel_Scope1Scope3EmissionFactorsTransport_Data(), Table_Fuel_EFs_Transport[[#Headers],[Transport type]], 0)</f>
        <v>0.4</v>
      </c>
      <c r="K22" s="242" cm="1">
        <f t="array" ref="K22">Common_InputFunctions.Utility_DisplayArrayInTable(Fuel_SourceData.Fuel_Scope1Scope3EmissionFactorsTransport_Data(), Table_Fuel_EFs_Transport[[#Headers],[Transport type]], 0)</f>
        <v>70.37</v>
      </c>
      <c r="L22" s="242"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Freight'!A1", "Freight")</f>
        <v>Freight</v>
      </c>
      <c r="D23" s="242" t="str" cm="1">
        <f t="array" ref="D23">Common_InputFunctions.Utility_DisplayArrayInTable(Fuel_SourceData.Fuel_Scope1Scope3EmissionFactorsTransport_Data(), Table_Fuel_EFs_Transport[[#Headers],[Transport type]], 0)</f>
        <v>Heavy duty vehicles</v>
      </c>
      <c r="E23" s="242" t="str" cm="1">
        <f t="array" ref="E23">Common_InputFunctions.Utility_DisplayArrayInTable(Fuel_SourceData.Fuel_Scope1Scope3EmissionFactorsTransport_Data(), Table_Fuel_EFs_Transport[[#Headers],[Transport type]], 0)</f>
        <v>Diesel oil - Euro iii</v>
      </c>
      <c r="F23" s="242" cm="1">
        <f t="array" ref="F23">Common_InputFunctions.Utility_DisplayArrayInTable(Fuel_SourceData.Fuel_Scope1Scope3EmissionFactorsTransport_Data(), Table_Fuel_EFs_Transport[[#Headers],[Transport type]], 0)</f>
        <v>38.6</v>
      </c>
      <c r="G23" s="242" t="str" cm="1">
        <f t="array" ref="G23">Common_InputFunctions.Utility_DisplayArrayInTable(Fuel_SourceData.Fuel_Scope1Scope3EmissionFactorsTransport_Data(), Table_Fuel_EFs_Transport[[#Headers],[Transport type]], 0)</f>
        <v>kl</v>
      </c>
      <c r="H23" s="242" cm="1">
        <f t="array" ref="H23">Common_InputFunctions.Utility_DisplayArrayInTable(Fuel_SourceData.Fuel_Scope1Scope3EmissionFactorsTransport_Data(), Table_Fuel_EFs_Transport[[#Headers],[Transport type]], 0)</f>
        <v>69.900000000000006</v>
      </c>
      <c r="I23" s="242" cm="1">
        <f t="array" ref="I23">Common_InputFunctions.Utility_DisplayArrayInTable(Fuel_SourceData.Fuel_Scope1Scope3EmissionFactorsTransport_Data(), Table_Fuel_EFs_Transport[[#Headers],[Transport type]], 0)</f>
        <v>0.1</v>
      </c>
      <c r="J23" s="242" cm="1">
        <f t="array" ref="J23">Common_InputFunctions.Utility_DisplayArrayInTable(Fuel_SourceData.Fuel_Scope1Scope3EmissionFactorsTransport_Data(), Table_Fuel_EFs_Transport[[#Headers],[Transport type]], 0)</f>
        <v>0.4</v>
      </c>
      <c r="K23" s="242" cm="1">
        <f t="array" ref="K23">Common_InputFunctions.Utility_DisplayArrayInTable(Fuel_SourceData.Fuel_Scope1Scope3EmissionFactorsTransport_Data(), Table_Fuel_EFs_Transport[[#Headers],[Transport type]], 0)</f>
        <v>70.400000000000006</v>
      </c>
      <c r="L23" s="242"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42" t="str" cm="1">
        <f t="array" ref="D24">Common_InputFunctions.Utility_DisplayArrayInTable(Fuel_SourceData.Fuel_Scope1Scope3EmissionFactorsTransport_Data(), Table_Fuel_EFs_Transport[[#Headers],[Transport type]], 0)</f>
        <v>Heavy duty vehicles</v>
      </c>
      <c r="E24" s="242" t="str" cm="1">
        <f t="array" ref="E24">Common_InputFunctions.Utility_DisplayArrayInTable(Fuel_SourceData.Fuel_Scope1Scope3EmissionFactorsTransport_Data(), Table_Fuel_EFs_Transport[[#Headers],[Transport type]], 0)</f>
        <v>Diesel oil - Euro i</v>
      </c>
      <c r="F24" s="242" cm="1">
        <f t="array" ref="F24">Common_InputFunctions.Utility_DisplayArrayInTable(Fuel_SourceData.Fuel_Scope1Scope3EmissionFactorsTransport_Data(), Table_Fuel_EFs_Transport[[#Headers],[Transport type]], 0)</f>
        <v>38.6</v>
      </c>
      <c r="G24" s="242" t="str" cm="1">
        <f t="array" ref="G24">Common_InputFunctions.Utility_DisplayArrayInTable(Fuel_SourceData.Fuel_Scope1Scope3EmissionFactorsTransport_Data(), Table_Fuel_EFs_Transport[[#Headers],[Transport type]], 0)</f>
        <v>kl</v>
      </c>
      <c r="H24" s="242" cm="1">
        <f t="array" ref="H24">Common_InputFunctions.Utility_DisplayArrayInTable(Fuel_SourceData.Fuel_Scope1Scope3EmissionFactorsTransport_Data(), Table_Fuel_EFs_Transport[[#Headers],[Transport type]], 0)</f>
        <v>69.900000000000006</v>
      </c>
      <c r="I24" s="242" cm="1">
        <f t="array" ref="I24">Common_InputFunctions.Utility_DisplayArrayInTable(Fuel_SourceData.Fuel_Scope1Scope3EmissionFactorsTransport_Data(), Table_Fuel_EFs_Transport[[#Headers],[Transport type]], 0)</f>
        <v>0.2</v>
      </c>
      <c r="J24" s="242" cm="1">
        <f t="array" ref="J24">Common_InputFunctions.Utility_DisplayArrayInTable(Fuel_SourceData.Fuel_Scope1Scope3EmissionFactorsTransport_Data(), Table_Fuel_EFs_Transport[[#Headers],[Transport type]], 0)</f>
        <v>0.4</v>
      </c>
      <c r="K24" s="242" cm="1">
        <f t="array" ref="K24">Common_InputFunctions.Utility_DisplayArrayInTable(Fuel_SourceData.Fuel_Scope1Scope3EmissionFactorsTransport_Data(), Table_Fuel_EFs_Transport[[#Headers],[Transport type]], 0)</f>
        <v>70.5</v>
      </c>
      <c r="L24" s="242"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Solid waste'!A1", "Solid waste")</f>
        <v>Solid waste</v>
      </c>
      <c r="D25" s="242" t="str" cm="1">
        <f t="array" ref="D25">Common_InputFunctions.Utility_DisplayArrayInTable(Fuel_SourceData.Fuel_Scope1Scope3EmissionFactorsTransport_Data(), Table_Fuel_EFs_Transport[[#Headers],[Transport type]], 0)</f>
        <v>Heavy duty vehicles</v>
      </c>
      <c r="E25" s="242" t="str" cm="1">
        <f t="array" ref="E25">Common_InputFunctions.Utility_DisplayArrayInTable(Fuel_SourceData.Fuel_Scope1Scope3EmissionFactorsTransport_Data(), Table_Fuel_EFs_Transport[[#Headers],[Transport type]], 0)</f>
        <v>Renewable diesel – Euro iv or higher</v>
      </c>
      <c r="F25" s="242" cm="1">
        <f t="array" ref="F25">Common_InputFunctions.Utility_DisplayArrayInTable(Fuel_SourceData.Fuel_Scope1Scope3EmissionFactorsTransport_Data(), Table_Fuel_EFs_Transport[[#Headers],[Transport type]], 0)</f>
        <v>38.6</v>
      </c>
      <c r="G25" s="242" t="str" cm="1">
        <f t="array" ref="G25">Common_InputFunctions.Utility_DisplayArrayInTable(Fuel_SourceData.Fuel_Scope1Scope3EmissionFactorsTransport_Data(), Table_Fuel_EFs_Transport[[#Headers],[Transport type]], 0)</f>
        <v>kl</v>
      </c>
      <c r="H25" s="242" cm="1">
        <f t="array" ref="H25">Common_InputFunctions.Utility_DisplayArrayInTable(Fuel_SourceData.Fuel_Scope1Scope3EmissionFactorsTransport_Data(), Table_Fuel_EFs_Transport[[#Headers],[Transport type]], 0)</f>
        <v>0</v>
      </c>
      <c r="I25" s="242" cm="1">
        <f t="array" ref="I25">Common_InputFunctions.Utility_DisplayArrayInTable(Fuel_SourceData.Fuel_Scope1Scope3EmissionFactorsTransport_Data(), Table_Fuel_EFs_Transport[[#Headers],[Transport type]], 0)</f>
        <v>7.0000000000000007E-2</v>
      </c>
      <c r="J25" s="242" cm="1">
        <f t="array" ref="J25">Common_InputFunctions.Utility_DisplayArrayInTable(Fuel_SourceData.Fuel_Scope1Scope3EmissionFactorsTransport_Data(), Table_Fuel_EFs_Transport[[#Headers],[Transport type]], 0)</f>
        <v>0.4</v>
      </c>
      <c r="K25" s="242" cm="1">
        <f t="array" ref="K25">Common_InputFunctions.Utility_DisplayArrayInTable(Fuel_SourceData.Fuel_Scope1Scope3EmissionFactorsTransport_Data(), Table_Fuel_EFs_Transport[[#Headers],[Transport type]], 0)</f>
        <v>0.47</v>
      </c>
      <c r="L25" s="242"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HYPERLINK("#'Input - Data quality'!A1", "Data quality")</f>
        <v>Data quality</v>
      </c>
      <c r="D26" s="242" t="str" cm="1">
        <f t="array" ref="D26">Common_InputFunctions.Utility_DisplayArrayInTable(Fuel_SourceData.Fuel_Scope1Scope3EmissionFactorsTransport_Data(), Table_Fuel_EFs_Transport[[#Headers],[Transport type]], 0)</f>
        <v>Heavy duty vehicles</v>
      </c>
      <c r="E26" s="242" t="str" cm="1">
        <f t="array" ref="E26">Common_InputFunctions.Utility_DisplayArrayInTable(Fuel_SourceData.Fuel_Scope1Scope3EmissionFactorsTransport_Data(), Table_Fuel_EFs_Transport[[#Headers],[Transport type]], 0)</f>
        <v>Renewable diesel – Euro iii</v>
      </c>
      <c r="F26" s="242" cm="1">
        <f t="array" ref="F26">Common_InputFunctions.Utility_DisplayArrayInTable(Fuel_SourceData.Fuel_Scope1Scope3EmissionFactorsTransport_Data(), Table_Fuel_EFs_Transport[[#Headers],[Transport type]], 0)</f>
        <v>38.6</v>
      </c>
      <c r="G26" s="242" t="str" cm="1">
        <f t="array" ref="G26">Common_InputFunctions.Utility_DisplayArrayInTable(Fuel_SourceData.Fuel_Scope1Scope3EmissionFactorsTransport_Data(), Table_Fuel_EFs_Transport[[#Headers],[Transport type]], 0)</f>
        <v>kl</v>
      </c>
      <c r="H26" s="242" cm="1">
        <f t="array" ref="H26">Common_InputFunctions.Utility_DisplayArrayInTable(Fuel_SourceData.Fuel_Scope1Scope3EmissionFactorsTransport_Data(), Table_Fuel_EFs_Transport[[#Headers],[Transport type]], 0)</f>
        <v>0</v>
      </c>
      <c r="I26" s="242" cm="1">
        <f t="array" ref="I26">Common_InputFunctions.Utility_DisplayArrayInTable(Fuel_SourceData.Fuel_Scope1Scope3EmissionFactorsTransport_Data(), Table_Fuel_EFs_Transport[[#Headers],[Transport type]], 0)</f>
        <v>0.1</v>
      </c>
      <c r="J26" s="242" cm="1">
        <f t="array" ref="J26">Common_InputFunctions.Utility_DisplayArrayInTable(Fuel_SourceData.Fuel_Scope1Scope3EmissionFactorsTransport_Data(), Table_Fuel_EFs_Transport[[#Headers],[Transport type]], 0)</f>
        <v>0.4</v>
      </c>
      <c r="K26" s="242" cm="1">
        <f t="array" ref="K26">Common_InputFunctions.Utility_DisplayArrayInTable(Fuel_SourceData.Fuel_Scope1Scope3EmissionFactorsTransport_Data(), Table_Fuel_EFs_Transport[[#Headers],[Transport type]], 0)</f>
        <v>0.5</v>
      </c>
      <c r="L26" s="242" t="str" cm="1">
        <f t="array" ref="L26">Common_InputFunctions.Utility_DisplayArrayInTable(Fuel_SourceData.Fuel_Scope1Scope3EmissionFactorsTransport_Data(), Table_Fuel_EFs_Transport[[#Headers],[Transport type]], 0)</f>
        <v>NE</v>
      </c>
    </row>
    <row r="27" spans="1:12" ht="20.100000000000001" customHeight="1" x14ac:dyDescent="0.25">
      <c r="D27" s="242" t="str" cm="1">
        <f t="array" ref="D27">Common_InputFunctions.Utility_DisplayArrayInTable(Fuel_SourceData.Fuel_Scope1Scope3EmissionFactorsTransport_Data(), Table_Fuel_EFs_Transport[[#Headers],[Transport type]], 0)</f>
        <v>Heavy duty vehicles</v>
      </c>
      <c r="E27" s="242" t="str" cm="1">
        <f t="array" ref="E27">Common_InputFunctions.Utility_DisplayArrayInTable(Fuel_SourceData.Fuel_Scope1Scope3EmissionFactorsTransport_Data(), Table_Fuel_EFs_Transport[[#Headers],[Transport type]], 0)</f>
        <v>Renewable diesel – Euro i</v>
      </c>
      <c r="F27" s="242" cm="1">
        <f t="array" ref="F27">Common_InputFunctions.Utility_DisplayArrayInTable(Fuel_SourceData.Fuel_Scope1Scope3EmissionFactorsTransport_Data(), Table_Fuel_EFs_Transport[[#Headers],[Transport type]], 0)</f>
        <v>38.6</v>
      </c>
      <c r="G27" s="242" t="str" cm="1">
        <f t="array" ref="G27">Common_InputFunctions.Utility_DisplayArrayInTable(Fuel_SourceData.Fuel_Scope1Scope3EmissionFactorsTransport_Data(), Table_Fuel_EFs_Transport[[#Headers],[Transport type]], 0)</f>
        <v>kl</v>
      </c>
      <c r="H27" s="242" cm="1">
        <f t="array" ref="H27">Common_InputFunctions.Utility_DisplayArrayInTable(Fuel_SourceData.Fuel_Scope1Scope3EmissionFactorsTransport_Data(), Table_Fuel_EFs_Transport[[#Headers],[Transport type]], 0)</f>
        <v>0</v>
      </c>
      <c r="I27" s="242" cm="1">
        <f t="array" ref="I27">Common_InputFunctions.Utility_DisplayArrayInTable(Fuel_SourceData.Fuel_Scope1Scope3EmissionFactorsTransport_Data(), Table_Fuel_EFs_Transport[[#Headers],[Transport type]], 0)</f>
        <v>0.2</v>
      </c>
      <c r="J27" s="242" cm="1">
        <f t="array" ref="J27">Common_InputFunctions.Utility_DisplayArrayInTable(Fuel_SourceData.Fuel_Scope1Scope3EmissionFactorsTransport_Data(), Table_Fuel_EFs_Transport[[#Headers],[Transport type]], 0)</f>
        <v>0.4</v>
      </c>
      <c r="K27" s="242" cm="1">
        <f t="array" ref="K27">Common_InputFunctions.Utility_DisplayArrayInTable(Fuel_SourceData.Fuel_Scope1Scope3EmissionFactorsTransport_Data(), Table_Fuel_EFs_Transport[[#Headers],[Transport type]], 0)</f>
        <v>0.6</v>
      </c>
      <c r="L27" s="242" t="str" cm="1">
        <f t="array" ref="L27">Common_InputFunctions.Utility_DisplayArrayInTable(Fuel_SourceData.Fuel_Scope1Scope3EmissionFactorsTransport_Data(), Table_Fuel_EFs_Transport[[#Headers],[Transport type]], 0)</f>
        <v>NE</v>
      </c>
    </row>
    <row r="28" spans="1:12" ht="20.100000000000001" customHeight="1" x14ac:dyDescent="0.25">
      <c r="D28" s="242" t="str" cm="1">
        <f t="array" ref="D28">Common_InputFunctions.Utility_DisplayArrayInTable(Fuel_SourceData.Fuel_Scope1Scope3EmissionFactorsTransport_Data(), Table_Fuel_EFs_Transport[[#Headers],[Transport type]], 0)</f>
        <v>Aviation</v>
      </c>
      <c r="E28" s="242" t="str" cm="1">
        <f t="array" ref="E28">Common_InputFunctions.Utility_DisplayArrayInTable(Fuel_SourceData.Fuel_Scope1Scope3EmissionFactorsTransport_Data(), Table_Fuel_EFs_Transport[[#Headers],[Transport type]], 0)</f>
        <v>Gasoline for use as fuel in an aircraft</v>
      </c>
      <c r="F28" s="242" cm="1">
        <f t="array" ref="F28">Common_InputFunctions.Utility_DisplayArrayInTable(Fuel_SourceData.Fuel_Scope1Scope3EmissionFactorsTransport_Data(), Table_Fuel_EFs_Transport[[#Headers],[Transport type]], 0)</f>
        <v>33.1</v>
      </c>
      <c r="G28" s="242" t="str" cm="1">
        <f t="array" ref="G28">Common_InputFunctions.Utility_DisplayArrayInTable(Fuel_SourceData.Fuel_Scope1Scope3EmissionFactorsTransport_Data(), Table_Fuel_EFs_Transport[[#Headers],[Transport type]], 0)</f>
        <v>kl</v>
      </c>
      <c r="H28" s="242" cm="1">
        <f t="array" ref="H28">Common_InputFunctions.Utility_DisplayArrayInTable(Fuel_SourceData.Fuel_Scope1Scope3EmissionFactorsTransport_Data(), Table_Fuel_EFs_Transport[[#Headers],[Transport type]], 0)</f>
        <v>67</v>
      </c>
      <c r="I28" s="242" cm="1">
        <f t="array" ref="I28">Common_InputFunctions.Utility_DisplayArrayInTable(Fuel_SourceData.Fuel_Scope1Scope3EmissionFactorsTransport_Data(), Table_Fuel_EFs_Transport[[#Headers],[Transport type]], 0)</f>
        <v>0.06</v>
      </c>
      <c r="J28" s="242" cm="1">
        <f t="array" ref="J28">Common_InputFunctions.Utility_DisplayArrayInTable(Fuel_SourceData.Fuel_Scope1Scope3EmissionFactorsTransport_Data(), Table_Fuel_EFs_Transport[[#Headers],[Transport type]], 0)</f>
        <v>0.6</v>
      </c>
      <c r="K28" s="242" cm="1">
        <f t="array" ref="K28">Common_InputFunctions.Utility_DisplayArrayInTable(Fuel_SourceData.Fuel_Scope1Scope3EmissionFactorsTransport_Data(), Table_Fuel_EFs_Transport[[#Headers],[Transport type]], 0)</f>
        <v>67.66</v>
      </c>
      <c r="L28" s="242" cm="1">
        <f t="array" ref="L28">Common_InputFunctions.Utility_DisplayArrayInTable(Fuel_SourceData.Fuel_Scope1Scope3EmissionFactorsTransport_Data(), Table_Fuel_EFs_Transport[[#Headers],[Transport type]], 0)</f>
        <v>18</v>
      </c>
    </row>
    <row r="29" spans="1:12" ht="20.100000000000001" customHeight="1" x14ac:dyDescent="0.25">
      <c r="A29" s="6" t="s">
        <v>2</v>
      </c>
      <c r="D29" s="242" t="str" cm="1">
        <f t="array" ref="D29">Common_InputFunctions.Utility_DisplayArrayInTable(Fuel_SourceData.Fuel_Scope1Scope3EmissionFactorsTransport_Data(), Table_Fuel_EFs_Transport[[#Headers],[Transport type]], 0)</f>
        <v>Aviation</v>
      </c>
      <c r="E29" s="242" t="str" cm="1">
        <f t="array" ref="E29">Common_InputFunctions.Utility_DisplayArrayInTable(Fuel_SourceData.Fuel_Scope1Scope3EmissionFactorsTransport_Data(), Table_Fuel_EFs_Transport[[#Headers],[Transport type]], 0)</f>
        <v>Kerosene for use as fuel in an aircraft</v>
      </c>
      <c r="F29" s="242" cm="1">
        <f t="array" ref="F29">Common_InputFunctions.Utility_DisplayArrayInTable(Fuel_SourceData.Fuel_Scope1Scope3EmissionFactorsTransport_Data(), Table_Fuel_EFs_Transport[[#Headers],[Transport type]], 0)</f>
        <v>36.799999999999997</v>
      </c>
      <c r="G29" s="242" t="str" cm="1">
        <f t="array" ref="G29">Common_InputFunctions.Utility_DisplayArrayInTable(Fuel_SourceData.Fuel_Scope1Scope3EmissionFactorsTransport_Data(), Table_Fuel_EFs_Transport[[#Headers],[Transport type]], 0)</f>
        <v>kl</v>
      </c>
      <c r="H29" s="242" cm="1">
        <f t="array" ref="H29">Common_InputFunctions.Utility_DisplayArrayInTable(Fuel_SourceData.Fuel_Scope1Scope3EmissionFactorsTransport_Data(), Table_Fuel_EFs_Transport[[#Headers],[Transport type]], 0)</f>
        <v>69.599999999999994</v>
      </c>
      <c r="I29" s="242" cm="1">
        <f t="array" ref="I29">Common_InputFunctions.Utility_DisplayArrayInTable(Fuel_SourceData.Fuel_Scope1Scope3EmissionFactorsTransport_Data(), Table_Fuel_EFs_Transport[[#Headers],[Transport type]], 0)</f>
        <v>0.01</v>
      </c>
      <c r="J29" s="242" cm="1">
        <f t="array" ref="J29">Common_InputFunctions.Utility_DisplayArrayInTable(Fuel_SourceData.Fuel_Scope1Scope3EmissionFactorsTransport_Data(), Table_Fuel_EFs_Transport[[#Headers],[Transport type]], 0)</f>
        <v>0.6</v>
      </c>
      <c r="K29" s="242" cm="1">
        <f t="array" ref="K29">Common_InputFunctions.Utility_DisplayArrayInTable(Fuel_SourceData.Fuel_Scope1Scope3EmissionFactorsTransport_Data(), Table_Fuel_EFs_Transport[[#Headers],[Transport type]], 0)</f>
        <v>70.209999999999994</v>
      </c>
      <c r="L29" s="242"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HYPERLINK("#'5.1.1.1-2 Inorganic fert N2O'!A1", "5.1.1.1-2 Inorganic fert N2O")</f>
        <v>5.1.1.1-2 Inorganic fert N2O</v>
      </c>
      <c r="D30" s="242" t="str" cm="1">
        <f t="array" ref="D30">Common_InputFunctions.Utility_DisplayArrayInTable(Fuel_SourceData.Fuel_Scope1Scope3EmissionFactorsTransport_Data(), Table_Fuel_EFs_Transport[[#Headers],[Transport type]], 0)</f>
        <v>Aviation</v>
      </c>
      <c r="E30" s="242" t="str" cm="1">
        <f t="array" ref="E30">Common_InputFunctions.Utility_DisplayArrayInTable(Fuel_SourceData.Fuel_Scope1Scope3EmissionFactorsTransport_Data(), Table_Fuel_EFs_Transport[[#Headers],[Transport type]], 0)</f>
        <v>Renewable aviation kerosene</v>
      </c>
      <c r="F30" s="242" cm="1">
        <f t="array" ref="F30">Common_InputFunctions.Utility_DisplayArrayInTable(Fuel_SourceData.Fuel_Scope1Scope3EmissionFactorsTransport_Data(), Table_Fuel_EFs_Transport[[#Headers],[Transport type]], 0)</f>
        <v>36.799999999999997</v>
      </c>
      <c r="G30" s="242" t="str" cm="1">
        <f t="array" ref="G30">Common_InputFunctions.Utility_DisplayArrayInTable(Fuel_SourceData.Fuel_Scope1Scope3EmissionFactorsTransport_Data(), Table_Fuel_EFs_Transport[[#Headers],[Transport type]], 0)</f>
        <v>kl</v>
      </c>
      <c r="H30" s="242" cm="1">
        <f t="array" ref="H30">Common_InputFunctions.Utility_DisplayArrayInTable(Fuel_SourceData.Fuel_Scope1Scope3EmissionFactorsTransport_Data(), Table_Fuel_EFs_Transport[[#Headers],[Transport type]], 0)</f>
        <v>0</v>
      </c>
      <c r="I30" s="242" cm="1">
        <f t="array" ref="I30">Common_InputFunctions.Utility_DisplayArrayInTable(Fuel_SourceData.Fuel_Scope1Scope3EmissionFactorsTransport_Data(), Table_Fuel_EFs_Transport[[#Headers],[Transport type]], 0)</f>
        <v>0.01</v>
      </c>
      <c r="J30" s="242" cm="1">
        <f t="array" ref="J30">Common_InputFunctions.Utility_DisplayArrayInTable(Fuel_SourceData.Fuel_Scope1Scope3EmissionFactorsTransport_Data(), Table_Fuel_EFs_Transport[[#Headers],[Transport type]], 0)</f>
        <v>0.6</v>
      </c>
      <c r="K30" s="242" cm="1">
        <f t="array" ref="K30">Common_InputFunctions.Utility_DisplayArrayInTable(Fuel_SourceData.Fuel_Scope1Scope3EmissionFactorsTransport_Data(), Table_Fuel_EFs_Transport[[#Headers],[Transport type]], 0)</f>
        <v>0.61</v>
      </c>
      <c r="L30" s="242"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HYPERLINK("#'5.1.1.3-4 Inorganic fert CO2'!A1", "5.1.1.3-4 Inorganic fert CO2")</f>
        <v>5.1.1.3-4 Inorganic fert CO2</v>
      </c>
      <c r="D31" s="242" t="str" cm="1">
        <f t="array" ref="D31">Common_InputFunctions.Utility_DisplayArrayInTable(Fuel_SourceData.Fuel_Scope1Scope3EmissionFactorsTransport_Data(), Table_Fuel_EFs_Transport[[#Headers],[Transport type]], 0)</f>
        <v>Vessels</v>
      </c>
      <c r="E31" s="242" t="str" cm="1">
        <f t="array" ref="E31">Common_InputFunctions.Utility_DisplayArrayInTable(Fuel_SourceData.Fuel_Scope1Scope3EmissionFactorsTransport_Data(), Table_Fuel_EFs_Transport[[#Headers],[Transport type]], 0)</f>
        <v>Gasoline</v>
      </c>
      <c r="F31" s="242" cm="1">
        <f t="array" ref="F31">Common_InputFunctions.Utility_DisplayArrayInTable(Fuel_SourceData.Fuel_Scope1Scope3EmissionFactorsTransport_Data(), Table_Fuel_EFs_Transport[[#Headers],[Transport type]], 0)</f>
        <v>34.200000000000003</v>
      </c>
      <c r="G31" s="242" t="str" cm="1">
        <f t="array" ref="G31">Common_InputFunctions.Utility_DisplayArrayInTable(Fuel_SourceData.Fuel_Scope1Scope3EmissionFactorsTransport_Data(), Table_Fuel_EFs_Transport[[#Headers],[Transport type]], 0)</f>
        <v>kL</v>
      </c>
      <c r="H31" s="242" cm="1">
        <f t="array" ref="H31">Common_InputFunctions.Utility_DisplayArrayInTable(Fuel_SourceData.Fuel_Scope1Scope3EmissionFactorsTransport_Data(), Table_Fuel_EFs_Transport[[#Headers],[Transport type]], 0)</f>
        <v>67.400000000000006</v>
      </c>
      <c r="I31" s="242" cm="1">
        <f t="array" ref="I31">Common_InputFunctions.Utility_DisplayArrayInTable(Fuel_SourceData.Fuel_Scope1Scope3EmissionFactorsTransport_Data(), Table_Fuel_EFs_Transport[[#Headers],[Transport type]], 0)</f>
        <v>10.1</v>
      </c>
      <c r="J31" s="242" cm="1">
        <f t="array" ref="J31">Common_InputFunctions.Utility_DisplayArrayInTable(Fuel_SourceData.Fuel_Scope1Scope3EmissionFactorsTransport_Data(), Table_Fuel_EFs_Transport[[#Headers],[Transport type]], 0)</f>
        <v>0.3</v>
      </c>
      <c r="K31" s="242" t="str" cm="1">
        <f t="array" ref="K31">Common_InputFunctions.Utility_DisplayArrayInTable(Fuel_SourceData.Fuel_Scope1Scope3EmissionFactorsTransport_Data(), Table_Fuel_EFs_Transport[[#Headers],[Transport type]], 0)</f>
        <v/>
      </c>
      <c r="L31" s="242"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HYPERLINK("#'5.2.1.1-2 Organic Fert N2O'!A1", "5.2.1.1-2 Organic fert N2O")</f>
        <v>5.2.1.1-2 Organic fert N2O</v>
      </c>
      <c r="D32" s="243" t="str" cm="1">
        <f t="array" ref="D32">Common_InputFunctions.Utility_DisplayArrayInTable(Fuel_SourceData.Fuel_Scope1Scope3EmissionFactorsTransport_Data(), Table_Fuel_EFs_Transport[[#Headers],[Transport type]], 0)</f>
        <v>Vessels</v>
      </c>
      <c r="E32" s="243" t="str" cm="1">
        <f t="array" ref="E32">Common_InputFunctions.Utility_DisplayArrayInTable(Fuel_SourceData.Fuel_Scope1Scope3EmissionFactorsTransport_Data(), Table_Fuel_EFs_Transport[[#Headers],[Transport type]], 0)</f>
        <v>Diesel oil</v>
      </c>
      <c r="F32" s="243" cm="1">
        <f t="array" ref="F32">Common_InputFunctions.Utility_DisplayArrayInTable(Fuel_SourceData.Fuel_Scope1Scope3EmissionFactorsTransport_Data(), Table_Fuel_EFs_Transport[[#Headers],[Transport type]], 0)</f>
        <v>38.6</v>
      </c>
      <c r="G32" s="243" t="str" cm="1">
        <f t="array" ref="G32">Common_InputFunctions.Utility_DisplayArrayInTable(Fuel_SourceData.Fuel_Scope1Scope3EmissionFactorsTransport_Data(), Table_Fuel_EFs_Transport[[#Headers],[Transport type]], 0)</f>
        <v>kL</v>
      </c>
      <c r="H32" s="243" cm="1">
        <f t="array" ref="H32">Common_InputFunctions.Utility_DisplayArrayInTable(Fuel_SourceData.Fuel_Scope1Scope3EmissionFactorsTransport_Data(), Table_Fuel_EFs_Transport[[#Headers],[Transport type]], 0)</f>
        <v>69.900000000000006</v>
      </c>
      <c r="I32" s="243" cm="1">
        <f t="array" ref="I32">Common_InputFunctions.Utility_DisplayArrayInTable(Fuel_SourceData.Fuel_Scope1Scope3EmissionFactorsTransport_Data(), Table_Fuel_EFs_Transport[[#Headers],[Transport type]], 0)</f>
        <v>0.2</v>
      </c>
      <c r="J32" s="243" cm="1">
        <f t="array" ref="J32">Common_InputFunctions.Utility_DisplayArrayInTable(Fuel_SourceData.Fuel_Scope1Scope3EmissionFactorsTransport_Data(), Table_Fuel_EFs_Transport[[#Headers],[Transport type]], 0)</f>
        <v>0.5</v>
      </c>
      <c r="K32" s="243" t="str" cm="1">
        <f t="array" ref="K32">Common_InputFunctions.Utility_DisplayArrayInTable(Fuel_SourceData.Fuel_Scope1Scope3EmissionFactorsTransport_Data(), Table_Fuel_EFs_Transport[[#Headers],[Transport type]], 0)</f>
        <v/>
      </c>
      <c r="L32" s="243"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HYPERLINK("#'5.3.1.1-2 Lime CO2'!A1", "5.3.1.1-2 Lime CO2")</f>
        <v>5.3.1.1-2 Lime CO2</v>
      </c>
      <c r="D33" s="243" t="str" cm="1">
        <f t="array" ref="D33">Common_InputFunctions.Utility_DisplayArrayInTable(Fuel_SourceData.Fuel_Scope1Scope3EmissionFactorsTransport_Data(), Table_Fuel_EFs_Transport[[#Headers],[Transport type]], 0)</f>
        <v>Vessels</v>
      </c>
      <c r="E33" s="243" t="str" cm="1">
        <f t="array" ref="E33">Common_InputFunctions.Utility_DisplayArrayInTable(Fuel_SourceData.Fuel_Scope1Scope3EmissionFactorsTransport_Data(), Table_Fuel_EFs_Transport[[#Headers],[Transport type]], 0)</f>
        <v>Fuel Oil</v>
      </c>
      <c r="F33" s="243" cm="1">
        <f t="array" ref="F33">Common_InputFunctions.Utility_DisplayArrayInTable(Fuel_SourceData.Fuel_Scope1Scope3EmissionFactorsTransport_Data(), Table_Fuel_EFs_Transport[[#Headers],[Transport type]], 0)</f>
        <v>39.700000000000003</v>
      </c>
      <c r="G33" s="243" t="str" cm="1">
        <f t="array" ref="G33">Common_InputFunctions.Utility_DisplayArrayInTable(Fuel_SourceData.Fuel_Scope1Scope3EmissionFactorsTransport_Data(), Table_Fuel_EFs_Transport[[#Headers],[Transport type]], 0)</f>
        <v>kL</v>
      </c>
      <c r="H33" s="243" cm="1">
        <f t="array" ref="H33">Common_InputFunctions.Utility_DisplayArrayInTable(Fuel_SourceData.Fuel_Scope1Scope3EmissionFactorsTransport_Data(), Table_Fuel_EFs_Transport[[#Headers],[Transport type]], 0)</f>
        <v>73.599999999999994</v>
      </c>
      <c r="I33" s="243" cm="1">
        <f t="array" ref="I33">Common_InputFunctions.Utility_DisplayArrayInTable(Fuel_SourceData.Fuel_Scope1Scope3EmissionFactorsTransport_Data(), Table_Fuel_EFs_Transport[[#Headers],[Transport type]], 0)</f>
        <v>0.2</v>
      </c>
      <c r="J33" s="243" cm="1">
        <f t="array" ref="J33">Common_InputFunctions.Utility_DisplayArrayInTable(Fuel_SourceData.Fuel_Scope1Scope3EmissionFactorsTransport_Data(), Table_Fuel_EFs_Transport[[#Headers],[Transport type]], 0)</f>
        <v>0.5</v>
      </c>
      <c r="K33" s="243" t="str" cm="1">
        <f t="array" ref="K33">Common_InputFunctions.Utility_DisplayArrayInTable(Fuel_SourceData.Fuel_Scope1Scope3EmissionFactorsTransport_Data(), Table_Fuel_EFs_Transport[[#Headers],[Transport type]], 0)</f>
        <v/>
      </c>
      <c r="L33" s="243"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HYPERLINK("#'5.4.1.1-4 Atmos deposition'!A1", "5.4.1.1-4 Atmos. deposition")</f>
        <v>5.4.1.1-4 Atmos. deposition</v>
      </c>
      <c r="D34" s="243" t="str" cm="1">
        <f t="array" ref="D34">Common_InputFunctions.Utility_DisplayArrayInTable(Fuel_SourceData.Fuel_Scope1Scope3EmissionFactorsTransport_Data(), Table_Fuel_EFs_Transport[[#Headers],[Transport type]], 0)</f>
        <v>Off-road Agriculture and forestry equipment</v>
      </c>
      <c r="E34" s="243" t="str" cm="1">
        <f t="array" ref="E34">Common_InputFunctions.Utility_DisplayArrayInTable(Fuel_SourceData.Fuel_Scope1Scope3EmissionFactorsTransport_Data(), Table_Fuel_EFs_Transport[[#Headers],[Transport type]], 0)</f>
        <v>Diesel oil</v>
      </c>
      <c r="F34" s="243" cm="1">
        <f t="array" ref="F34">Common_InputFunctions.Utility_DisplayArrayInTable(Fuel_SourceData.Fuel_Scope1Scope3EmissionFactorsTransport_Data(), Table_Fuel_EFs_Transport[[#Headers],[Transport type]], 0)</f>
        <v>38.6</v>
      </c>
      <c r="G34" s="243" t="str" cm="1">
        <f t="array" ref="G34">Common_InputFunctions.Utility_DisplayArrayInTable(Fuel_SourceData.Fuel_Scope1Scope3EmissionFactorsTransport_Data(), Table_Fuel_EFs_Transport[[#Headers],[Transport type]], 0)</f>
        <v>kL</v>
      </c>
      <c r="H34" s="243" cm="1">
        <f t="array" ref="H34">Common_InputFunctions.Utility_DisplayArrayInTable(Fuel_SourceData.Fuel_Scope1Scope3EmissionFactorsTransport_Data(), Table_Fuel_EFs_Transport[[#Headers],[Transport type]], 0)</f>
        <v>69.900000000000006</v>
      </c>
      <c r="I34" s="243" cm="1">
        <f t="array" ref="I34">Common_InputFunctions.Utility_DisplayArrayInTable(Fuel_SourceData.Fuel_Scope1Scope3EmissionFactorsTransport_Data(), Table_Fuel_EFs_Transport[[#Headers],[Transport type]], 0)</f>
        <v>0.3</v>
      </c>
      <c r="J34" s="243" cm="1">
        <f t="array" ref="J34">Common_InputFunctions.Utility_DisplayArrayInTable(Fuel_SourceData.Fuel_Scope1Scope3EmissionFactorsTransport_Data(), Table_Fuel_EFs_Transport[[#Headers],[Transport type]], 0)</f>
        <v>0.5</v>
      </c>
      <c r="K34" s="243" t="str" cm="1">
        <f t="array" ref="K34">Common_InputFunctions.Utility_DisplayArrayInTable(Fuel_SourceData.Fuel_Scope1Scope3EmissionFactorsTransport_Data(), Table_Fuel_EFs_Transport[[#Headers],[Transport type]], 0)</f>
        <v/>
      </c>
      <c r="L34" s="243"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row>
    <row r="37" spans="1:12" ht="20.100000000000001" customHeight="1" x14ac:dyDescent="0.25">
      <c r="A37" s="5" t="str">
        <f>HYPERLINK("#'6.3.1.1-2 Leach runoff pasture'!A1", "6.3.1.1-2 Leach &amp; runoff (pasture)")</f>
        <v>6.3.1.1-2 Leach &amp; runoff (pasture)</v>
      </c>
      <c r="D37" s="2" t="str" cm="1">
        <f t="array" ref="D37">Fuel_SourceData.Fuel_Scope1Scope3EmissionFactorsTransportOffRoad_Title()</f>
        <v>Fuel scope 1 and 3 emission factors - Off-road equipment and vessels</v>
      </c>
    </row>
    <row r="38" spans="1:12" ht="20.100000000000001" customHeight="1" x14ac:dyDescent="0.25">
      <c r="A38" s="5" t="str">
        <f>HYPERLINK("#'8.1.1.1-2 Transport fuel'!A1", "8.1.1.1-2 Transport fuel")</f>
        <v>8.1.1.1-2 Transport fuel</v>
      </c>
      <c r="D38" s="27" t="str" cm="1">
        <f t="array" ref="D38">Fuel_SourceData.Fuel_Scope1Scope3EmissionFactorsTransportOffRoad_Source()</f>
        <v>VEERG 2026: Table A.4.2.1</v>
      </c>
    </row>
    <row r="39" spans="1:12" ht="20.100000000000001" customHeight="1" x14ac:dyDescent="0.25">
      <c r="A39" s="5" t="str">
        <f>HYPERLINK("#'8.2.1.1-2 Stationary fuel'!A1", "8.2.1.1-2 Stationary fuel")</f>
        <v>8.2.1.1-2 Stationary fuel</v>
      </c>
      <c r="D39" s="29" t="s">
        <v>845</v>
      </c>
      <c r="E39" s="29" t="s">
        <v>846</v>
      </c>
      <c r="F39" s="29" t="s">
        <v>847</v>
      </c>
      <c r="G39" s="29" t="s">
        <v>848</v>
      </c>
      <c r="H39" s="29" t="s">
        <v>849</v>
      </c>
      <c r="I39" s="29" t="s">
        <v>850</v>
      </c>
      <c r="J39" s="29" t="s">
        <v>851</v>
      </c>
    </row>
    <row r="40" spans="1:12" ht="20.100000000000001" customHeight="1" x14ac:dyDescent="0.25">
      <c r="A40" s="5" t="str">
        <f>HYPERLINK("#'14.1.1-2 Purchased electricity'!A1", "14.1.1-2 Purchased electricity")</f>
        <v>14.1.1-2 Purchased electricity</v>
      </c>
      <c r="D40" s="29" t="str" cm="1">
        <f t="array" ref="D40">Common_InputFunctions.Utility_DisplayArrayInTable(Fuel_SourceData.Fuel_Scope1Scope3EmissionFactorsTransportOffRoad_Data(), Table_SourceData_Fuel_TransportOffroad[[#Headers],[Transport type t]],0)</f>
        <v>Vessel</v>
      </c>
      <c r="E40" s="29" t="str" cm="1">
        <f t="array" ref="E40">Common_InputFunctions.Utility_DisplayArrayInTable(Fuel_SourceData.Fuel_Scope1Scope3EmissionFactorsTransportOffRoad_Data(), Table_SourceData_Fuel_TransportOffroad[[#Headers],[Transport type t]],0)</f>
        <v>Petrol</v>
      </c>
      <c r="F40" s="29" cm="1">
        <f t="array" ref="F40">Common_InputFunctions.Utility_DisplayArrayInTable(Fuel_SourceData.Fuel_Scope1Scope3EmissionFactorsTransportOffRoad_Data(), Table_SourceData_Fuel_TransportOffroad[[#Headers],[Transport type t]],0)</f>
        <v>34.200000000000003</v>
      </c>
      <c r="G40" s="29" cm="1">
        <f t="array" ref="G40">Common_InputFunctions.Utility_DisplayArrayInTable(Fuel_SourceData.Fuel_Scope1Scope3EmissionFactorsTransportOffRoad_Data(), Table_SourceData_Fuel_TransportOffroad[[#Headers],[Transport type t]],0)</f>
        <v>67.400000000000006</v>
      </c>
      <c r="H40" s="29" cm="1">
        <f t="array" ref="H40">Common_InputFunctions.Utility_DisplayArrayInTable(Fuel_SourceData.Fuel_Scope1Scope3EmissionFactorsTransportOffRoad_Data(), Table_SourceData_Fuel_TransportOffroad[[#Headers],[Transport type t]],0)</f>
        <v>10.1</v>
      </c>
      <c r="I40" s="29" cm="1">
        <f t="array" ref="I40">Common_InputFunctions.Utility_DisplayArrayInTable(Fuel_SourceData.Fuel_Scope1Scope3EmissionFactorsTransportOffRoad_Data(), Table_SourceData_Fuel_TransportOffroad[[#Headers],[Transport type t]],0)</f>
        <v>0.3</v>
      </c>
      <c r="J40" s="2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HYPERLINK("#'15 Scope 3'!A1", "15 Scope 3")</f>
        <v>15 Scope 3</v>
      </c>
      <c r="D41" s="1" t="str" cm="1">
        <f t="array" ref="D41">Common_InputFunctions.Utility_DisplayArrayInTable(Fuel_SourceData.Fuel_Scope1Scope3EmissionFactorsTransportOffRoad_Data(), Table_SourceData_Fuel_TransportOffroad[[#Headers],[Transport type t]],0)</f>
        <v>Vessel</v>
      </c>
      <c r="E41" s="29" t="str" cm="1">
        <f t="array" ref="E41">Common_InputFunctions.Utility_DisplayArrayInTable(Fuel_SourceData.Fuel_Scope1Scope3EmissionFactorsTransportOffRoad_Data(), Table_SourceData_Fuel_TransportOffroad[[#Headers],[Transport type t]],0)</f>
        <v>Diesel</v>
      </c>
      <c r="F41" s="29" cm="1">
        <f t="array" ref="F41">Common_InputFunctions.Utility_DisplayArrayInTable(Fuel_SourceData.Fuel_Scope1Scope3EmissionFactorsTransportOffRoad_Data(), Table_SourceData_Fuel_TransportOffroad[[#Headers],[Transport type t]],0)</f>
        <v>38.6</v>
      </c>
      <c r="G41" s="29" cm="1">
        <f t="array" ref="G41">Common_InputFunctions.Utility_DisplayArrayInTable(Fuel_SourceData.Fuel_Scope1Scope3EmissionFactorsTransportOffRoad_Data(), Table_SourceData_Fuel_TransportOffroad[[#Headers],[Transport type t]],0)</f>
        <v>69.900000000000006</v>
      </c>
      <c r="H41" s="29" cm="1">
        <f t="array" ref="H41">Common_InputFunctions.Utility_DisplayArrayInTable(Fuel_SourceData.Fuel_Scope1Scope3EmissionFactorsTransportOffRoad_Data(), Table_SourceData_Fuel_TransportOffroad[[#Headers],[Transport type t]],0)</f>
        <v>0.2</v>
      </c>
      <c r="I41" s="29" cm="1">
        <f t="array" ref="I41">Common_InputFunctions.Utility_DisplayArrayInTable(Fuel_SourceData.Fuel_Scope1Scope3EmissionFactorsTransportOffRoad_Data(), Table_SourceData_Fuel_TransportOffroad[[#Headers],[Transport type t]],0)</f>
        <v>0.5</v>
      </c>
      <c r="J41" s="2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HYPERLINK("#'Calcs - Manure sent off-site'!A1", "Calcs - Manure sent off-site")</f>
        <v>Calcs - Manure sent off-site</v>
      </c>
      <c r="D42" s="1" t="str" cm="1">
        <f t="array" ref="D42">Common_InputFunctions.Utility_DisplayArrayInTable(Fuel_SourceData.Fuel_Scope1Scope3EmissionFactorsTransportOffRoad_Data(), Table_SourceData_Fuel_TransportOffroad[[#Headers],[Transport type t]],0)</f>
        <v>Vessel</v>
      </c>
      <c r="E42" s="29" t="str" cm="1">
        <f t="array" ref="E42">Common_InputFunctions.Utility_DisplayArrayInTable(Fuel_SourceData.Fuel_Scope1Scope3EmissionFactorsTransportOffRoad_Data(), Table_SourceData_Fuel_TransportOffroad[[#Headers],[Transport type t]],0)</f>
        <v>Fuel Oil</v>
      </c>
      <c r="F42" s="29" cm="1">
        <f t="array" ref="F42">Common_InputFunctions.Utility_DisplayArrayInTable(Fuel_SourceData.Fuel_Scope1Scope3EmissionFactorsTransportOffRoad_Data(), Table_SourceData_Fuel_TransportOffroad[[#Headers],[Transport type t]],0)</f>
        <v>39.700000000000003</v>
      </c>
      <c r="G42" s="29" cm="1">
        <f t="array" ref="G42">Common_InputFunctions.Utility_DisplayArrayInTable(Fuel_SourceData.Fuel_Scope1Scope3EmissionFactorsTransportOffRoad_Data(), Table_SourceData_Fuel_TransportOffroad[[#Headers],[Transport type t]],0)</f>
        <v>73.599999999999994</v>
      </c>
      <c r="H42" s="29" cm="1">
        <f t="array" ref="H42">Common_InputFunctions.Utility_DisplayArrayInTable(Fuel_SourceData.Fuel_Scope1Scope3EmissionFactorsTransportOffRoad_Data(), Table_SourceData_Fuel_TransportOffroad[[#Headers],[Transport type t]],0)</f>
        <v>0.2</v>
      </c>
      <c r="I42" s="29" cm="1">
        <f t="array" ref="I42">Common_InputFunctions.Utility_DisplayArrayInTable(Fuel_SourceData.Fuel_Scope1Scope3EmissionFactorsTransportOffRoad_Data(), Table_SourceData_Fuel_TransportOffroad[[#Headers],[Transport type t]],0)</f>
        <v>0.5</v>
      </c>
      <c r="J42" s="2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HYPERLINK("#'4.3.1.1-2 Methane'!A1", "4.3.1.1-2 Methane")</f>
        <v>4.3.1.1-2 Methane</v>
      </c>
      <c r="D43" s="1" t="str" cm="1">
        <f t="array" ref="D43">Common_InputFunctions.Utility_DisplayArrayInTable(Fuel_SourceData.Fuel_Scope1Scope3EmissionFactorsTransportOffRoad_Data(), Table_SourceData_Fuel_TransportOffroad[[#Headers],[Transport type t]],0)</f>
        <v>Off-road Agriculture and forestry equipment</v>
      </c>
      <c r="E43" s="29" t="str" cm="1">
        <f t="array" ref="E43">Common_InputFunctions.Utility_DisplayArrayInTable(Fuel_SourceData.Fuel_Scope1Scope3EmissionFactorsTransportOffRoad_Data(), Table_SourceData_Fuel_TransportOffroad[[#Headers],[Transport type t]],0)</f>
        <v>Diesel</v>
      </c>
      <c r="F43" s="29" cm="1">
        <f t="array" ref="F43">Common_InputFunctions.Utility_DisplayArrayInTable(Fuel_SourceData.Fuel_Scope1Scope3EmissionFactorsTransportOffRoad_Data(), Table_SourceData_Fuel_TransportOffroad[[#Headers],[Transport type t]],0)</f>
        <v>38.6</v>
      </c>
      <c r="G43" s="29" cm="1">
        <f t="array" ref="G43">Common_InputFunctions.Utility_DisplayArrayInTable(Fuel_SourceData.Fuel_Scope1Scope3EmissionFactorsTransportOffRoad_Data(), Table_SourceData_Fuel_TransportOffroad[[#Headers],[Transport type t]],0)</f>
        <v>69.900000000000006</v>
      </c>
      <c r="H43" s="29" cm="1">
        <f t="array" ref="H43">Common_InputFunctions.Utility_DisplayArrayInTable(Fuel_SourceData.Fuel_Scope1Scope3EmissionFactorsTransportOffRoad_Data(), Table_SourceData_Fuel_TransportOffroad[[#Headers],[Transport type t]],0)</f>
        <v>0.3</v>
      </c>
      <c r="I43" s="29" cm="1">
        <f t="array" ref="I43">Common_InputFunctions.Utility_DisplayArrayInTable(Fuel_SourceData.Fuel_Scope1Scope3EmissionFactorsTransportOffRoad_Data(), Table_SourceData_Fuel_TransportOffroad[[#Headers],[Transport type t]],0)</f>
        <v>0.5</v>
      </c>
      <c r="J43" s="2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row>
    <row r="47" spans="1:12" ht="20.100000000000001" customHeight="1" x14ac:dyDescent="0.25">
      <c r="A47" s="5" t="str">
        <f>HYPERLINK("#'4.3.1.8 Manure applied to soils'!A1", "4.3.1.8 Manure applied to soils")</f>
        <v>4.3.1.8 Manure applied to soils</v>
      </c>
    </row>
    <row r="48" spans="1:12" ht="20.100000000000001" customHeight="1" x14ac:dyDescent="0.25">
      <c r="A48" s="5" t="str">
        <f>HYPERLINK("#'4.3.1.9 Soil direct N2O'!A1", "4.3.1.9 Soil direct N2O")</f>
        <v>4.3.1.9 Soil direct N2O</v>
      </c>
    </row>
    <row r="49" spans="1:12" ht="20.100000000000001" customHeight="1" x14ac:dyDescent="0.25">
      <c r="A49" s="5" t="str">
        <f>HYPERLINK("#'4.3.1.10-11 Soil Atmos Dep'!A1", "4.3.1.10-11 Soil Atmos Dep")</f>
        <v>4.3.1.10-11 Soil Atmos Dep</v>
      </c>
      <c r="D49" s="2" t="str" cm="1">
        <f t="array" ref="D49">Fuel_SourceData.Fuel_Scope1Scope3EmissionFactorsStationaryLiquid_Title()</f>
        <v>Fuel scope 1 and 3 emission factors - Stationary liquid fuels</v>
      </c>
      <c r="E49" s="192"/>
      <c r="F49" s="192"/>
      <c r="G49" s="192"/>
      <c r="H49" s="192"/>
      <c r="I49" s="192"/>
      <c r="J49" s="192"/>
      <c r="K49" s="192"/>
      <c r="L49" s="192"/>
    </row>
    <row r="50" spans="1:12" ht="20.100000000000001" customHeight="1" x14ac:dyDescent="0.25">
      <c r="A50" s="5" t="str">
        <f>HYPERLINK("#'4.3.1.12-13 Soil leach runoff'!A1", "4.3.1.12-13 Soil leach runoff")</f>
        <v>4.3.1.12-13 Soil leach runoff</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92"/>
      <c r="F50" s="192"/>
      <c r="G50" s="192"/>
      <c r="H50" s="192"/>
      <c r="I50" s="192"/>
      <c r="J50" s="192"/>
      <c r="K50" s="192"/>
      <c r="L50" s="192"/>
    </row>
    <row r="51" spans="1:12" ht="20.100000000000001" customHeight="1" x14ac:dyDescent="0.25">
      <c r="A51" s="5" t="str">
        <f>HYPERLINK("#'3.3.1.1-2 Enteric Methane'!A1", "3.3.1.1-2 Enteric Methane")</f>
        <v>3.3.1.1-2 Enteric Methane</v>
      </c>
      <c r="D51" s="27" t="str" cm="1">
        <f t="array" ref="D51">Fuel_SourceData.Fuel_Scope1Scope3EmissionFactorsStationaryLiquid_Source()</f>
        <v>Australian National Greenhouse Accounts Factors 2025 - Table 8</v>
      </c>
      <c r="E51" s="192"/>
      <c r="F51" s="192"/>
      <c r="G51" s="192"/>
      <c r="H51" s="192"/>
      <c r="I51" s="192"/>
      <c r="J51" s="192"/>
      <c r="K51" s="192"/>
      <c r="L51" s="192"/>
    </row>
    <row r="52" spans="1:12" ht="20.100000000000001" customHeight="1" x14ac:dyDescent="0.25">
      <c r="A52" s="5" t="str">
        <f>HYPERLINK("#'10.1.1-2 Solid waste treatment'!A1", "10.1.1-2 Solid waste treatment")</f>
        <v>10.1.1-2 Solid waste treatment</v>
      </c>
      <c r="D52" s="35" t="str" cm="1">
        <f t="array" ref="D52">"⚠️" &amp; Fuel_SourceData.Fuel_Scope1Scope3EmissionFactorsStationaryLiquid_Variation()</f>
        <v>⚠️VARIATION OF SOURCE DATA: 'NE' values returned as zero for calculations.</v>
      </c>
      <c r="E52" s="192"/>
      <c r="F52" s="192"/>
      <c r="G52" s="192"/>
      <c r="H52" s="192"/>
      <c r="I52" s="192"/>
      <c r="J52" s="192"/>
      <c r="K52" s="192"/>
      <c r="L52" s="192"/>
    </row>
    <row r="53" spans="1:12" ht="20.100000000000001" customHeight="1" x14ac:dyDescent="0.25">
      <c r="D53" s="209" t="s">
        <v>837</v>
      </c>
      <c r="E53" s="241" t="s">
        <v>838</v>
      </c>
      <c r="F53" s="209" t="s">
        <v>839</v>
      </c>
      <c r="G53" s="241" t="s">
        <v>840</v>
      </c>
      <c r="H53" s="241" t="s">
        <v>841</v>
      </c>
      <c r="I53" s="241" t="s">
        <v>842</v>
      </c>
      <c r="J53" s="241" t="s">
        <v>843</v>
      </c>
      <c r="K53" s="241" t="s">
        <v>844</v>
      </c>
      <c r="L53" s="192"/>
    </row>
    <row r="54" spans="1:12" ht="20.100000000000001" customHeight="1" x14ac:dyDescent="0.25">
      <c r="D54" s="24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4" cm="1">
        <f t="array" ref="E54">Common_InputFunctions.Utility_DisplayArrayInTable(Fuel_SourceData.Fuel_Scope1Scope3EmissionFactorsStationaryLiquid_Data(), Table_Fuel_EFs_StationaryLiquid[[#Headers],[Fuel combusted]],0)</f>
        <v>38.799999999999997</v>
      </c>
      <c r="F54" s="244" t="str" cm="1">
        <f t="array" ref="F54">Common_InputFunctions.Utility_DisplayArrayInTable(Fuel_SourceData.Fuel_Scope1Scope3EmissionFactorsStationaryLiquid_Data(), Table_Fuel_EFs_StationaryLiquid[[#Headers],[Fuel combusted]],0)</f>
        <v>kl</v>
      </c>
      <c r="G54" s="244" cm="1">
        <f t="array" ref="G54">Common_InputFunctions.Utility_DisplayArrayInTable(Fuel_SourceData.Fuel_Scope1Scope3EmissionFactorsStationaryLiquid_Data(), Table_Fuel_EFs_StationaryLiquid[[#Headers],[Fuel combusted]],0)</f>
        <v>13.9</v>
      </c>
      <c r="H54" s="244" cm="1">
        <f t="array" ref="H54">Common_InputFunctions.Utility_DisplayArrayInTable(Fuel_SourceData.Fuel_Scope1Scope3EmissionFactorsStationaryLiquid_Data(), Table_Fuel_EFs_StationaryLiquid[[#Headers],[Fuel combusted]],0)</f>
        <v>0</v>
      </c>
      <c r="I54" s="244" cm="1">
        <f t="array" ref="I54">Common_InputFunctions.Utility_DisplayArrayInTable(Fuel_SourceData.Fuel_Scope1Scope3EmissionFactorsStationaryLiquid_Data(), Table_Fuel_EFs_StationaryLiquid[[#Headers],[Fuel combusted]],0)</f>
        <v>0</v>
      </c>
      <c r="J54" s="244" cm="1">
        <f t="array" ref="J54">Common_InputFunctions.Utility_DisplayArrayInTable(Fuel_SourceData.Fuel_Scope1Scope3EmissionFactorsStationaryLiquid_Data(), Table_Fuel_EFs_StationaryLiquid[[#Headers],[Fuel combusted]],0)</f>
        <v>13.9</v>
      </c>
      <c r="K54" s="244" cm="1">
        <f t="array" ref="K54">Common_InputFunctions.Utility_DisplayArrayInTable(Fuel_SourceData.Fuel_Scope1Scope3EmissionFactorsStationaryLiquid_Data(), Table_Fuel_EFs_StationaryLiquid[[#Headers],[Fuel combusted]],0)</f>
        <v>18</v>
      </c>
      <c r="L54" s="192"/>
    </row>
    <row r="55" spans="1:12" ht="20.100000000000001" customHeight="1" x14ac:dyDescent="0.25">
      <c r="A55" s="100" t="s">
        <v>1</v>
      </c>
      <c r="D55" s="244" t="str" cm="1">
        <f t="array" ref="D55">Common_InputFunctions.Utility_DisplayArrayInTable(Fuel_SourceData.Fuel_Scope1Scope3EmissionFactorsStationaryLiquid_Data(), Table_Fuel_EFs_StationaryLiquid[[#Headers],[Fuel combusted]],0)</f>
        <v>Petroleum based greases</v>
      </c>
      <c r="E55" s="244" cm="1">
        <f t="array" ref="E55">Common_InputFunctions.Utility_DisplayArrayInTable(Fuel_SourceData.Fuel_Scope1Scope3EmissionFactorsStationaryLiquid_Data(), Table_Fuel_EFs_StationaryLiquid[[#Headers],[Fuel combusted]],0)</f>
        <v>38.799999999999997</v>
      </c>
      <c r="F55" s="244" t="str" cm="1">
        <f t="array" ref="F55">Common_InputFunctions.Utility_DisplayArrayInTable(Fuel_SourceData.Fuel_Scope1Scope3EmissionFactorsStationaryLiquid_Data(), Table_Fuel_EFs_StationaryLiquid[[#Headers],[Fuel combusted]],0)</f>
        <v>kl</v>
      </c>
      <c r="G55" s="244" cm="1">
        <f t="array" ref="G55">Common_InputFunctions.Utility_DisplayArrayInTable(Fuel_SourceData.Fuel_Scope1Scope3EmissionFactorsStationaryLiquid_Data(), Table_Fuel_EFs_StationaryLiquid[[#Headers],[Fuel combusted]],0)</f>
        <v>3.5</v>
      </c>
      <c r="H55" s="244" cm="1">
        <f t="array" ref="H55">Common_InputFunctions.Utility_DisplayArrayInTable(Fuel_SourceData.Fuel_Scope1Scope3EmissionFactorsStationaryLiquid_Data(), Table_Fuel_EFs_StationaryLiquid[[#Headers],[Fuel combusted]],0)</f>
        <v>0</v>
      </c>
      <c r="I55" s="244" cm="1">
        <f t="array" ref="I55">Common_InputFunctions.Utility_DisplayArrayInTable(Fuel_SourceData.Fuel_Scope1Scope3EmissionFactorsStationaryLiquid_Data(), Table_Fuel_EFs_StationaryLiquid[[#Headers],[Fuel combusted]],0)</f>
        <v>0</v>
      </c>
      <c r="J55" s="244" cm="1">
        <f t="array" ref="J55">Common_InputFunctions.Utility_DisplayArrayInTable(Fuel_SourceData.Fuel_Scope1Scope3EmissionFactorsStationaryLiquid_Data(), Table_Fuel_EFs_StationaryLiquid[[#Headers],[Fuel combusted]],0)</f>
        <v>3.5</v>
      </c>
      <c r="K55" s="244" cm="1">
        <f t="array" ref="K55">Common_InputFunctions.Utility_DisplayArrayInTable(Fuel_SourceData.Fuel_Scope1Scope3EmissionFactorsStationaryLiquid_Data(), Table_Fuel_EFs_StationaryLiquid[[#Headers],[Fuel combusted]],0)</f>
        <v>18</v>
      </c>
      <c r="L55" s="192"/>
    </row>
    <row r="56" spans="1:12" ht="20.100000000000001" customHeight="1" x14ac:dyDescent="0.25">
      <c r="A56" s="5" t="str">
        <f>HYPERLINK("#'Constants - Dairy'!A1", "Constants - Dairy")</f>
        <v>Constants - Dairy</v>
      </c>
      <c r="D56" s="244" t="str" cm="1">
        <f t="array" ref="D56">Common_InputFunctions.Utility_DisplayArrayInTable(Fuel_SourceData.Fuel_Scope1Scope3EmissionFactorsStationaryLiquid_Data(), Table_Fuel_EFs_StationaryLiquid[[#Headers],[Fuel combusted]],0)</f>
        <v>Crude oil including crude oil condensates</v>
      </c>
      <c r="E56" s="244" cm="1">
        <f t="array" ref="E56">Common_InputFunctions.Utility_DisplayArrayInTable(Fuel_SourceData.Fuel_Scope1Scope3EmissionFactorsStationaryLiquid_Data(), Table_Fuel_EFs_StationaryLiquid[[#Headers],[Fuel combusted]],0)</f>
        <v>45.3</v>
      </c>
      <c r="F56" s="244" t="str" cm="1">
        <f t="array" ref="F56">Common_InputFunctions.Utility_DisplayArrayInTable(Fuel_SourceData.Fuel_Scope1Scope3EmissionFactorsStationaryLiquid_Data(), Table_Fuel_EFs_StationaryLiquid[[#Headers],[Fuel combusted]],0)</f>
        <v>t</v>
      </c>
      <c r="G56" s="244" cm="1">
        <f t="array" ref="G56">Common_InputFunctions.Utility_DisplayArrayInTable(Fuel_SourceData.Fuel_Scope1Scope3EmissionFactorsStationaryLiquid_Data(), Table_Fuel_EFs_StationaryLiquid[[#Headers],[Fuel combusted]],0)</f>
        <v>69.599999999999994</v>
      </c>
      <c r="H56" s="244" cm="1">
        <f t="array" ref="H56">Common_InputFunctions.Utility_DisplayArrayInTable(Fuel_SourceData.Fuel_Scope1Scope3EmissionFactorsStationaryLiquid_Data(), Table_Fuel_EFs_StationaryLiquid[[#Headers],[Fuel combusted]],0)</f>
        <v>0.08</v>
      </c>
      <c r="I56" s="244" cm="1">
        <f t="array" ref="I56">Common_InputFunctions.Utility_DisplayArrayInTable(Fuel_SourceData.Fuel_Scope1Scope3EmissionFactorsStationaryLiquid_Data(), Table_Fuel_EFs_StationaryLiquid[[#Headers],[Fuel combusted]],0)</f>
        <v>0.2</v>
      </c>
      <c r="J56" s="244" cm="1">
        <f t="array" ref="J56">Common_InputFunctions.Utility_DisplayArrayInTable(Fuel_SourceData.Fuel_Scope1Scope3EmissionFactorsStationaryLiquid_Data(), Table_Fuel_EFs_StationaryLiquid[[#Headers],[Fuel combusted]],0)</f>
        <v>69.88</v>
      </c>
      <c r="K56" s="244" t="str" cm="1">
        <f t="array" ref="K56">Common_InputFunctions.Utility_DisplayArrayInTable(Fuel_SourceData.Fuel_Scope1Scope3EmissionFactorsStationaryLiquid_Data(), Table_Fuel_EFs_StationaryLiquid[[#Headers],[Fuel combusted]],0)</f>
        <v>NE</v>
      </c>
      <c r="L56" s="192"/>
    </row>
    <row r="57" spans="1:12" ht="20.100000000000001" customHeight="1" x14ac:dyDescent="0.25">
      <c r="A57" s="5" t="str">
        <f>HYPERLINK("#'Constants - Ag Residue'!A1", "Constants - Ag residue")</f>
        <v>Constants - Ag residue</v>
      </c>
      <c r="D57" s="244" t="str" cm="1">
        <f t="array" ref="D57">Common_InputFunctions.Utility_DisplayArrayInTable(Fuel_SourceData.Fuel_Scope1Scope3EmissionFactorsStationaryLiquid_Data(), Table_Fuel_EFs_StationaryLiquid[[#Headers],[Fuel combusted]],0)</f>
        <v>Other natural gas liquids</v>
      </c>
      <c r="E57" s="244" cm="1">
        <f t="array" ref="E57">Common_InputFunctions.Utility_DisplayArrayInTable(Fuel_SourceData.Fuel_Scope1Scope3EmissionFactorsStationaryLiquid_Data(), Table_Fuel_EFs_StationaryLiquid[[#Headers],[Fuel combusted]],0)</f>
        <v>46.5</v>
      </c>
      <c r="F57" s="244" t="str" cm="1">
        <f t="array" ref="F57">Common_InputFunctions.Utility_DisplayArrayInTable(Fuel_SourceData.Fuel_Scope1Scope3EmissionFactorsStationaryLiquid_Data(), Table_Fuel_EFs_StationaryLiquid[[#Headers],[Fuel combusted]],0)</f>
        <v>t</v>
      </c>
      <c r="G57" s="244" cm="1">
        <f t="array" ref="G57">Common_InputFunctions.Utility_DisplayArrayInTable(Fuel_SourceData.Fuel_Scope1Scope3EmissionFactorsStationaryLiquid_Data(), Table_Fuel_EFs_StationaryLiquid[[#Headers],[Fuel combusted]],0)</f>
        <v>61</v>
      </c>
      <c r="H57" s="244" cm="1">
        <f t="array" ref="H57">Common_InputFunctions.Utility_DisplayArrayInTable(Fuel_SourceData.Fuel_Scope1Scope3EmissionFactorsStationaryLiquid_Data(), Table_Fuel_EFs_StationaryLiquid[[#Headers],[Fuel combusted]],0)</f>
        <v>0.08</v>
      </c>
      <c r="I57" s="244" cm="1">
        <f t="array" ref="I57">Common_InputFunctions.Utility_DisplayArrayInTable(Fuel_SourceData.Fuel_Scope1Scope3EmissionFactorsStationaryLiquid_Data(), Table_Fuel_EFs_StationaryLiquid[[#Headers],[Fuel combusted]],0)</f>
        <v>0.2</v>
      </c>
      <c r="J57" s="244" cm="1">
        <f t="array" ref="J57">Common_InputFunctions.Utility_DisplayArrayInTable(Fuel_SourceData.Fuel_Scope1Scope3EmissionFactorsStationaryLiquid_Data(), Table_Fuel_EFs_StationaryLiquid[[#Headers],[Fuel combusted]],0)</f>
        <v>61.28</v>
      </c>
      <c r="K57" s="244" t="str" cm="1">
        <f t="array" ref="K57">Common_InputFunctions.Utility_DisplayArrayInTable(Fuel_SourceData.Fuel_Scope1Scope3EmissionFactorsStationaryLiquid_Data(), Table_Fuel_EFs_StationaryLiquid[[#Headers],[Fuel combusted]],0)</f>
        <v>NE</v>
      </c>
      <c r="L57" s="192"/>
    </row>
    <row r="58" spans="1:12" ht="20.100000000000001" customHeight="1" x14ac:dyDescent="0.25">
      <c r="A58" s="5" t="str">
        <f>HYPERLINK("#'Constants - Common Livestock'!A1", "Constants - Common Livestock")</f>
        <v>Constants - Common Livestock</v>
      </c>
      <c r="D58" s="24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4" cm="1">
        <f t="array" ref="E58">Common_InputFunctions.Utility_DisplayArrayInTable(Fuel_SourceData.Fuel_Scope1Scope3EmissionFactorsStationaryLiquid_Data(), Table_Fuel_EFs_StationaryLiquid[[#Headers],[Fuel combusted]],0)</f>
        <v>34.200000000000003</v>
      </c>
      <c r="F58" s="244" t="str" cm="1">
        <f t="array" ref="F58">Common_InputFunctions.Utility_DisplayArrayInTable(Fuel_SourceData.Fuel_Scope1Scope3EmissionFactorsStationaryLiquid_Data(), Table_Fuel_EFs_StationaryLiquid[[#Headers],[Fuel combusted]],0)</f>
        <v>kL</v>
      </c>
      <c r="G58" s="244" cm="1">
        <f t="array" ref="G58">Common_InputFunctions.Utility_DisplayArrayInTable(Fuel_SourceData.Fuel_Scope1Scope3EmissionFactorsStationaryLiquid_Data(), Table_Fuel_EFs_StationaryLiquid[[#Headers],[Fuel combusted]],0)</f>
        <v>67.400000000000006</v>
      </c>
      <c r="H58" s="244" cm="1">
        <f t="array" ref="H58">Common_InputFunctions.Utility_DisplayArrayInTable(Fuel_SourceData.Fuel_Scope1Scope3EmissionFactorsStationaryLiquid_Data(), Table_Fuel_EFs_StationaryLiquid[[#Headers],[Fuel combusted]],0)</f>
        <v>0.2</v>
      </c>
      <c r="I58" s="244" cm="1">
        <f t="array" ref="I58">Common_InputFunctions.Utility_DisplayArrayInTable(Fuel_SourceData.Fuel_Scope1Scope3EmissionFactorsStationaryLiquid_Data(), Table_Fuel_EFs_StationaryLiquid[[#Headers],[Fuel combusted]],0)</f>
        <v>0.2</v>
      </c>
      <c r="J58" s="244" cm="1">
        <f t="array" ref="J58">Common_InputFunctions.Utility_DisplayArrayInTable(Fuel_SourceData.Fuel_Scope1Scope3EmissionFactorsStationaryLiquid_Data(), Table_Fuel_EFs_StationaryLiquid[[#Headers],[Fuel combusted]],0)</f>
        <v>67.8</v>
      </c>
      <c r="K58" s="244" cm="1">
        <f t="array" ref="K58">Common_InputFunctions.Utility_DisplayArrayInTable(Fuel_SourceData.Fuel_Scope1Scope3EmissionFactorsStationaryLiquid_Data(), Table_Fuel_EFs_StationaryLiquid[[#Headers],[Fuel combusted]],0)</f>
        <v>17.2</v>
      </c>
      <c r="L58" s="192"/>
    </row>
    <row r="59" spans="1:12" ht="20.100000000000001" customHeight="1" x14ac:dyDescent="0.25">
      <c r="A59" s="5" t="str">
        <f>HYPERLINK("#'Constants - Electricity'!A1", "Constants - Electricity")</f>
        <v>Constants - Electricity</v>
      </c>
      <c r="D59" s="244" t="str" cm="1">
        <f t="array" ref="D59">Common_InputFunctions.Utility_DisplayArrayInTable(Fuel_SourceData.Fuel_Scope1Scope3EmissionFactorsStationaryLiquid_Data(), Table_Fuel_EFs_StationaryLiquid[[#Headers],[Fuel combusted]],0)</f>
        <v>Aviation gasoline</v>
      </c>
      <c r="E59" s="244" cm="1">
        <f t="array" ref="E59">Common_InputFunctions.Utility_DisplayArrayInTable(Fuel_SourceData.Fuel_Scope1Scope3EmissionFactorsStationaryLiquid_Data(), Table_Fuel_EFs_StationaryLiquid[[#Headers],[Fuel combusted]],0)</f>
        <v>33.1</v>
      </c>
      <c r="F59" s="244" t="str" cm="1">
        <f t="array" ref="F59">Common_InputFunctions.Utility_DisplayArrayInTable(Fuel_SourceData.Fuel_Scope1Scope3EmissionFactorsStationaryLiquid_Data(), Table_Fuel_EFs_StationaryLiquid[[#Headers],[Fuel combusted]],0)</f>
        <v>kL</v>
      </c>
      <c r="G59" s="244" cm="1">
        <f t="array" ref="G59">Common_InputFunctions.Utility_DisplayArrayInTable(Fuel_SourceData.Fuel_Scope1Scope3EmissionFactorsStationaryLiquid_Data(), Table_Fuel_EFs_StationaryLiquid[[#Headers],[Fuel combusted]],0)</f>
        <v>67</v>
      </c>
      <c r="H59" s="244" cm="1">
        <f t="array" ref="H59">Common_InputFunctions.Utility_DisplayArrayInTable(Fuel_SourceData.Fuel_Scope1Scope3EmissionFactorsStationaryLiquid_Data(), Table_Fuel_EFs_StationaryLiquid[[#Headers],[Fuel combusted]],0)</f>
        <v>0.2</v>
      </c>
      <c r="I59" s="244" cm="1">
        <f t="array" ref="I59">Common_InputFunctions.Utility_DisplayArrayInTable(Fuel_SourceData.Fuel_Scope1Scope3EmissionFactorsStationaryLiquid_Data(), Table_Fuel_EFs_StationaryLiquid[[#Headers],[Fuel combusted]],0)</f>
        <v>0.2</v>
      </c>
      <c r="J59" s="244" cm="1">
        <f t="array" ref="J59">Common_InputFunctions.Utility_DisplayArrayInTable(Fuel_SourceData.Fuel_Scope1Scope3EmissionFactorsStationaryLiquid_Data(), Table_Fuel_EFs_StationaryLiquid[[#Headers],[Fuel combusted]],0)</f>
        <v>67.400000000000006</v>
      </c>
      <c r="K59" s="244" cm="1">
        <f t="array" ref="K59">Common_InputFunctions.Utility_DisplayArrayInTable(Fuel_SourceData.Fuel_Scope1Scope3EmissionFactorsStationaryLiquid_Data(), Table_Fuel_EFs_StationaryLiquid[[#Headers],[Fuel combusted]],0)</f>
        <v>18</v>
      </c>
      <c r="L59" s="192"/>
    </row>
    <row r="60" spans="1:12" ht="20.100000000000001" customHeight="1" x14ac:dyDescent="0.25">
      <c r="A60" s="5" t="str">
        <f>HYPERLINK("#'Constants - Fertiliser'!A1", "Constants - Fertiliser")</f>
        <v>Constants - Fertiliser</v>
      </c>
      <c r="D60" s="244" t="str" cm="1">
        <f t="array" ref="D60">Common_InputFunctions.Utility_DisplayArrayInTable(Fuel_SourceData.Fuel_Scope1Scope3EmissionFactorsStationaryLiquid_Data(), Table_Fuel_EFs_StationaryLiquid[[#Headers],[Fuel combusted]],0)</f>
        <v>Kerosene (other than for use as fuel in an aircraft)</v>
      </c>
      <c r="E60" s="244" cm="1">
        <f t="array" ref="E60">Common_InputFunctions.Utility_DisplayArrayInTable(Fuel_SourceData.Fuel_Scope1Scope3EmissionFactorsStationaryLiquid_Data(), Table_Fuel_EFs_StationaryLiquid[[#Headers],[Fuel combusted]],0)</f>
        <v>37.5</v>
      </c>
      <c r="F60" s="244" t="str" cm="1">
        <f t="array" ref="F60">Common_InputFunctions.Utility_DisplayArrayInTable(Fuel_SourceData.Fuel_Scope1Scope3EmissionFactorsStationaryLiquid_Data(), Table_Fuel_EFs_StationaryLiquid[[#Headers],[Fuel combusted]],0)</f>
        <v>kL</v>
      </c>
      <c r="G60" s="244" cm="1">
        <f t="array" ref="G60">Common_InputFunctions.Utility_DisplayArrayInTable(Fuel_SourceData.Fuel_Scope1Scope3EmissionFactorsStationaryLiquid_Data(), Table_Fuel_EFs_StationaryLiquid[[#Headers],[Fuel combusted]],0)</f>
        <v>68.900000000000006</v>
      </c>
      <c r="H60" s="244" cm="1">
        <f t="array" ref="H60">Common_InputFunctions.Utility_DisplayArrayInTable(Fuel_SourceData.Fuel_Scope1Scope3EmissionFactorsStationaryLiquid_Data(), Table_Fuel_EFs_StationaryLiquid[[#Headers],[Fuel combusted]],0)</f>
        <v>0.01</v>
      </c>
      <c r="I60" s="244" cm="1">
        <f t="array" ref="I60">Common_InputFunctions.Utility_DisplayArrayInTable(Fuel_SourceData.Fuel_Scope1Scope3EmissionFactorsStationaryLiquid_Data(), Table_Fuel_EFs_StationaryLiquid[[#Headers],[Fuel combusted]],0)</f>
        <v>0.2</v>
      </c>
      <c r="J60" s="244" cm="1">
        <f t="array" ref="J60">Common_InputFunctions.Utility_DisplayArrayInTable(Fuel_SourceData.Fuel_Scope1Scope3EmissionFactorsStationaryLiquid_Data(), Table_Fuel_EFs_StationaryLiquid[[#Headers],[Fuel combusted]],0)</f>
        <v>69.11</v>
      </c>
      <c r="K60" s="244" cm="1">
        <f t="array" ref="K60">Common_InputFunctions.Utility_DisplayArrayInTable(Fuel_SourceData.Fuel_Scope1Scope3EmissionFactorsStationaryLiquid_Data(), Table_Fuel_EFs_StationaryLiquid[[#Headers],[Fuel combusted]],0)</f>
        <v>18</v>
      </c>
      <c r="L60" s="192"/>
    </row>
    <row r="61" spans="1:12" ht="20.100000000000001" customHeight="1" x14ac:dyDescent="0.25">
      <c r="A61" s="148" t="str">
        <f>HYPERLINK("#'Constants - Fuel'!A1", "Constants - Fuel")</f>
        <v>Constants - Fuel</v>
      </c>
      <c r="D61" s="244" t="str" cm="1">
        <f t="array" ref="D61">Common_InputFunctions.Utility_DisplayArrayInTable(Fuel_SourceData.Fuel_Scope1Scope3EmissionFactorsStationaryLiquid_Data(), Table_Fuel_EFs_StationaryLiquid[[#Headers],[Fuel combusted]],0)</f>
        <v>Aviation turbine fuel / kerosene</v>
      </c>
      <c r="E61" s="244" cm="1">
        <f t="array" ref="E61">Common_InputFunctions.Utility_DisplayArrayInTable(Fuel_SourceData.Fuel_Scope1Scope3EmissionFactorsStationaryLiquid_Data(), Table_Fuel_EFs_StationaryLiquid[[#Headers],[Fuel combusted]],0)</f>
        <v>36.799999999999997</v>
      </c>
      <c r="F61" s="244" t="str" cm="1">
        <f t="array" ref="F61">Common_InputFunctions.Utility_DisplayArrayInTable(Fuel_SourceData.Fuel_Scope1Scope3EmissionFactorsStationaryLiquid_Data(), Table_Fuel_EFs_StationaryLiquid[[#Headers],[Fuel combusted]],0)</f>
        <v>kL</v>
      </c>
      <c r="G61" s="244" cm="1">
        <f t="array" ref="G61">Common_InputFunctions.Utility_DisplayArrayInTable(Fuel_SourceData.Fuel_Scope1Scope3EmissionFactorsStationaryLiquid_Data(), Table_Fuel_EFs_StationaryLiquid[[#Headers],[Fuel combusted]],0)</f>
        <v>69.599999999999994</v>
      </c>
      <c r="H61" s="244" cm="1">
        <f t="array" ref="H61">Common_InputFunctions.Utility_DisplayArrayInTable(Fuel_SourceData.Fuel_Scope1Scope3EmissionFactorsStationaryLiquid_Data(), Table_Fuel_EFs_StationaryLiquid[[#Headers],[Fuel combusted]],0)</f>
        <v>0.02</v>
      </c>
      <c r="I61" s="244" cm="1">
        <f t="array" ref="I61">Common_InputFunctions.Utility_DisplayArrayInTable(Fuel_SourceData.Fuel_Scope1Scope3EmissionFactorsStationaryLiquid_Data(), Table_Fuel_EFs_StationaryLiquid[[#Headers],[Fuel combusted]],0)</f>
        <v>0.2</v>
      </c>
      <c r="J61" s="244" cm="1">
        <f t="array" ref="J61">Common_InputFunctions.Utility_DisplayArrayInTable(Fuel_SourceData.Fuel_Scope1Scope3EmissionFactorsStationaryLiquid_Data(), Table_Fuel_EFs_StationaryLiquid[[#Headers],[Fuel combusted]],0)</f>
        <v>69.819999999999993</v>
      </c>
      <c r="K61" s="244" cm="1">
        <f t="array" ref="K61">Common_InputFunctions.Utility_DisplayArrayInTable(Fuel_SourceData.Fuel_Scope1Scope3EmissionFactorsStationaryLiquid_Data(), Table_Fuel_EFs_StationaryLiquid[[#Headers],[Fuel combusted]],0)</f>
        <v>18</v>
      </c>
      <c r="L61" s="192"/>
    </row>
    <row r="62" spans="1:12" ht="20.100000000000001" customHeight="1" x14ac:dyDescent="0.25">
      <c r="A62" s="5" t="str">
        <f>HYPERLINK("#'Constants - Scope 3'!A1", "Constants - Scope 3")</f>
        <v>Constants - Scope 3</v>
      </c>
      <c r="D62" s="244" t="str" cm="1">
        <f t="array" ref="D62">Common_InputFunctions.Utility_DisplayArrayInTable(Fuel_SourceData.Fuel_Scope1Scope3EmissionFactorsStationaryLiquid_Data(), Table_Fuel_EFs_StationaryLiquid[[#Headers],[Fuel combusted]],0)</f>
        <v>Heating oil</v>
      </c>
      <c r="E62" s="244" cm="1">
        <f t="array" ref="E62">Common_InputFunctions.Utility_DisplayArrayInTable(Fuel_SourceData.Fuel_Scope1Scope3EmissionFactorsStationaryLiquid_Data(), Table_Fuel_EFs_StationaryLiquid[[#Headers],[Fuel combusted]],0)</f>
        <v>37.299999999999997</v>
      </c>
      <c r="F62" s="244" t="str" cm="1">
        <f t="array" ref="F62">Common_InputFunctions.Utility_DisplayArrayInTable(Fuel_SourceData.Fuel_Scope1Scope3EmissionFactorsStationaryLiquid_Data(), Table_Fuel_EFs_StationaryLiquid[[#Headers],[Fuel combusted]],0)</f>
        <v>kL</v>
      </c>
      <c r="G62" s="244" cm="1">
        <f t="array" ref="G62">Common_InputFunctions.Utility_DisplayArrayInTable(Fuel_SourceData.Fuel_Scope1Scope3EmissionFactorsStationaryLiquid_Data(), Table_Fuel_EFs_StationaryLiquid[[#Headers],[Fuel combusted]],0)</f>
        <v>69.5</v>
      </c>
      <c r="H62" s="244" cm="1">
        <f t="array" ref="H62">Common_InputFunctions.Utility_DisplayArrayInTable(Fuel_SourceData.Fuel_Scope1Scope3EmissionFactorsStationaryLiquid_Data(), Table_Fuel_EFs_StationaryLiquid[[#Headers],[Fuel combusted]],0)</f>
        <v>0.03</v>
      </c>
      <c r="I62" s="244" cm="1">
        <f t="array" ref="I62">Common_InputFunctions.Utility_DisplayArrayInTable(Fuel_SourceData.Fuel_Scope1Scope3EmissionFactorsStationaryLiquid_Data(), Table_Fuel_EFs_StationaryLiquid[[#Headers],[Fuel combusted]],0)</f>
        <v>0.2</v>
      </c>
      <c r="J62" s="244" cm="1">
        <f t="array" ref="J62">Common_InputFunctions.Utility_DisplayArrayInTable(Fuel_SourceData.Fuel_Scope1Scope3EmissionFactorsStationaryLiquid_Data(), Table_Fuel_EFs_StationaryLiquid[[#Headers],[Fuel combusted]],0)</f>
        <v>69.73</v>
      </c>
      <c r="K62" s="244" cm="1">
        <f t="array" ref="K62">Common_InputFunctions.Utility_DisplayArrayInTable(Fuel_SourceData.Fuel_Scope1Scope3EmissionFactorsStationaryLiquid_Data(), Table_Fuel_EFs_StationaryLiquid[[#Headers],[Fuel combusted]],0)</f>
        <v>18</v>
      </c>
      <c r="L62" s="192"/>
    </row>
    <row r="63" spans="1:12" ht="20.100000000000001" customHeight="1" x14ac:dyDescent="0.25">
      <c r="A63" s="5" t="str">
        <f>HYPERLINK("#'Constants - Common'!A1", "Constants - Common")</f>
        <v>Constants - Common</v>
      </c>
      <c r="D63" s="244" t="str" cm="1">
        <f t="array" ref="D63">Common_InputFunctions.Utility_DisplayArrayInTable(Fuel_SourceData.Fuel_Scope1Scope3EmissionFactorsStationaryLiquid_Data(), Table_Fuel_EFs_StationaryLiquid[[#Headers],[Fuel combusted]],0)</f>
        <v>Diesel oil</v>
      </c>
      <c r="E63" s="244" cm="1">
        <f t="array" ref="E63">Common_InputFunctions.Utility_DisplayArrayInTable(Fuel_SourceData.Fuel_Scope1Scope3EmissionFactorsStationaryLiquid_Data(), Table_Fuel_EFs_StationaryLiquid[[#Headers],[Fuel combusted]],0)</f>
        <v>38.6</v>
      </c>
      <c r="F63" s="244" t="str" cm="1">
        <f t="array" ref="F63">Common_InputFunctions.Utility_DisplayArrayInTable(Fuel_SourceData.Fuel_Scope1Scope3EmissionFactorsStationaryLiquid_Data(), Table_Fuel_EFs_StationaryLiquid[[#Headers],[Fuel combusted]],0)</f>
        <v>kL</v>
      </c>
      <c r="G63" s="244" cm="1">
        <f t="array" ref="G63">Common_InputFunctions.Utility_DisplayArrayInTable(Fuel_SourceData.Fuel_Scope1Scope3EmissionFactorsStationaryLiquid_Data(), Table_Fuel_EFs_StationaryLiquid[[#Headers],[Fuel combusted]],0)</f>
        <v>69.900000000000006</v>
      </c>
      <c r="H63" s="244" cm="1">
        <f t="array" ref="H63">Common_InputFunctions.Utility_DisplayArrayInTable(Fuel_SourceData.Fuel_Scope1Scope3EmissionFactorsStationaryLiquid_Data(), Table_Fuel_EFs_StationaryLiquid[[#Headers],[Fuel combusted]],0)</f>
        <v>0.1</v>
      </c>
      <c r="I63" s="244" cm="1">
        <f t="array" ref="I63">Common_InputFunctions.Utility_DisplayArrayInTable(Fuel_SourceData.Fuel_Scope1Scope3EmissionFactorsStationaryLiquid_Data(), Table_Fuel_EFs_StationaryLiquid[[#Headers],[Fuel combusted]],0)</f>
        <v>0.2</v>
      </c>
      <c r="J63" s="244" cm="1">
        <f t="array" ref="J63">Common_InputFunctions.Utility_DisplayArrayInTable(Fuel_SourceData.Fuel_Scope1Scope3EmissionFactorsStationaryLiquid_Data(), Table_Fuel_EFs_StationaryLiquid[[#Headers],[Fuel combusted]],0)</f>
        <v>70.2</v>
      </c>
      <c r="K63" s="244" cm="1">
        <f t="array" ref="K63">Common_InputFunctions.Utility_DisplayArrayInTable(Fuel_SourceData.Fuel_Scope1Scope3EmissionFactorsStationaryLiquid_Data(), Table_Fuel_EFs_StationaryLiquid[[#Headers],[Fuel combusted]],0)</f>
        <v>17.3</v>
      </c>
      <c r="L63" s="192"/>
    </row>
    <row r="64" spans="1:12" ht="20.100000000000001" customHeight="1" x14ac:dyDescent="0.25">
      <c r="A64" s="5" t="str">
        <f>HYPERLINK("#'Acknowledgements'!A1", "Acknowledgements")</f>
        <v>Acknowledgements</v>
      </c>
      <c r="D64" s="244" t="str" cm="1">
        <f t="array" ref="D64">Common_InputFunctions.Utility_DisplayArrayInTable(Fuel_SourceData.Fuel_Scope1Scope3EmissionFactorsStationaryLiquid_Data(), Table_Fuel_EFs_StationaryLiquid[[#Headers],[Fuel combusted]],0)</f>
        <v>Fuel oil</v>
      </c>
      <c r="E64" s="244" cm="1">
        <f t="array" ref="E64">Common_InputFunctions.Utility_DisplayArrayInTable(Fuel_SourceData.Fuel_Scope1Scope3EmissionFactorsStationaryLiquid_Data(), Table_Fuel_EFs_StationaryLiquid[[#Headers],[Fuel combusted]],0)</f>
        <v>39.700000000000003</v>
      </c>
      <c r="F64" s="244" t="str" cm="1">
        <f t="array" ref="F64">Common_InputFunctions.Utility_DisplayArrayInTable(Fuel_SourceData.Fuel_Scope1Scope3EmissionFactorsStationaryLiquid_Data(), Table_Fuel_EFs_StationaryLiquid[[#Headers],[Fuel combusted]],0)</f>
        <v>kL</v>
      </c>
      <c r="G64" s="244" cm="1">
        <f t="array" ref="G64">Common_InputFunctions.Utility_DisplayArrayInTable(Fuel_SourceData.Fuel_Scope1Scope3EmissionFactorsStationaryLiquid_Data(), Table_Fuel_EFs_StationaryLiquid[[#Headers],[Fuel combusted]],0)</f>
        <v>73.599999999999994</v>
      </c>
      <c r="H64" s="244" cm="1">
        <f t="array" ref="H64">Common_InputFunctions.Utility_DisplayArrayInTable(Fuel_SourceData.Fuel_Scope1Scope3EmissionFactorsStationaryLiquid_Data(), Table_Fuel_EFs_StationaryLiquid[[#Headers],[Fuel combusted]],0)</f>
        <v>0.04</v>
      </c>
      <c r="I64" s="244" cm="1">
        <f t="array" ref="I64">Common_InputFunctions.Utility_DisplayArrayInTable(Fuel_SourceData.Fuel_Scope1Scope3EmissionFactorsStationaryLiquid_Data(), Table_Fuel_EFs_StationaryLiquid[[#Headers],[Fuel combusted]],0)</f>
        <v>0.2</v>
      </c>
      <c r="J64" s="244" cm="1">
        <f t="array" ref="J64">Common_InputFunctions.Utility_DisplayArrayInTable(Fuel_SourceData.Fuel_Scope1Scope3EmissionFactorsStationaryLiquid_Data(), Table_Fuel_EFs_StationaryLiquid[[#Headers],[Fuel combusted]],0)</f>
        <v>73.84</v>
      </c>
      <c r="K64" s="244" cm="1">
        <f t="array" ref="K64">Common_InputFunctions.Utility_DisplayArrayInTable(Fuel_SourceData.Fuel_Scope1Scope3EmissionFactorsStationaryLiquid_Data(), Table_Fuel_EFs_StationaryLiquid[[#Headers],[Fuel combusted]],0)</f>
        <v>18</v>
      </c>
      <c r="L64" s="192"/>
    </row>
    <row r="65" spans="1:13" ht="20.100000000000001" customHeight="1" x14ac:dyDescent="0.25">
      <c r="A65" s="5" t="str">
        <f>HYPERLINK("#'Constants - Solid Waste'!A1", "Constants - Solid Waste")</f>
        <v>Constants - Solid Waste</v>
      </c>
      <c r="D65" s="244" t="str" cm="1">
        <f t="array" ref="D65">Common_InputFunctions.Utility_DisplayArrayInTable(Fuel_SourceData.Fuel_Scope1Scope3EmissionFactorsStationaryLiquid_Data(), Table_Fuel_EFs_StationaryLiquid[[#Headers],[Fuel combusted]],0)</f>
        <v>Liquefied aromatic hydrocarbons</v>
      </c>
      <c r="E65" s="244" cm="1">
        <f t="array" ref="E65">Common_InputFunctions.Utility_DisplayArrayInTable(Fuel_SourceData.Fuel_Scope1Scope3EmissionFactorsStationaryLiquid_Data(), Table_Fuel_EFs_StationaryLiquid[[#Headers],[Fuel combusted]],0)</f>
        <v>34.4</v>
      </c>
      <c r="F65" s="244" t="str" cm="1">
        <f t="array" ref="F65">Common_InputFunctions.Utility_DisplayArrayInTable(Fuel_SourceData.Fuel_Scope1Scope3EmissionFactorsStationaryLiquid_Data(), Table_Fuel_EFs_StationaryLiquid[[#Headers],[Fuel combusted]],0)</f>
        <v>kL</v>
      </c>
      <c r="G65" s="244" cm="1">
        <f t="array" ref="G65">Common_InputFunctions.Utility_DisplayArrayInTable(Fuel_SourceData.Fuel_Scope1Scope3EmissionFactorsStationaryLiquid_Data(), Table_Fuel_EFs_StationaryLiquid[[#Headers],[Fuel combusted]],0)</f>
        <v>69.7</v>
      </c>
      <c r="H65" s="244" cm="1">
        <f t="array" ref="H65">Common_InputFunctions.Utility_DisplayArrayInTable(Fuel_SourceData.Fuel_Scope1Scope3EmissionFactorsStationaryLiquid_Data(), Table_Fuel_EFs_StationaryLiquid[[#Headers],[Fuel combusted]],0)</f>
        <v>0.03</v>
      </c>
      <c r="I65" s="244" cm="1">
        <f t="array" ref="I65">Common_InputFunctions.Utility_DisplayArrayInTable(Fuel_SourceData.Fuel_Scope1Scope3EmissionFactorsStationaryLiquid_Data(), Table_Fuel_EFs_StationaryLiquid[[#Headers],[Fuel combusted]],0)</f>
        <v>0.2</v>
      </c>
      <c r="J65" s="244" cm="1">
        <f t="array" ref="J65">Common_InputFunctions.Utility_DisplayArrayInTable(Fuel_SourceData.Fuel_Scope1Scope3EmissionFactorsStationaryLiquid_Data(), Table_Fuel_EFs_StationaryLiquid[[#Headers],[Fuel combusted]],0)</f>
        <v>69.930000000000007</v>
      </c>
      <c r="K65" s="244" cm="1">
        <f t="array" ref="K65">Common_InputFunctions.Utility_DisplayArrayInTable(Fuel_SourceData.Fuel_Scope1Scope3EmissionFactorsStationaryLiquid_Data(), Table_Fuel_EFs_StationaryLiquid[[#Headers],[Fuel combusted]],0)</f>
        <v>18</v>
      </c>
      <c r="L65" s="192"/>
    </row>
    <row r="66" spans="1:13" ht="20.100000000000001" customHeight="1" x14ac:dyDescent="0.25">
      <c r="D66" s="244" t="str" cm="1">
        <f t="array" ref="D66">Common_InputFunctions.Utility_DisplayArrayInTable(Fuel_SourceData.Fuel_Scope1Scope3EmissionFactorsStationaryLiquid_Data(), Table_Fuel_EFs_StationaryLiquid[[#Headers],[Fuel combusted]],0)</f>
        <v>Solvents: mineral turpentine or white spirits</v>
      </c>
      <c r="E66" s="244" cm="1">
        <f t="array" ref="E66">Common_InputFunctions.Utility_DisplayArrayInTable(Fuel_SourceData.Fuel_Scope1Scope3EmissionFactorsStationaryLiquid_Data(), Table_Fuel_EFs_StationaryLiquid[[#Headers],[Fuel combusted]],0)</f>
        <v>34.4</v>
      </c>
      <c r="F66" s="244" t="str" cm="1">
        <f t="array" ref="F66">Common_InputFunctions.Utility_DisplayArrayInTable(Fuel_SourceData.Fuel_Scope1Scope3EmissionFactorsStationaryLiquid_Data(), Table_Fuel_EFs_StationaryLiquid[[#Headers],[Fuel combusted]],0)</f>
        <v>kL</v>
      </c>
      <c r="G66" s="244" cm="1">
        <f t="array" ref="G66">Common_InputFunctions.Utility_DisplayArrayInTable(Fuel_SourceData.Fuel_Scope1Scope3EmissionFactorsStationaryLiquid_Data(), Table_Fuel_EFs_StationaryLiquid[[#Headers],[Fuel combusted]],0)</f>
        <v>69.7</v>
      </c>
      <c r="H66" s="244" cm="1">
        <f t="array" ref="H66">Common_InputFunctions.Utility_DisplayArrayInTable(Fuel_SourceData.Fuel_Scope1Scope3EmissionFactorsStationaryLiquid_Data(), Table_Fuel_EFs_StationaryLiquid[[#Headers],[Fuel combusted]],0)</f>
        <v>0.03</v>
      </c>
      <c r="I66" s="244" cm="1">
        <f t="array" ref="I66">Common_InputFunctions.Utility_DisplayArrayInTable(Fuel_SourceData.Fuel_Scope1Scope3EmissionFactorsStationaryLiquid_Data(), Table_Fuel_EFs_StationaryLiquid[[#Headers],[Fuel combusted]],0)</f>
        <v>0.2</v>
      </c>
      <c r="J66" s="244" cm="1">
        <f t="array" ref="J66">Common_InputFunctions.Utility_DisplayArrayInTable(Fuel_SourceData.Fuel_Scope1Scope3EmissionFactorsStationaryLiquid_Data(), Table_Fuel_EFs_StationaryLiquid[[#Headers],[Fuel combusted]],0)</f>
        <v>69.930000000000007</v>
      </c>
      <c r="K66" s="244" cm="1">
        <f t="array" ref="K66">Common_InputFunctions.Utility_DisplayArrayInTable(Fuel_SourceData.Fuel_Scope1Scope3EmissionFactorsStationaryLiquid_Data(), Table_Fuel_EFs_StationaryLiquid[[#Headers],[Fuel combusted]],0)</f>
        <v>18</v>
      </c>
      <c r="L66" s="192"/>
    </row>
    <row r="67" spans="1:13" ht="20.100000000000001" customHeight="1" x14ac:dyDescent="0.25">
      <c r="D67" s="244" t="str" cm="1">
        <f t="array" ref="D67">Common_InputFunctions.Utility_DisplayArrayInTable(Fuel_SourceData.Fuel_Scope1Scope3EmissionFactorsStationaryLiquid_Data(), Table_Fuel_EFs_StationaryLiquid[[#Headers],[Fuel combusted]],0)</f>
        <v>Liquefied petroleum gas (LPG)</v>
      </c>
      <c r="E67" s="244" cm="1">
        <f t="array" ref="E67">Common_InputFunctions.Utility_DisplayArrayInTable(Fuel_SourceData.Fuel_Scope1Scope3EmissionFactorsStationaryLiquid_Data(), Table_Fuel_EFs_StationaryLiquid[[#Headers],[Fuel combusted]],0)</f>
        <v>25.7</v>
      </c>
      <c r="F67" s="244" t="str" cm="1">
        <f t="array" ref="F67">Common_InputFunctions.Utility_DisplayArrayInTable(Fuel_SourceData.Fuel_Scope1Scope3EmissionFactorsStationaryLiquid_Data(), Table_Fuel_EFs_StationaryLiquid[[#Headers],[Fuel combusted]],0)</f>
        <v>kL</v>
      </c>
      <c r="G67" s="244" cm="1">
        <f t="array" ref="G67">Common_InputFunctions.Utility_DisplayArrayInTable(Fuel_SourceData.Fuel_Scope1Scope3EmissionFactorsStationaryLiquid_Data(), Table_Fuel_EFs_StationaryLiquid[[#Headers],[Fuel combusted]],0)</f>
        <v>60.2</v>
      </c>
      <c r="H67" s="244" cm="1">
        <f t="array" ref="H67">Common_InputFunctions.Utility_DisplayArrayInTable(Fuel_SourceData.Fuel_Scope1Scope3EmissionFactorsStationaryLiquid_Data(), Table_Fuel_EFs_StationaryLiquid[[#Headers],[Fuel combusted]],0)</f>
        <v>0.2</v>
      </c>
      <c r="I67" s="244" cm="1">
        <f t="array" ref="I67">Common_InputFunctions.Utility_DisplayArrayInTable(Fuel_SourceData.Fuel_Scope1Scope3EmissionFactorsStationaryLiquid_Data(), Table_Fuel_EFs_StationaryLiquid[[#Headers],[Fuel combusted]],0)</f>
        <v>0.2</v>
      </c>
      <c r="J67" s="244" cm="1">
        <f t="array" ref="J67">Common_InputFunctions.Utility_DisplayArrayInTable(Fuel_SourceData.Fuel_Scope1Scope3EmissionFactorsStationaryLiquid_Data(), Table_Fuel_EFs_StationaryLiquid[[#Headers],[Fuel combusted]],0)</f>
        <v>60.6</v>
      </c>
      <c r="K67" s="244" cm="1">
        <f t="array" ref="K67">Common_InputFunctions.Utility_DisplayArrayInTable(Fuel_SourceData.Fuel_Scope1Scope3EmissionFactorsStationaryLiquid_Data(), Table_Fuel_EFs_StationaryLiquid[[#Headers],[Fuel combusted]],0)</f>
        <v>20.2</v>
      </c>
      <c r="L67" s="192"/>
    </row>
    <row r="68" spans="1:13" ht="20.100000000000001" customHeight="1" x14ac:dyDescent="0.25">
      <c r="D68" s="244" t="str" cm="1">
        <f t="array" ref="D68">Common_InputFunctions.Utility_DisplayArrayInTable(Fuel_SourceData.Fuel_Scope1Scope3EmissionFactorsStationaryLiquid_Data(), Table_Fuel_EFs_StationaryLiquid[[#Headers],[Fuel combusted]],0)</f>
        <v>Naphtha</v>
      </c>
      <c r="E68" s="244" cm="1">
        <f t="array" ref="E68">Common_InputFunctions.Utility_DisplayArrayInTable(Fuel_SourceData.Fuel_Scope1Scope3EmissionFactorsStationaryLiquid_Data(), Table_Fuel_EFs_StationaryLiquid[[#Headers],[Fuel combusted]],0)</f>
        <v>31.4</v>
      </c>
      <c r="F68" s="244" t="str" cm="1">
        <f t="array" ref="F68">Common_InputFunctions.Utility_DisplayArrayInTable(Fuel_SourceData.Fuel_Scope1Scope3EmissionFactorsStationaryLiquid_Data(), Table_Fuel_EFs_StationaryLiquid[[#Headers],[Fuel combusted]],0)</f>
        <v>kL</v>
      </c>
      <c r="G68" s="244" cm="1">
        <f t="array" ref="G68">Common_InputFunctions.Utility_DisplayArrayInTable(Fuel_SourceData.Fuel_Scope1Scope3EmissionFactorsStationaryLiquid_Data(), Table_Fuel_EFs_StationaryLiquid[[#Headers],[Fuel combusted]],0)</f>
        <v>69.8</v>
      </c>
      <c r="H68" s="244" cm="1">
        <f t="array" ref="H68">Common_InputFunctions.Utility_DisplayArrayInTable(Fuel_SourceData.Fuel_Scope1Scope3EmissionFactorsStationaryLiquid_Data(), Table_Fuel_EFs_StationaryLiquid[[#Headers],[Fuel combusted]],0)</f>
        <v>0.01</v>
      </c>
      <c r="I68" s="244" cm="1">
        <f t="array" ref="I68">Common_InputFunctions.Utility_DisplayArrayInTable(Fuel_SourceData.Fuel_Scope1Scope3EmissionFactorsStationaryLiquid_Data(), Table_Fuel_EFs_StationaryLiquid[[#Headers],[Fuel combusted]],0)</f>
        <v>0.01</v>
      </c>
      <c r="J68" s="244" cm="1">
        <f t="array" ref="J68">Common_InputFunctions.Utility_DisplayArrayInTable(Fuel_SourceData.Fuel_Scope1Scope3EmissionFactorsStationaryLiquid_Data(), Table_Fuel_EFs_StationaryLiquid[[#Headers],[Fuel combusted]],0)</f>
        <v>69.819999999999993</v>
      </c>
      <c r="K68" s="244" cm="1">
        <f t="array" ref="K68">Common_InputFunctions.Utility_DisplayArrayInTable(Fuel_SourceData.Fuel_Scope1Scope3EmissionFactorsStationaryLiquid_Data(), Table_Fuel_EFs_StationaryLiquid[[#Headers],[Fuel combusted]],0)</f>
        <v>18</v>
      </c>
      <c r="L68" s="192"/>
    </row>
    <row r="69" spans="1:13" ht="20.100000000000001" customHeight="1" x14ac:dyDescent="0.25">
      <c r="D69" s="244" t="str" cm="1">
        <f t="array" ref="D69">Common_InputFunctions.Utility_DisplayArrayInTable(Fuel_SourceData.Fuel_Scope1Scope3EmissionFactorsStationaryLiquid_Data(), Table_Fuel_EFs_StationaryLiquid[[#Headers],[Fuel combusted]],0)</f>
        <v>Petroleum coke</v>
      </c>
      <c r="E69" s="244" cm="1">
        <f t="array" ref="E69">Common_InputFunctions.Utility_DisplayArrayInTable(Fuel_SourceData.Fuel_Scope1Scope3EmissionFactorsStationaryLiquid_Data(), Table_Fuel_EFs_StationaryLiquid[[#Headers],[Fuel combusted]],0)</f>
        <v>34.200000000000003</v>
      </c>
      <c r="F69" s="244" t="str" cm="1">
        <f t="array" ref="F69">Common_InputFunctions.Utility_DisplayArrayInTable(Fuel_SourceData.Fuel_Scope1Scope3EmissionFactorsStationaryLiquid_Data(), Table_Fuel_EFs_StationaryLiquid[[#Headers],[Fuel combusted]],0)</f>
        <v>t</v>
      </c>
      <c r="G69" s="244" cm="1">
        <f t="array" ref="G69">Common_InputFunctions.Utility_DisplayArrayInTable(Fuel_SourceData.Fuel_Scope1Scope3EmissionFactorsStationaryLiquid_Data(), Table_Fuel_EFs_StationaryLiquid[[#Headers],[Fuel combusted]],0)</f>
        <v>92.6</v>
      </c>
      <c r="H69" s="244" cm="1">
        <f t="array" ref="H69">Common_InputFunctions.Utility_DisplayArrayInTable(Fuel_SourceData.Fuel_Scope1Scope3EmissionFactorsStationaryLiquid_Data(), Table_Fuel_EFs_StationaryLiquid[[#Headers],[Fuel combusted]],0)</f>
        <v>0.08</v>
      </c>
      <c r="I69" s="244" cm="1">
        <f t="array" ref="I69">Common_InputFunctions.Utility_DisplayArrayInTable(Fuel_SourceData.Fuel_Scope1Scope3EmissionFactorsStationaryLiquid_Data(), Table_Fuel_EFs_StationaryLiquid[[#Headers],[Fuel combusted]],0)</f>
        <v>0.2</v>
      </c>
      <c r="J69" s="244" cm="1">
        <f t="array" ref="J69">Common_InputFunctions.Utility_DisplayArrayInTable(Fuel_SourceData.Fuel_Scope1Scope3EmissionFactorsStationaryLiquid_Data(), Table_Fuel_EFs_StationaryLiquid[[#Headers],[Fuel combusted]],0)</f>
        <v>92.88</v>
      </c>
      <c r="K69" s="244" cm="1">
        <f t="array" ref="K69">Common_InputFunctions.Utility_DisplayArrayInTable(Fuel_SourceData.Fuel_Scope1Scope3EmissionFactorsStationaryLiquid_Data(), Table_Fuel_EFs_StationaryLiquid[[#Headers],[Fuel combusted]],0)</f>
        <v>18</v>
      </c>
      <c r="L69" s="192"/>
    </row>
    <row r="70" spans="1:13" ht="20.100000000000001" customHeight="1" x14ac:dyDescent="0.25">
      <c r="D70" s="244" t="str" cm="1">
        <f t="array" ref="D70">Common_InputFunctions.Utility_DisplayArrayInTable(Fuel_SourceData.Fuel_Scope1Scope3EmissionFactorsStationaryLiquid_Data(), Table_Fuel_EFs_StationaryLiquid[[#Headers],[Fuel combusted]],0)</f>
        <v>Refinery gas and liquids</v>
      </c>
      <c r="E70" s="244" cm="1">
        <f t="array" ref="E70">Common_InputFunctions.Utility_DisplayArrayInTable(Fuel_SourceData.Fuel_Scope1Scope3EmissionFactorsStationaryLiquid_Data(), Table_Fuel_EFs_StationaryLiquid[[#Headers],[Fuel combusted]],0)</f>
        <v>42.9</v>
      </c>
      <c r="F70" s="244" t="str" cm="1">
        <f t="array" ref="F70">Common_InputFunctions.Utility_DisplayArrayInTable(Fuel_SourceData.Fuel_Scope1Scope3EmissionFactorsStationaryLiquid_Data(), Table_Fuel_EFs_StationaryLiquid[[#Headers],[Fuel combusted]],0)</f>
        <v>t</v>
      </c>
      <c r="G70" s="244" cm="1">
        <f t="array" ref="G70">Common_InputFunctions.Utility_DisplayArrayInTable(Fuel_SourceData.Fuel_Scope1Scope3EmissionFactorsStationaryLiquid_Data(), Table_Fuel_EFs_StationaryLiquid[[#Headers],[Fuel combusted]],0)</f>
        <v>54.7</v>
      </c>
      <c r="H70" s="244" cm="1">
        <f t="array" ref="H70">Common_InputFunctions.Utility_DisplayArrayInTable(Fuel_SourceData.Fuel_Scope1Scope3EmissionFactorsStationaryLiquid_Data(), Table_Fuel_EFs_StationaryLiquid[[#Headers],[Fuel combusted]],0)</f>
        <v>0.03</v>
      </c>
      <c r="I70" s="244" cm="1">
        <f t="array" ref="I70">Common_InputFunctions.Utility_DisplayArrayInTable(Fuel_SourceData.Fuel_Scope1Scope3EmissionFactorsStationaryLiquid_Data(), Table_Fuel_EFs_StationaryLiquid[[#Headers],[Fuel combusted]],0)</f>
        <v>0.03</v>
      </c>
      <c r="J70" s="244" cm="1">
        <f t="array" ref="J70">Common_InputFunctions.Utility_DisplayArrayInTable(Fuel_SourceData.Fuel_Scope1Scope3EmissionFactorsStationaryLiquid_Data(), Table_Fuel_EFs_StationaryLiquid[[#Headers],[Fuel combusted]],0)</f>
        <v>54.76</v>
      </c>
      <c r="K70" s="244" cm="1">
        <f t="array" ref="K70">Common_InputFunctions.Utility_DisplayArrayInTable(Fuel_SourceData.Fuel_Scope1Scope3EmissionFactorsStationaryLiquid_Data(), Table_Fuel_EFs_StationaryLiquid[[#Headers],[Fuel combusted]],0)</f>
        <v>18</v>
      </c>
      <c r="L70" s="192"/>
    </row>
    <row r="71" spans="1:13" ht="20.100000000000001" customHeight="1" x14ac:dyDescent="0.25">
      <c r="D71" s="244" t="str" cm="1">
        <f t="array" ref="D71">Common_InputFunctions.Utility_DisplayArrayInTable(Fuel_SourceData.Fuel_Scope1Scope3EmissionFactorsStationaryLiquid_Data(), Table_Fuel_EFs_StationaryLiquid[[#Headers],[Fuel combusted]],0)</f>
        <v>Refinery coke</v>
      </c>
      <c r="E71" s="244" cm="1">
        <f t="array" ref="E71">Common_InputFunctions.Utility_DisplayArrayInTable(Fuel_SourceData.Fuel_Scope1Scope3EmissionFactorsStationaryLiquid_Data(), Table_Fuel_EFs_StationaryLiquid[[#Headers],[Fuel combusted]],0)</f>
        <v>34.200000000000003</v>
      </c>
      <c r="F71" s="244" t="str" cm="1">
        <f t="array" ref="F71">Common_InputFunctions.Utility_DisplayArrayInTable(Fuel_SourceData.Fuel_Scope1Scope3EmissionFactorsStationaryLiquid_Data(), Table_Fuel_EFs_StationaryLiquid[[#Headers],[Fuel combusted]],0)</f>
        <v>t</v>
      </c>
      <c r="G71" s="244" cm="1">
        <f t="array" ref="G71">Common_InputFunctions.Utility_DisplayArrayInTable(Fuel_SourceData.Fuel_Scope1Scope3EmissionFactorsStationaryLiquid_Data(), Table_Fuel_EFs_StationaryLiquid[[#Headers],[Fuel combusted]],0)</f>
        <v>92.6</v>
      </c>
      <c r="H71" s="244" cm="1">
        <f t="array" ref="H71">Common_InputFunctions.Utility_DisplayArrayInTable(Fuel_SourceData.Fuel_Scope1Scope3EmissionFactorsStationaryLiquid_Data(), Table_Fuel_EFs_StationaryLiquid[[#Headers],[Fuel combusted]],0)</f>
        <v>0.08</v>
      </c>
      <c r="I71" s="244" cm="1">
        <f t="array" ref="I71">Common_InputFunctions.Utility_DisplayArrayInTable(Fuel_SourceData.Fuel_Scope1Scope3EmissionFactorsStationaryLiquid_Data(), Table_Fuel_EFs_StationaryLiquid[[#Headers],[Fuel combusted]],0)</f>
        <v>0.2</v>
      </c>
      <c r="J71" s="244" cm="1">
        <f t="array" ref="J71">Common_InputFunctions.Utility_DisplayArrayInTable(Fuel_SourceData.Fuel_Scope1Scope3EmissionFactorsStationaryLiquid_Data(), Table_Fuel_EFs_StationaryLiquid[[#Headers],[Fuel combusted]],0)</f>
        <v>92.88</v>
      </c>
      <c r="K71" s="244" cm="1">
        <f t="array" ref="K71">Common_InputFunctions.Utility_DisplayArrayInTable(Fuel_SourceData.Fuel_Scope1Scope3EmissionFactorsStationaryLiquid_Data(), Table_Fuel_EFs_StationaryLiquid[[#Headers],[Fuel combusted]],0)</f>
        <v>18</v>
      </c>
      <c r="L71" s="192"/>
    </row>
    <row r="72" spans="1:13" ht="20.100000000000001" customHeight="1" x14ac:dyDescent="0.25">
      <c r="D72" s="244" t="str" cm="1">
        <f t="array" ref="D72">Common_InputFunctions.Utility_DisplayArrayInTable(Fuel_SourceData.Fuel_Scope1Scope3EmissionFactorsStationaryLiquid_Data(), Table_Fuel_EFs_StationaryLiquid[[#Headers],[Fuel combusted]],0)</f>
        <v>Petroleum based products other than mentioned in the items above</v>
      </c>
      <c r="E72" s="244" cm="1">
        <f t="array" ref="E72">Common_InputFunctions.Utility_DisplayArrayInTable(Fuel_SourceData.Fuel_Scope1Scope3EmissionFactorsStationaryLiquid_Data(), Table_Fuel_EFs_StationaryLiquid[[#Headers],[Fuel combusted]],0)</f>
        <v>34.4</v>
      </c>
      <c r="F72" s="244" t="str" cm="1">
        <f t="array" ref="F72">Common_InputFunctions.Utility_DisplayArrayInTable(Fuel_SourceData.Fuel_Scope1Scope3EmissionFactorsStationaryLiquid_Data(), Table_Fuel_EFs_StationaryLiquid[[#Headers],[Fuel combusted]],0)</f>
        <v>kL</v>
      </c>
      <c r="G72" s="244" cm="1">
        <f t="array" ref="G72">Common_InputFunctions.Utility_DisplayArrayInTable(Fuel_SourceData.Fuel_Scope1Scope3EmissionFactorsStationaryLiquid_Data(), Table_Fuel_EFs_StationaryLiquid[[#Headers],[Fuel combusted]],0)</f>
        <v>69.8</v>
      </c>
      <c r="H72" s="244" cm="1">
        <f t="array" ref="H72">Common_InputFunctions.Utility_DisplayArrayInTable(Fuel_SourceData.Fuel_Scope1Scope3EmissionFactorsStationaryLiquid_Data(), Table_Fuel_EFs_StationaryLiquid[[#Headers],[Fuel combusted]],0)</f>
        <v>0.02</v>
      </c>
      <c r="I72" s="244" cm="1">
        <f t="array" ref="I72">Common_InputFunctions.Utility_DisplayArrayInTable(Fuel_SourceData.Fuel_Scope1Scope3EmissionFactorsStationaryLiquid_Data(), Table_Fuel_EFs_StationaryLiquid[[#Headers],[Fuel combusted]],0)</f>
        <v>0.1</v>
      </c>
      <c r="J72" s="244" cm="1">
        <f t="array" ref="J72">Common_InputFunctions.Utility_DisplayArrayInTable(Fuel_SourceData.Fuel_Scope1Scope3EmissionFactorsStationaryLiquid_Data(), Table_Fuel_EFs_StationaryLiquid[[#Headers],[Fuel combusted]],0)</f>
        <v>69.92</v>
      </c>
      <c r="K72" s="244" cm="1">
        <f t="array" ref="K72">Common_InputFunctions.Utility_DisplayArrayInTable(Fuel_SourceData.Fuel_Scope1Scope3EmissionFactorsStationaryLiquid_Data(), Table_Fuel_EFs_StationaryLiquid[[#Headers],[Fuel combusted]],0)</f>
        <v>18</v>
      </c>
      <c r="L72" s="192"/>
    </row>
    <row r="73" spans="1:13" ht="20.100000000000001" customHeight="1" x14ac:dyDescent="0.25">
      <c r="D73" s="244" t="str" cm="1">
        <f t="array" ref="D73">Common_InputFunctions.Utility_DisplayArrayInTable(Fuel_SourceData.Fuel_Scope1Scope3EmissionFactorsStationaryLiquid_Data(), Table_Fuel_EFs_StationaryLiquid[[#Headers],[Fuel combusted]],0)</f>
        <v>Biodiesel</v>
      </c>
      <c r="E73" s="244" cm="1">
        <f t="array" ref="E73">Common_InputFunctions.Utility_DisplayArrayInTable(Fuel_SourceData.Fuel_Scope1Scope3EmissionFactorsStationaryLiquid_Data(), Table_Fuel_EFs_StationaryLiquid[[#Headers],[Fuel combusted]],0)</f>
        <v>34.6</v>
      </c>
      <c r="F73" s="244" t="str" cm="1">
        <f t="array" ref="F73">Common_InputFunctions.Utility_DisplayArrayInTable(Fuel_SourceData.Fuel_Scope1Scope3EmissionFactorsStationaryLiquid_Data(), Table_Fuel_EFs_StationaryLiquid[[#Headers],[Fuel combusted]],0)</f>
        <v>kL</v>
      </c>
      <c r="G73" s="244" cm="1">
        <f t="array" ref="G73">Common_InputFunctions.Utility_DisplayArrayInTable(Fuel_SourceData.Fuel_Scope1Scope3EmissionFactorsStationaryLiquid_Data(), Table_Fuel_EFs_StationaryLiquid[[#Headers],[Fuel combusted]],0)</f>
        <v>0</v>
      </c>
      <c r="H73" s="244" cm="1">
        <f t="array" ref="H73">Common_InputFunctions.Utility_DisplayArrayInTable(Fuel_SourceData.Fuel_Scope1Scope3EmissionFactorsStationaryLiquid_Data(), Table_Fuel_EFs_StationaryLiquid[[#Headers],[Fuel combusted]],0)</f>
        <v>0.08</v>
      </c>
      <c r="I73" s="244" cm="1">
        <f t="array" ref="I73">Common_InputFunctions.Utility_DisplayArrayInTable(Fuel_SourceData.Fuel_Scope1Scope3EmissionFactorsStationaryLiquid_Data(), Table_Fuel_EFs_StationaryLiquid[[#Headers],[Fuel combusted]],0)</f>
        <v>0.2</v>
      </c>
      <c r="J73" s="244" cm="1">
        <f t="array" ref="J73">Common_InputFunctions.Utility_DisplayArrayInTable(Fuel_SourceData.Fuel_Scope1Scope3EmissionFactorsStationaryLiquid_Data(), Table_Fuel_EFs_StationaryLiquid[[#Headers],[Fuel combusted]],0)</f>
        <v>0.28000000000000003</v>
      </c>
      <c r="K73" s="244" t="str" cm="1">
        <f t="array" ref="K73">Common_InputFunctions.Utility_DisplayArrayInTable(Fuel_SourceData.Fuel_Scope1Scope3EmissionFactorsStationaryLiquid_Data(), Table_Fuel_EFs_StationaryLiquid[[#Headers],[Fuel combusted]],0)</f>
        <v>NE</v>
      </c>
      <c r="L73" s="192"/>
    </row>
    <row r="74" spans="1:13" ht="20.100000000000001" customHeight="1" x14ac:dyDescent="0.25">
      <c r="D74" s="244" t="str" cm="1">
        <f t="array" ref="D74">Common_InputFunctions.Utility_DisplayArrayInTable(Fuel_SourceData.Fuel_Scope1Scope3EmissionFactorsStationaryLiquid_Data(), Table_Fuel_EFs_StationaryLiquid[[#Headers],[Fuel combusted]],0)</f>
        <v>Ethanol for use as a fuel in an internal combustion engine</v>
      </c>
      <c r="E74" s="244" cm="1">
        <f t="array" ref="E74">Common_InputFunctions.Utility_DisplayArrayInTable(Fuel_SourceData.Fuel_Scope1Scope3EmissionFactorsStationaryLiquid_Data(), Table_Fuel_EFs_StationaryLiquid[[#Headers],[Fuel combusted]],0)</f>
        <v>23.4</v>
      </c>
      <c r="F74" s="244" t="str" cm="1">
        <f t="array" ref="F74">Common_InputFunctions.Utility_DisplayArrayInTable(Fuel_SourceData.Fuel_Scope1Scope3EmissionFactorsStationaryLiquid_Data(), Table_Fuel_EFs_StationaryLiquid[[#Headers],[Fuel combusted]],0)</f>
        <v>kL</v>
      </c>
      <c r="G74" s="244" cm="1">
        <f t="array" ref="G74">Common_InputFunctions.Utility_DisplayArrayInTable(Fuel_SourceData.Fuel_Scope1Scope3EmissionFactorsStationaryLiquid_Data(), Table_Fuel_EFs_StationaryLiquid[[#Headers],[Fuel combusted]],0)</f>
        <v>0</v>
      </c>
      <c r="H74" s="244" cm="1">
        <f t="array" ref="H74">Common_InputFunctions.Utility_DisplayArrayInTable(Fuel_SourceData.Fuel_Scope1Scope3EmissionFactorsStationaryLiquid_Data(), Table_Fuel_EFs_StationaryLiquid[[#Headers],[Fuel combusted]],0)</f>
        <v>0.08</v>
      </c>
      <c r="I74" s="244" cm="1">
        <f t="array" ref="I74">Common_InputFunctions.Utility_DisplayArrayInTable(Fuel_SourceData.Fuel_Scope1Scope3EmissionFactorsStationaryLiquid_Data(), Table_Fuel_EFs_StationaryLiquid[[#Headers],[Fuel combusted]],0)</f>
        <v>0.2</v>
      </c>
      <c r="J74" s="244" cm="1">
        <f t="array" ref="J74">Common_InputFunctions.Utility_DisplayArrayInTable(Fuel_SourceData.Fuel_Scope1Scope3EmissionFactorsStationaryLiquid_Data(), Table_Fuel_EFs_StationaryLiquid[[#Headers],[Fuel combusted]],0)</f>
        <v>0.28000000000000003</v>
      </c>
      <c r="K74" s="244" t="str" cm="1">
        <f t="array" ref="K74">Common_InputFunctions.Utility_DisplayArrayInTable(Fuel_SourceData.Fuel_Scope1Scope3EmissionFactorsStationaryLiquid_Data(), Table_Fuel_EFs_StationaryLiquid[[#Headers],[Fuel combusted]],0)</f>
        <v>NE</v>
      </c>
      <c r="L74" s="192"/>
    </row>
    <row r="75" spans="1:13" ht="20.100000000000001" customHeight="1" x14ac:dyDescent="0.25">
      <c r="D75" s="244" t="str" cm="1">
        <f t="array" ref="D75">Common_InputFunctions.Utility_DisplayArrayInTable(Fuel_SourceData.Fuel_Scope1Scope3EmissionFactorsStationaryLiquid_Data(), Table_Fuel_EFs_StationaryLiquid[[#Headers],[Fuel combusted]],0)</f>
        <v>Biofuels other than those mentioned in the items above and below</v>
      </c>
      <c r="E75" s="244" cm="1">
        <f t="array" ref="E75">Common_InputFunctions.Utility_DisplayArrayInTable(Fuel_SourceData.Fuel_Scope1Scope3EmissionFactorsStationaryLiquid_Data(), Table_Fuel_EFs_StationaryLiquid[[#Headers],[Fuel combusted]],0)</f>
        <v>23.4</v>
      </c>
      <c r="F75" s="244" t="str" cm="1">
        <f t="array" ref="F75">Common_InputFunctions.Utility_DisplayArrayInTable(Fuel_SourceData.Fuel_Scope1Scope3EmissionFactorsStationaryLiquid_Data(), Table_Fuel_EFs_StationaryLiquid[[#Headers],[Fuel combusted]],0)</f>
        <v>kL</v>
      </c>
      <c r="G75" s="244" cm="1">
        <f t="array" ref="G75">Common_InputFunctions.Utility_DisplayArrayInTable(Fuel_SourceData.Fuel_Scope1Scope3EmissionFactorsStationaryLiquid_Data(), Table_Fuel_EFs_StationaryLiquid[[#Headers],[Fuel combusted]],0)</f>
        <v>0</v>
      </c>
      <c r="H75" s="244" cm="1">
        <f t="array" ref="H75">Common_InputFunctions.Utility_DisplayArrayInTable(Fuel_SourceData.Fuel_Scope1Scope3EmissionFactorsStationaryLiquid_Data(), Table_Fuel_EFs_StationaryLiquid[[#Headers],[Fuel combusted]],0)</f>
        <v>0.08</v>
      </c>
      <c r="I75" s="244" cm="1">
        <f t="array" ref="I75">Common_InputFunctions.Utility_DisplayArrayInTable(Fuel_SourceData.Fuel_Scope1Scope3EmissionFactorsStationaryLiquid_Data(), Table_Fuel_EFs_StationaryLiquid[[#Headers],[Fuel combusted]],0)</f>
        <v>0.2</v>
      </c>
      <c r="J75" s="244" cm="1">
        <f t="array" ref="J75">Common_InputFunctions.Utility_DisplayArrayInTable(Fuel_SourceData.Fuel_Scope1Scope3EmissionFactorsStationaryLiquid_Data(), Table_Fuel_EFs_StationaryLiquid[[#Headers],[Fuel combusted]],0)</f>
        <v>0.28000000000000003</v>
      </c>
      <c r="K75" s="244" t="str" cm="1">
        <f t="array" ref="K75">Common_InputFunctions.Utility_DisplayArrayInTable(Fuel_SourceData.Fuel_Scope1Scope3EmissionFactorsStationaryLiquid_Data(), Table_Fuel_EFs_StationaryLiquid[[#Headers],[Fuel combusted]],0)</f>
        <v>NE</v>
      </c>
      <c r="L75" s="192"/>
    </row>
    <row r="76" spans="1:13" ht="20.100000000000001" customHeight="1" x14ac:dyDescent="0.25">
      <c r="D76" s="244" t="str" cm="1">
        <f t="array" ref="D76">Common_InputFunctions.Utility_DisplayArrayInTable(Fuel_SourceData.Fuel_Scope1Scope3EmissionFactorsStationaryLiquid_Data(), Table_Fuel_EFs_StationaryLiquid[[#Headers],[Fuel combusted]],0)</f>
        <v>Renewable aviation kerosene</v>
      </c>
      <c r="E76" s="244" cm="1">
        <f t="array" ref="E76">Common_InputFunctions.Utility_DisplayArrayInTable(Fuel_SourceData.Fuel_Scope1Scope3EmissionFactorsStationaryLiquid_Data(), Table_Fuel_EFs_StationaryLiquid[[#Headers],[Fuel combusted]],0)</f>
        <v>36.799999999999997</v>
      </c>
      <c r="F76" s="244" t="str" cm="1">
        <f t="array" ref="F76">Common_InputFunctions.Utility_DisplayArrayInTable(Fuel_SourceData.Fuel_Scope1Scope3EmissionFactorsStationaryLiquid_Data(), Table_Fuel_EFs_StationaryLiquid[[#Headers],[Fuel combusted]],0)</f>
        <v>kL</v>
      </c>
      <c r="G76" s="244" cm="1">
        <f t="array" ref="G76">Common_InputFunctions.Utility_DisplayArrayInTable(Fuel_SourceData.Fuel_Scope1Scope3EmissionFactorsStationaryLiquid_Data(), Table_Fuel_EFs_StationaryLiquid[[#Headers],[Fuel combusted]],0)</f>
        <v>0</v>
      </c>
      <c r="H76" s="244" cm="1">
        <f t="array" ref="H76">Common_InputFunctions.Utility_DisplayArrayInTable(Fuel_SourceData.Fuel_Scope1Scope3EmissionFactorsStationaryLiquid_Data(), Table_Fuel_EFs_StationaryLiquid[[#Headers],[Fuel combusted]],0)</f>
        <v>0.02</v>
      </c>
      <c r="I76" s="244" cm="1">
        <f t="array" ref="I76">Common_InputFunctions.Utility_DisplayArrayInTable(Fuel_SourceData.Fuel_Scope1Scope3EmissionFactorsStationaryLiquid_Data(), Table_Fuel_EFs_StationaryLiquid[[#Headers],[Fuel combusted]],0)</f>
        <v>0.2</v>
      </c>
      <c r="J76" s="244" cm="1">
        <f t="array" ref="J76">Common_InputFunctions.Utility_DisplayArrayInTable(Fuel_SourceData.Fuel_Scope1Scope3EmissionFactorsStationaryLiquid_Data(), Table_Fuel_EFs_StationaryLiquid[[#Headers],[Fuel combusted]],0)</f>
        <v>0.22</v>
      </c>
      <c r="K76" s="244" t="str" cm="1">
        <f t="array" ref="K76">Common_InputFunctions.Utility_DisplayArrayInTable(Fuel_SourceData.Fuel_Scope1Scope3EmissionFactorsStationaryLiquid_Data(), Table_Fuel_EFs_StationaryLiquid[[#Headers],[Fuel combusted]],0)</f>
        <v>NE</v>
      </c>
      <c r="L76" s="192"/>
    </row>
    <row r="77" spans="1:13" ht="20.100000000000001" customHeight="1" x14ac:dyDescent="0.25">
      <c r="D77" s="244" t="str" cm="1">
        <f t="array" ref="D77">Common_InputFunctions.Utility_DisplayArrayInTable(Fuel_SourceData.Fuel_Scope1Scope3EmissionFactorsStationaryLiquid_Data(), Table_Fuel_EFs_StationaryLiquid[[#Headers],[Fuel combusted]],0)</f>
        <v>Renewable diesel</v>
      </c>
      <c r="E77" s="244" cm="1">
        <f t="array" ref="E77">Common_InputFunctions.Utility_DisplayArrayInTable(Fuel_SourceData.Fuel_Scope1Scope3EmissionFactorsStationaryLiquid_Data(), Table_Fuel_EFs_StationaryLiquid[[#Headers],[Fuel combusted]],0)</f>
        <v>38.6</v>
      </c>
      <c r="F77" s="244" t="str" cm="1">
        <f t="array" ref="F77">Common_InputFunctions.Utility_DisplayArrayInTable(Fuel_SourceData.Fuel_Scope1Scope3EmissionFactorsStationaryLiquid_Data(), Table_Fuel_EFs_StationaryLiquid[[#Headers],[Fuel combusted]],0)</f>
        <v>kL</v>
      </c>
      <c r="G77" s="244" cm="1">
        <f t="array" ref="G77">Common_InputFunctions.Utility_DisplayArrayInTable(Fuel_SourceData.Fuel_Scope1Scope3EmissionFactorsStationaryLiquid_Data(), Table_Fuel_EFs_StationaryLiquid[[#Headers],[Fuel combusted]],0)</f>
        <v>0</v>
      </c>
      <c r="H77" s="244" cm="1">
        <f t="array" ref="H77">Common_InputFunctions.Utility_DisplayArrayInTable(Fuel_SourceData.Fuel_Scope1Scope3EmissionFactorsStationaryLiquid_Data(), Table_Fuel_EFs_StationaryLiquid[[#Headers],[Fuel combusted]],0)</f>
        <v>0.1</v>
      </c>
      <c r="I77" s="244" cm="1">
        <f t="array" ref="I77">Common_InputFunctions.Utility_DisplayArrayInTable(Fuel_SourceData.Fuel_Scope1Scope3EmissionFactorsStationaryLiquid_Data(), Table_Fuel_EFs_StationaryLiquid[[#Headers],[Fuel combusted]],0)</f>
        <v>0.2</v>
      </c>
      <c r="J77" s="244" cm="1">
        <f t="array" ref="J77">Common_InputFunctions.Utility_DisplayArrayInTable(Fuel_SourceData.Fuel_Scope1Scope3EmissionFactorsStationaryLiquid_Data(), Table_Fuel_EFs_StationaryLiquid[[#Headers],[Fuel combusted]],0)</f>
        <v>0.3</v>
      </c>
      <c r="K77" s="244" t="str" cm="1">
        <f t="array" ref="K77">Common_InputFunctions.Utility_DisplayArrayInTable(Fuel_SourceData.Fuel_Scope1Scope3EmissionFactorsStationaryLiquid_Data(), Table_Fuel_EFs_StationaryLiquid[[#Headers],[Fuel combusted]],0)</f>
        <v>NE</v>
      </c>
      <c r="L77" s="192"/>
    </row>
    <row r="78" spans="1:13" ht="20.100000000000001" customHeight="1" x14ac:dyDescent="0.25">
      <c r="D78" s="192"/>
      <c r="E78" s="192"/>
      <c r="F78" s="192"/>
      <c r="G78" s="192"/>
      <c r="H78" s="192"/>
      <c r="I78" s="192"/>
      <c r="J78" s="192"/>
      <c r="K78" s="192"/>
      <c r="L78" s="192"/>
    </row>
    <row r="79" spans="1:13" ht="20.100000000000001" customHeight="1" x14ac:dyDescent="0.25">
      <c r="D79" s="192"/>
      <c r="E79" s="192"/>
      <c r="F79" s="192"/>
      <c r="G79" s="192"/>
      <c r="H79" s="192"/>
      <c r="I79" s="192"/>
      <c r="J79" s="192"/>
      <c r="K79" s="192"/>
      <c r="L79" s="192"/>
      <c r="M79" s="192"/>
    </row>
    <row r="80" spans="1:13" ht="20.100000000000001" customHeight="1" x14ac:dyDescent="0.25">
      <c r="D80" s="192"/>
      <c r="E80" s="192"/>
      <c r="F80" s="192"/>
      <c r="G80" s="192"/>
      <c r="H80" s="192"/>
      <c r="I80" s="192"/>
      <c r="J80" s="192"/>
      <c r="K80" s="192"/>
      <c r="L80" s="192"/>
      <c r="M80" s="192"/>
    </row>
    <row r="81" spans="4:12" ht="20.100000000000001" customHeight="1" x14ac:dyDescent="0.25">
      <c r="D81" s="2" t="str" cm="1">
        <f t="array" ref="D81">Fuel_SourceData.Fuel_Scope1EmissionFactorsStationaryGaseous_Title()</f>
        <v>Fuel scope 1 emission factors - Stationary gaseous fuels</v>
      </c>
      <c r="E81" s="192"/>
      <c r="F81" s="192"/>
      <c r="G81" s="192"/>
      <c r="H81" s="192"/>
      <c r="I81" s="192"/>
      <c r="J81" s="192"/>
      <c r="K81" s="192"/>
      <c r="L81" s="19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92"/>
      <c r="F82" s="192"/>
      <c r="G82" s="192"/>
      <c r="H82" s="192"/>
      <c r="I82" s="192"/>
      <c r="J82" s="192"/>
      <c r="K82" s="192"/>
      <c r="L82" s="192"/>
    </row>
    <row r="83" spans="4:12" ht="20.100000000000001" customHeight="1" x14ac:dyDescent="0.25">
      <c r="D83" s="27" t="str" cm="1">
        <f t="array" ref="D83">Fuel_SourceData.Fuel_Scope1EmissionFactorsStationaryGaseous_Source()</f>
        <v>Australian National Greenhouse Accounts Factors 2025 - Table 5</v>
      </c>
      <c r="E83" s="192"/>
      <c r="F83" s="192"/>
      <c r="G83" s="192"/>
      <c r="H83" s="192"/>
      <c r="I83" s="192"/>
      <c r="J83" s="192"/>
      <c r="K83" s="192"/>
      <c r="L83" s="192"/>
    </row>
    <row r="84" spans="4:12" ht="20.100000000000001" customHeight="1" x14ac:dyDescent="0.25">
      <c r="D84" s="3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92"/>
      <c r="F84" s="192"/>
      <c r="G84" s="192"/>
      <c r="H84" s="192"/>
      <c r="I84" s="192"/>
      <c r="J84" s="192"/>
      <c r="K84" s="192"/>
      <c r="L84" s="192"/>
    </row>
    <row r="85" spans="4:12" ht="20.100000000000001" customHeight="1" x14ac:dyDescent="0.25">
      <c r="D85" s="192"/>
      <c r="E85" s="192"/>
      <c r="F85" s="192"/>
      <c r="G85" s="192"/>
      <c r="H85" s="192"/>
      <c r="I85" s="192"/>
      <c r="J85" s="192"/>
      <c r="K85" s="192"/>
      <c r="L85" s="192"/>
    </row>
    <row r="86" spans="4:12" ht="20.100000000000001" customHeight="1" x14ac:dyDescent="0.25">
      <c r="D86" s="209" t="s">
        <v>837</v>
      </c>
      <c r="E86" s="241" t="s">
        <v>838</v>
      </c>
      <c r="F86" s="209" t="s">
        <v>839</v>
      </c>
      <c r="G86" s="241" t="s">
        <v>840</v>
      </c>
      <c r="H86" s="241" t="s">
        <v>841</v>
      </c>
      <c r="I86" s="241" t="s">
        <v>842</v>
      </c>
      <c r="J86" s="241" t="s">
        <v>843</v>
      </c>
      <c r="K86" s="192"/>
      <c r="L86" s="192"/>
    </row>
    <row r="87" spans="4:12" ht="20.100000000000001" customHeight="1" x14ac:dyDescent="0.25">
      <c r="D87" s="244" t="str" cm="1">
        <f t="array" ref="D87">Common_InputFunctions.Utility_DisplayArrayInTable(Fuel_SourceData.Fuel_Scope1EmissionFactorsStationaryGaseous_Data(), Table_Fuel_EFs_StationaryGaseous[[#Headers],[Fuel combusted]],0)</f>
        <v>Natural gas distributed in a pipeline</v>
      </c>
      <c r="E87" s="244" cm="1">
        <f t="array" ref="E87">Common_InputFunctions.Utility_DisplayArrayInTable(Fuel_SourceData.Fuel_Scope1EmissionFactorsStationaryGaseous_Data(), Table_Fuel_EFs_StationaryGaseous[[#Headers],[Fuel combusted]],0)</f>
        <v>3.9300000000000002E-2</v>
      </c>
      <c r="F87" s="244" t="str" cm="1">
        <f t="array" ref="F87">Common_InputFunctions.Utility_DisplayArrayInTable(Fuel_SourceData.Fuel_Scope1EmissionFactorsStationaryGaseous_Data(), Table_Fuel_EFs_StationaryGaseous[[#Headers],[Fuel combusted]],0)</f>
        <v>m3</v>
      </c>
      <c r="G87" s="244" cm="1">
        <f t="array" ref="G87">Common_InputFunctions.Utility_DisplayArrayInTable(Fuel_SourceData.Fuel_Scope1EmissionFactorsStationaryGaseous_Data(), Table_Fuel_EFs_StationaryGaseous[[#Headers],[Fuel combusted]],0)</f>
        <v>51.4</v>
      </c>
      <c r="H87" s="244" cm="1">
        <f t="array" ref="H87">Common_InputFunctions.Utility_DisplayArrayInTable(Fuel_SourceData.Fuel_Scope1EmissionFactorsStationaryGaseous_Data(), Table_Fuel_EFs_StationaryGaseous[[#Headers],[Fuel combusted]],0)</f>
        <v>0.1</v>
      </c>
      <c r="I87" s="244" cm="1">
        <f t="array" ref="I87">Common_InputFunctions.Utility_DisplayArrayInTable(Fuel_SourceData.Fuel_Scope1EmissionFactorsStationaryGaseous_Data(), Table_Fuel_EFs_StationaryGaseous[[#Headers],[Fuel combusted]],0)</f>
        <v>0.03</v>
      </c>
      <c r="J87" s="244" cm="1">
        <f t="array" ref="J87">Common_InputFunctions.Utility_DisplayArrayInTable(Fuel_SourceData.Fuel_Scope1EmissionFactorsStationaryGaseous_Data(), Table_Fuel_EFs_StationaryGaseous[[#Headers],[Fuel combusted]],0)</f>
        <v>51.53</v>
      </c>
      <c r="K87" s="192"/>
      <c r="L87" s="192"/>
    </row>
    <row r="88" spans="4:12" ht="20.100000000000001" customHeight="1" x14ac:dyDescent="0.25">
      <c r="D88" s="244" t="str" cm="1">
        <f t="array" ref="D88">Common_InputFunctions.Utility_DisplayArrayInTable(Fuel_SourceData.Fuel_Scope1EmissionFactorsStationaryGaseous_Data(), Table_Fuel_EFs_StationaryGaseous[[#Headers],[Fuel combusted]],0)</f>
        <v>Coal seam methane that is captured for combustion</v>
      </c>
      <c r="E88" s="244" cm="1">
        <f t="array" ref="E88">Common_InputFunctions.Utility_DisplayArrayInTable(Fuel_SourceData.Fuel_Scope1EmissionFactorsStationaryGaseous_Data(), Table_Fuel_EFs_StationaryGaseous[[#Headers],[Fuel combusted]],0)</f>
        <v>3.7699999999999997E-2</v>
      </c>
      <c r="F88" s="244" t="str" cm="1">
        <f t="array" ref="F88">Common_InputFunctions.Utility_DisplayArrayInTable(Fuel_SourceData.Fuel_Scope1EmissionFactorsStationaryGaseous_Data(), Table_Fuel_EFs_StationaryGaseous[[#Headers],[Fuel combusted]],0)</f>
        <v>m3</v>
      </c>
      <c r="G88" s="244" cm="1">
        <f t="array" ref="G88">Common_InputFunctions.Utility_DisplayArrayInTable(Fuel_SourceData.Fuel_Scope1EmissionFactorsStationaryGaseous_Data(), Table_Fuel_EFs_StationaryGaseous[[#Headers],[Fuel combusted]],0)</f>
        <v>51.4</v>
      </c>
      <c r="H88" s="244" cm="1">
        <f t="array" ref="H88">Common_InputFunctions.Utility_DisplayArrayInTable(Fuel_SourceData.Fuel_Scope1EmissionFactorsStationaryGaseous_Data(), Table_Fuel_EFs_StationaryGaseous[[#Headers],[Fuel combusted]],0)</f>
        <v>0.2</v>
      </c>
      <c r="I88" s="244" cm="1">
        <f t="array" ref="I88">Common_InputFunctions.Utility_DisplayArrayInTable(Fuel_SourceData.Fuel_Scope1EmissionFactorsStationaryGaseous_Data(), Table_Fuel_EFs_StationaryGaseous[[#Headers],[Fuel combusted]],0)</f>
        <v>0.03</v>
      </c>
      <c r="J88" s="244" cm="1">
        <f t="array" ref="J88">Common_InputFunctions.Utility_DisplayArrayInTable(Fuel_SourceData.Fuel_Scope1EmissionFactorsStationaryGaseous_Data(), Table_Fuel_EFs_StationaryGaseous[[#Headers],[Fuel combusted]],0)</f>
        <v>51.63</v>
      </c>
      <c r="K88" s="192"/>
      <c r="L88" s="192"/>
    </row>
    <row r="89" spans="4:12" ht="20.100000000000001" customHeight="1" x14ac:dyDescent="0.25">
      <c r="D89" s="244" t="str" cm="1">
        <f t="array" ref="D89">Common_InputFunctions.Utility_DisplayArrayInTable(Fuel_SourceData.Fuel_Scope1EmissionFactorsStationaryGaseous_Data(), Table_Fuel_EFs_StationaryGaseous[[#Headers],[Fuel combusted]],0)</f>
        <v>Coal mine waste gas that is captured for combustion</v>
      </c>
      <c r="E89" s="244" cm="1">
        <f t="array" ref="E89">Common_InputFunctions.Utility_DisplayArrayInTable(Fuel_SourceData.Fuel_Scope1EmissionFactorsStationaryGaseous_Data(), Table_Fuel_EFs_StationaryGaseous[[#Headers],[Fuel combusted]],0)</f>
        <v>3.7699999999999997E-2</v>
      </c>
      <c r="F89" s="244" t="str" cm="1">
        <f t="array" ref="F89">Common_InputFunctions.Utility_DisplayArrayInTable(Fuel_SourceData.Fuel_Scope1EmissionFactorsStationaryGaseous_Data(), Table_Fuel_EFs_StationaryGaseous[[#Headers],[Fuel combusted]],0)</f>
        <v>m3</v>
      </c>
      <c r="G89" s="244" cm="1">
        <f t="array" ref="G89">Common_InputFunctions.Utility_DisplayArrayInTable(Fuel_SourceData.Fuel_Scope1EmissionFactorsStationaryGaseous_Data(), Table_Fuel_EFs_StationaryGaseous[[#Headers],[Fuel combusted]],0)</f>
        <v>51.9</v>
      </c>
      <c r="H89" s="244" cm="1">
        <f t="array" ref="H89">Common_InputFunctions.Utility_DisplayArrayInTable(Fuel_SourceData.Fuel_Scope1EmissionFactorsStationaryGaseous_Data(), Table_Fuel_EFs_StationaryGaseous[[#Headers],[Fuel combusted]],0)</f>
        <v>4.5999999999999996</v>
      </c>
      <c r="I89" s="244" cm="1">
        <f t="array" ref="I89">Common_InputFunctions.Utility_DisplayArrayInTable(Fuel_SourceData.Fuel_Scope1EmissionFactorsStationaryGaseous_Data(), Table_Fuel_EFs_StationaryGaseous[[#Headers],[Fuel combusted]],0)</f>
        <v>0.3</v>
      </c>
      <c r="J89" s="244" cm="1">
        <f t="array" ref="J89">Common_InputFunctions.Utility_DisplayArrayInTable(Fuel_SourceData.Fuel_Scope1EmissionFactorsStationaryGaseous_Data(), Table_Fuel_EFs_StationaryGaseous[[#Headers],[Fuel combusted]],0)</f>
        <v>56.8</v>
      </c>
      <c r="K89" s="192"/>
      <c r="L89" s="192"/>
    </row>
    <row r="90" spans="4:12" ht="20.100000000000001" customHeight="1" x14ac:dyDescent="0.25">
      <c r="D90" s="244" t="str" cm="1">
        <f t="array" ref="D90">Common_InputFunctions.Utility_DisplayArrayInTable(Fuel_SourceData.Fuel_Scope1EmissionFactorsStationaryGaseous_Data(), Table_Fuel_EFs_StationaryGaseous[[#Headers],[Fuel combusted]],0)</f>
        <v>Compressed natural gas(reverting to standard conditions)</v>
      </c>
      <c r="E90" s="244" cm="1">
        <f t="array" ref="E90">Common_InputFunctions.Utility_DisplayArrayInTable(Fuel_SourceData.Fuel_Scope1EmissionFactorsStationaryGaseous_Data(), Table_Fuel_EFs_StationaryGaseous[[#Headers],[Fuel combusted]],0)</f>
        <v>3.9300000000000002E-2</v>
      </c>
      <c r="F90" s="244" t="str" cm="1">
        <f t="array" ref="F90">Common_InputFunctions.Utility_DisplayArrayInTable(Fuel_SourceData.Fuel_Scope1EmissionFactorsStationaryGaseous_Data(), Table_Fuel_EFs_StationaryGaseous[[#Headers],[Fuel combusted]],0)</f>
        <v>m3</v>
      </c>
      <c r="G90" s="244" cm="1">
        <f t="array" ref="G90">Common_InputFunctions.Utility_DisplayArrayInTable(Fuel_SourceData.Fuel_Scope1EmissionFactorsStationaryGaseous_Data(), Table_Fuel_EFs_StationaryGaseous[[#Headers],[Fuel combusted]],0)</f>
        <v>51.4</v>
      </c>
      <c r="H90" s="244" cm="1">
        <f t="array" ref="H90">Common_InputFunctions.Utility_DisplayArrayInTable(Fuel_SourceData.Fuel_Scope1EmissionFactorsStationaryGaseous_Data(), Table_Fuel_EFs_StationaryGaseous[[#Headers],[Fuel combusted]],0)</f>
        <v>0.1</v>
      </c>
      <c r="I90" s="244" cm="1">
        <f t="array" ref="I90">Common_InputFunctions.Utility_DisplayArrayInTable(Fuel_SourceData.Fuel_Scope1EmissionFactorsStationaryGaseous_Data(), Table_Fuel_EFs_StationaryGaseous[[#Headers],[Fuel combusted]],0)</f>
        <v>0.03</v>
      </c>
      <c r="J90" s="244" cm="1">
        <f t="array" ref="J90">Common_InputFunctions.Utility_DisplayArrayInTable(Fuel_SourceData.Fuel_Scope1EmissionFactorsStationaryGaseous_Data(), Table_Fuel_EFs_StationaryGaseous[[#Headers],[Fuel combusted]],0)</f>
        <v>51.53</v>
      </c>
      <c r="K90" s="192"/>
      <c r="L90" s="192"/>
    </row>
    <row r="91" spans="4:12" ht="20.100000000000001" customHeight="1" x14ac:dyDescent="0.25">
      <c r="D91" s="244" t="str" cm="1">
        <f t="array" ref="D91">Common_InputFunctions.Utility_DisplayArrayInTable(Fuel_SourceData.Fuel_Scope1EmissionFactorsStationaryGaseous_Data(), Table_Fuel_EFs_StationaryGaseous[[#Headers],[Fuel combusted]],0)</f>
        <v>Unprocessed natural gas</v>
      </c>
      <c r="E91" s="244" cm="1">
        <f t="array" ref="E91">Common_InputFunctions.Utility_DisplayArrayInTable(Fuel_SourceData.Fuel_Scope1EmissionFactorsStationaryGaseous_Data(), Table_Fuel_EFs_StationaryGaseous[[#Headers],[Fuel combusted]],0)</f>
        <v>3.9300000000000002E-2</v>
      </c>
      <c r="F91" s="244" t="str" cm="1">
        <f t="array" ref="F91">Common_InputFunctions.Utility_DisplayArrayInTable(Fuel_SourceData.Fuel_Scope1EmissionFactorsStationaryGaseous_Data(), Table_Fuel_EFs_StationaryGaseous[[#Headers],[Fuel combusted]],0)</f>
        <v>m3</v>
      </c>
      <c r="G91" s="244" cm="1">
        <f t="array" ref="G91">Common_InputFunctions.Utility_DisplayArrayInTable(Fuel_SourceData.Fuel_Scope1EmissionFactorsStationaryGaseous_Data(), Table_Fuel_EFs_StationaryGaseous[[#Headers],[Fuel combusted]],0)</f>
        <v>51.4</v>
      </c>
      <c r="H91" s="244" cm="1">
        <f t="array" ref="H91">Common_InputFunctions.Utility_DisplayArrayInTable(Fuel_SourceData.Fuel_Scope1EmissionFactorsStationaryGaseous_Data(), Table_Fuel_EFs_StationaryGaseous[[#Headers],[Fuel combusted]],0)</f>
        <v>0.1</v>
      </c>
      <c r="I91" s="244" cm="1">
        <f t="array" ref="I91">Common_InputFunctions.Utility_DisplayArrayInTable(Fuel_SourceData.Fuel_Scope1EmissionFactorsStationaryGaseous_Data(), Table_Fuel_EFs_StationaryGaseous[[#Headers],[Fuel combusted]],0)</f>
        <v>0.03</v>
      </c>
      <c r="J91" s="244" cm="1">
        <f t="array" ref="J91">Common_InputFunctions.Utility_DisplayArrayInTable(Fuel_SourceData.Fuel_Scope1EmissionFactorsStationaryGaseous_Data(), Table_Fuel_EFs_StationaryGaseous[[#Headers],[Fuel combusted]],0)</f>
        <v>51.53</v>
      </c>
      <c r="K91" s="192"/>
      <c r="L91" s="192"/>
    </row>
    <row r="92" spans="4:12" ht="20.100000000000001" customHeight="1" x14ac:dyDescent="0.25">
      <c r="D92" s="244" t="str" cm="1">
        <f t="array" ref="D92">Common_InputFunctions.Utility_DisplayArrayInTable(Fuel_SourceData.Fuel_Scope1EmissionFactorsStationaryGaseous_Data(), Table_Fuel_EFs_StationaryGaseous[[#Headers],[Fuel combusted]],0)</f>
        <v>Ethane</v>
      </c>
      <c r="E92" s="244" cm="1">
        <f t="array" ref="E92">Common_InputFunctions.Utility_DisplayArrayInTable(Fuel_SourceData.Fuel_Scope1EmissionFactorsStationaryGaseous_Data(), Table_Fuel_EFs_StationaryGaseous[[#Headers],[Fuel combusted]],0)</f>
        <v>6.2899999999999998E-2</v>
      </c>
      <c r="F92" s="244" t="str" cm="1">
        <f t="array" ref="F92">Common_InputFunctions.Utility_DisplayArrayInTable(Fuel_SourceData.Fuel_Scope1EmissionFactorsStationaryGaseous_Data(), Table_Fuel_EFs_StationaryGaseous[[#Headers],[Fuel combusted]],0)</f>
        <v>m3</v>
      </c>
      <c r="G92" s="244" cm="1">
        <f t="array" ref="G92">Common_InputFunctions.Utility_DisplayArrayInTable(Fuel_SourceData.Fuel_Scope1EmissionFactorsStationaryGaseous_Data(), Table_Fuel_EFs_StationaryGaseous[[#Headers],[Fuel combusted]],0)</f>
        <v>56.5</v>
      </c>
      <c r="H92" s="244" cm="1">
        <f t="array" ref="H92">Common_InputFunctions.Utility_DisplayArrayInTable(Fuel_SourceData.Fuel_Scope1EmissionFactorsStationaryGaseous_Data(), Table_Fuel_EFs_StationaryGaseous[[#Headers],[Fuel combusted]],0)</f>
        <v>0.03</v>
      </c>
      <c r="I92" s="244" cm="1">
        <f t="array" ref="I92">Common_InputFunctions.Utility_DisplayArrayInTable(Fuel_SourceData.Fuel_Scope1EmissionFactorsStationaryGaseous_Data(), Table_Fuel_EFs_StationaryGaseous[[#Headers],[Fuel combusted]],0)</f>
        <v>0.03</v>
      </c>
      <c r="J92" s="244" cm="1">
        <f t="array" ref="J92">Common_InputFunctions.Utility_DisplayArrayInTable(Fuel_SourceData.Fuel_Scope1EmissionFactorsStationaryGaseous_Data(), Table_Fuel_EFs_StationaryGaseous[[#Headers],[Fuel combusted]],0)</f>
        <v>56.56</v>
      </c>
      <c r="K92" s="192"/>
      <c r="L92" s="192"/>
    </row>
    <row r="93" spans="4:12" ht="20.100000000000001" customHeight="1" x14ac:dyDescent="0.25">
      <c r="D93" s="244" t="str" cm="1">
        <f t="array" ref="D93">Common_InputFunctions.Utility_DisplayArrayInTable(Fuel_SourceData.Fuel_Scope1EmissionFactorsStationaryGaseous_Data(), Table_Fuel_EFs_StationaryGaseous[[#Headers],[Fuel combusted]],0)</f>
        <v>Coke oven gas</v>
      </c>
      <c r="E93" s="244" cm="1">
        <f t="array" ref="E93">Common_InputFunctions.Utility_DisplayArrayInTable(Fuel_SourceData.Fuel_Scope1EmissionFactorsStationaryGaseous_Data(), Table_Fuel_EFs_StationaryGaseous[[#Headers],[Fuel combusted]],0)</f>
        <v>1.8100000000000002E-2</v>
      </c>
      <c r="F93" s="244" t="str" cm="1">
        <f t="array" ref="F93">Common_InputFunctions.Utility_DisplayArrayInTable(Fuel_SourceData.Fuel_Scope1EmissionFactorsStationaryGaseous_Data(), Table_Fuel_EFs_StationaryGaseous[[#Headers],[Fuel combusted]],0)</f>
        <v>m3</v>
      </c>
      <c r="G93" s="244" cm="1">
        <f t="array" ref="G93">Common_InputFunctions.Utility_DisplayArrayInTable(Fuel_SourceData.Fuel_Scope1EmissionFactorsStationaryGaseous_Data(), Table_Fuel_EFs_StationaryGaseous[[#Headers],[Fuel combusted]],0)</f>
        <v>37</v>
      </c>
      <c r="H93" s="244" cm="1">
        <f t="array" ref="H93">Common_InputFunctions.Utility_DisplayArrayInTable(Fuel_SourceData.Fuel_Scope1EmissionFactorsStationaryGaseous_Data(), Table_Fuel_EFs_StationaryGaseous[[#Headers],[Fuel combusted]],0)</f>
        <v>0.03</v>
      </c>
      <c r="I93" s="244" cm="1">
        <f t="array" ref="I93">Common_InputFunctions.Utility_DisplayArrayInTable(Fuel_SourceData.Fuel_Scope1EmissionFactorsStationaryGaseous_Data(), Table_Fuel_EFs_StationaryGaseous[[#Headers],[Fuel combusted]],0)</f>
        <v>0.05</v>
      </c>
      <c r="J93" s="244" cm="1">
        <f t="array" ref="J93">Common_InputFunctions.Utility_DisplayArrayInTable(Fuel_SourceData.Fuel_Scope1EmissionFactorsStationaryGaseous_Data(), Table_Fuel_EFs_StationaryGaseous[[#Headers],[Fuel combusted]],0)</f>
        <v>37.08</v>
      </c>
      <c r="K93" s="192"/>
      <c r="L93" s="192"/>
    </row>
    <row r="94" spans="4:12" ht="20.100000000000001" customHeight="1" x14ac:dyDescent="0.25">
      <c r="D94" s="244" t="str" cm="1">
        <f t="array" ref="D94">Common_InputFunctions.Utility_DisplayArrayInTable(Fuel_SourceData.Fuel_Scope1EmissionFactorsStationaryGaseous_Data(), Table_Fuel_EFs_StationaryGaseous[[#Headers],[Fuel combusted]],0)</f>
        <v>Blast furnace gas</v>
      </c>
      <c r="E94" s="244" cm="1">
        <f t="array" ref="E94">Common_InputFunctions.Utility_DisplayArrayInTable(Fuel_SourceData.Fuel_Scope1EmissionFactorsStationaryGaseous_Data(), Table_Fuel_EFs_StationaryGaseous[[#Headers],[Fuel combusted]],0)</f>
        <v>4.0000000000000001E-3</v>
      </c>
      <c r="F94" s="244" t="str" cm="1">
        <f t="array" ref="F94">Common_InputFunctions.Utility_DisplayArrayInTable(Fuel_SourceData.Fuel_Scope1EmissionFactorsStationaryGaseous_Data(), Table_Fuel_EFs_StationaryGaseous[[#Headers],[Fuel combusted]],0)</f>
        <v>m3</v>
      </c>
      <c r="G94" s="244" cm="1">
        <f t="array" ref="G94">Common_InputFunctions.Utility_DisplayArrayInTable(Fuel_SourceData.Fuel_Scope1EmissionFactorsStationaryGaseous_Data(), Table_Fuel_EFs_StationaryGaseous[[#Headers],[Fuel combusted]],0)</f>
        <v>234</v>
      </c>
      <c r="H94" s="244" cm="1">
        <f t="array" ref="H94">Common_InputFunctions.Utility_DisplayArrayInTable(Fuel_SourceData.Fuel_Scope1EmissionFactorsStationaryGaseous_Data(), Table_Fuel_EFs_StationaryGaseous[[#Headers],[Fuel combusted]],0)</f>
        <v>0.03</v>
      </c>
      <c r="I94" s="244" cm="1">
        <f t="array" ref="I94">Common_InputFunctions.Utility_DisplayArrayInTable(Fuel_SourceData.Fuel_Scope1EmissionFactorsStationaryGaseous_Data(), Table_Fuel_EFs_StationaryGaseous[[#Headers],[Fuel combusted]],0)</f>
        <v>0.02</v>
      </c>
      <c r="J94" s="244" cm="1">
        <f t="array" ref="J94">Common_InputFunctions.Utility_DisplayArrayInTable(Fuel_SourceData.Fuel_Scope1EmissionFactorsStationaryGaseous_Data(), Table_Fuel_EFs_StationaryGaseous[[#Headers],[Fuel combusted]],0)</f>
        <v>234.05</v>
      </c>
      <c r="K94" s="192"/>
      <c r="L94" s="192"/>
    </row>
    <row r="95" spans="4:12" ht="20.100000000000001" customHeight="1" x14ac:dyDescent="0.25">
      <c r="D95" s="244" t="str" cm="1">
        <f t="array" ref="D95">Common_InputFunctions.Utility_DisplayArrayInTable(Fuel_SourceData.Fuel_Scope1EmissionFactorsStationaryGaseous_Data(), Table_Fuel_EFs_StationaryGaseous[[#Headers],[Fuel combusted]],0)</f>
        <v>Town gas</v>
      </c>
      <c r="E95" s="244" cm="1">
        <f t="array" ref="E95">Common_InputFunctions.Utility_DisplayArrayInTable(Fuel_SourceData.Fuel_Scope1EmissionFactorsStationaryGaseous_Data(), Table_Fuel_EFs_StationaryGaseous[[#Headers],[Fuel combusted]],0)</f>
        <v>3.9E-2</v>
      </c>
      <c r="F95" s="244" t="str" cm="1">
        <f t="array" ref="F95">Common_InputFunctions.Utility_DisplayArrayInTable(Fuel_SourceData.Fuel_Scope1EmissionFactorsStationaryGaseous_Data(), Table_Fuel_EFs_StationaryGaseous[[#Headers],[Fuel combusted]],0)</f>
        <v>m3</v>
      </c>
      <c r="G95" s="244" cm="1">
        <f t="array" ref="G95">Common_InputFunctions.Utility_DisplayArrayInTable(Fuel_SourceData.Fuel_Scope1EmissionFactorsStationaryGaseous_Data(), Table_Fuel_EFs_StationaryGaseous[[#Headers],[Fuel combusted]],0)</f>
        <v>60.2</v>
      </c>
      <c r="H95" s="244" cm="1">
        <f t="array" ref="H95">Common_InputFunctions.Utility_DisplayArrayInTable(Fuel_SourceData.Fuel_Scope1EmissionFactorsStationaryGaseous_Data(), Table_Fuel_EFs_StationaryGaseous[[#Headers],[Fuel combusted]],0)</f>
        <v>0.04</v>
      </c>
      <c r="I95" s="244" cm="1">
        <f t="array" ref="I95">Common_InputFunctions.Utility_DisplayArrayInTable(Fuel_SourceData.Fuel_Scope1EmissionFactorsStationaryGaseous_Data(), Table_Fuel_EFs_StationaryGaseous[[#Headers],[Fuel combusted]],0)</f>
        <v>0.03</v>
      </c>
      <c r="J95" s="244" cm="1">
        <f t="array" ref="J95">Common_InputFunctions.Utility_DisplayArrayInTable(Fuel_SourceData.Fuel_Scope1EmissionFactorsStationaryGaseous_Data(), Table_Fuel_EFs_StationaryGaseous[[#Headers],[Fuel combusted]],0)</f>
        <v>60.27</v>
      </c>
      <c r="K95" s="192"/>
      <c r="L95" s="192"/>
    </row>
    <row r="96" spans="4:12" ht="20.100000000000001" customHeight="1" x14ac:dyDescent="0.25">
      <c r="D96" s="244" t="str" cm="1">
        <f t="array" ref="D96">Common_InputFunctions.Utility_DisplayArrayInTable(Fuel_SourceData.Fuel_Scope1EmissionFactorsStationaryGaseous_Data(), Table_Fuel_EFs_StationaryGaseous[[#Headers],[Fuel combusted]],0)</f>
        <v>Liquefied natural gas</v>
      </c>
      <c r="E96" s="244" cm="1">
        <f t="array" ref="E96">Common_InputFunctions.Utility_DisplayArrayInTable(Fuel_SourceData.Fuel_Scope1EmissionFactorsStationaryGaseous_Data(), Table_Fuel_EFs_StationaryGaseous[[#Headers],[Fuel combusted]],0)</f>
        <v>25.3</v>
      </c>
      <c r="F96" s="244" t="str" cm="1">
        <f t="array" ref="F96">Common_InputFunctions.Utility_DisplayArrayInTable(Fuel_SourceData.Fuel_Scope1EmissionFactorsStationaryGaseous_Data(), Table_Fuel_EFs_StationaryGaseous[[#Headers],[Fuel combusted]],0)</f>
        <v>kL</v>
      </c>
      <c r="G96" s="244" cm="1">
        <f t="array" ref="G96">Common_InputFunctions.Utility_DisplayArrayInTable(Fuel_SourceData.Fuel_Scope1EmissionFactorsStationaryGaseous_Data(), Table_Fuel_EFs_StationaryGaseous[[#Headers],[Fuel combusted]],0)</f>
        <v>51.4</v>
      </c>
      <c r="H96" s="244" cm="1">
        <f t="array" ref="H96">Common_InputFunctions.Utility_DisplayArrayInTable(Fuel_SourceData.Fuel_Scope1EmissionFactorsStationaryGaseous_Data(), Table_Fuel_EFs_StationaryGaseous[[#Headers],[Fuel combusted]],0)</f>
        <v>0.1</v>
      </c>
      <c r="I96" s="244" cm="1">
        <f t="array" ref="I96">Common_InputFunctions.Utility_DisplayArrayInTable(Fuel_SourceData.Fuel_Scope1EmissionFactorsStationaryGaseous_Data(), Table_Fuel_EFs_StationaryGaseous[[#Headers],[Fuel combusted]],0)</f>
        <v>0.03</v>
      </c>
      <c r="J96" s="244" cm="1">
        <f t="array" ref="J96">Common_InputFunctions.Utility_DisplayArrayInTable(Fuel_SourceData.Fuel_Scope1EmissionFactorsStationaryGaseous_Data(), Table_Fuel_EFs_StationaryGaseous[[#Headers],[Fuel combusted]],0)</f>
        <v>51.53</v>
      </c>
      <c r="K96" s="192"/>
      <c r="L96" s="192"/>
    </row>
    <row r="97" spans="4:13" ht="20.100000000000001" customHeight="1" x14ac:dyDescent="0.25">
      <c r="D97" s="244" t="str" cm="1">
        <f t="array" ref="D97">Common_InputFunctions.Utility_DisplayArrayInTable(Fuel_SourceData.Fuel_Scope1EmissionFactorsStationaryGaseous_Data(), Table_Fuel_EFs_StationaryGaseous[[#Headers],[Fuel combusted]],0)</f>
        <v>Gaseous fossil fuels other than those mentioned in the items above</v>
      </c>
      <c r="E97" s="244" cm="1">
        <f t="array" ref="E97">Common_InputFunctions.Utility_DisplayArrayInTable(Fuel_SourceData.Fuel_Scope1EmissionFactorsStationaryGaseous_Data(), Table_Fuel_EFs_StationaryGaseous[[#Headers],[Fuel combusted]],0)</f>
        <v>3.9E-2</v>
      </c>
      <c r="F97" s="244" t="str" cm="1">
        <f t="array" ref="F97">Common_InputFunctions.Utility_DisplayArrayInTable(Fuel_SourceData.Fuel_Scope1EmissionFactorsStationaryGaseous_Data(), Table_Fuel_EFs_StationaryGaseous[[#Headers],[Fuel combusted]],0)</f>
        <v>m3</v>
      </c>
      <c r="G97" s="244" cm="1">
        <f t="array" ref="G97">Common_InputFunctions.Utility_DisplayArrayInTable(Fuel_SourceData.Fuel_Scope1EmissionFactorsStationaryGaseous_Data(), Table_Fuel_EFs_StationaryGaseous[[#Headers],[Fuel combusted]],0)</f>
        <v>51.4</v>
      </c>
      <c r="H97" s="244" cm="1">
        <f t="array" ref="H97">Common_InputFunctions.Utility_DisplayArrayInTable(Fuel_SourceData.Fuel_Scope1EmissionFactorsStationaryGaseous_Data(), Table_Fuel_EFs_StationaryGaseous[[#Headers],[Fuel combusted]],0)</f>
        <v>0.1</v>
      </c>
      <c r="I97" s="244" cm="1">
        <f t="array" ref="I97">Common_InputFunctions.Utility_DisplayArrayInTable(Fuel_SourceData.Fuel_Scope1EmissionFactorsStationaryGaseous_Data(), Table_Fuel_EFs_StationaryGaseous[[#Headers],[Fuel combusted]],0)</f>
        <v>0.03</v>
      </c>
      <c r="J97" s="244" cm="1">
        <f t="array" ref="J97">Common_InputFunctions.Utility_DisplayArrayInTable(Fuel_SourceData.Fuel_Scope1EmissionFactorsStationaryGaseous_Data(), Table_Fuel_EFs_StationaryGaseous[[#Headers],[Fuel combusted]],0)</f>
        <v>51.53</v>
      </c>
      <c r="K97" s="192"/>
      <c r="L97" s="192"/>
    </row>
    <row r="98" spans="4:13" ht="20.100000000000001" customHeight="1" x14ac:dyDescent="0.25">
      <c r="D98" s="244" t="str" cm="1">
        <f t="array" ref="D98">Common_InputFunctions.Utility_DisplayArrayInTable(Fuel_SourceData.Fuel_Scope1EmissionFactorsStationaryGaseous_Data(), Table_Fuel_EFs_StationaryGaseous[[#Headers],[Fuel combusted]],0)</f>
        <v>Landfill biogas that is captured for combustion (methane only)</v>
      </c>
      <c r="E98" s="244" cm="1">
        <f t="array" ref="E98">Common_InputFunctions.Utility_DisplayArrayInTable(Fuel_SourceData.Fuel_Scope1EmissionFactorsStationaryGaseous_Data(), Table_Fuel_EFs_StationaryGaseous[[#Headers],[Fuel combusted]],0)</f>
        <v>3.7699999999999997E-2</v>
      </c>
      <c r="F98" s="244" t="str" cm="1">
        <f t="array" ref="F98">Common_InputFunctions.Utility_DisplayArrayInTable(Fuel_SourceData.Fuel_Scope1EmissionFactorsStationaryGaseous_Data(), Table_Fuel_EFs_StationaryGaseous[[#Headers],[Fuel combusted]],0)</f>
        <v>m3</v>
      </c>
      <c r="G98" s="244" cm="1">
        <f t="array" ref="G98">Common_InputFunctions.Utility_DisplayArrayInTable(Fuel_SourceData.Fuel_Scope1EmissionFactorsStationaryGaseous_Data(), Table_Fuel_EFs_StationaryGaseous[[#Headers],[Fuel combusted]],0)</f>
        <v>0</v>
      </c>
      <c r="H98" s="244" cm="1">
        <f t="array" ref="H98">Common_InputFunctions.Utility_DisplayArrayInTable(Fuel_SourceData.Fuel_Scope1EmissionFactorsStationaryGaseous_Data(), Table_Fuel_EFs_StationaryGaseous[[#Headers],[Fuel combusted]],0)</f>
        <v>6.4</v>
      </c>
      <c r="I98" s="244" cm="1">
        <f t="array" ref="I98">Common_InputFunctions.Utility_DisplayArrayInTable(Fuel_SourceData.Fuel_Scope1EmissionFactorsStationaryGaseous_Data(), Table_Fuel_EFs_StationaryGaseous[[#Headers],[Fuel combusted]],0)</f>
        <v>0.03</v>
      </c>
      <c r="J98" s="244" cm="1">
        <f t="array" ref="J98">Common_InputFunctions.Utility_DisplayArrayInTable(Fuel_SourceData.Fuel_Scope1EmissionFactorsStationaryGaseous_Data(), Table_Fuel_EFs_StationaryGaseous[[#Headers],[Fuel combusted]],0)</f>
        <v>6.43</v>
      </c>
      <c r="K98" s="192"/>
      <c r="L98" s="192"/>
    </row>
    <row r="99" spans="4:13" ht="20.100000000000001" customHeight="1" x14ac:dyDescent="0.25">
      <c r="D99" s="244" t="str" cm="1">
        <f t="array" ref="D99">Common_InputFunctions.Utility_DisplayArrayInTable(Fuel_SourceData.Fuel_Scope1EmissionFactorsStationaryGaseous_Data(), Table_Fuel_EFs_StationaryGaseous[[#Headers],[Fuel combusted]],0)</f>
        <v>Sludge biogas that is captured for combustion (methane only)</v>
      </c>
      <c r="E99" s="244" cm="1">
        <f t="array" ref="E99">Common_InputFunctions.Utility_DisplayArrayInTable(Fuel_SourceData.Fuel_Scope1EmissionFactorsStationaryGaseous_Data(), Table_Fuel_EFs_StationaryGaseous[[#Headers],[Fuel combusted]],0)</f>
        <v>3.7699999999999997E-2</v>
      </c>
      <c r="F99" s="244" t="str" cm="1">
        <f t="array" ref="F99">Common_InputFunctions.Utility_DisplayArrayInTable(Fuel_SourceData.Fuel_Scope1EmissionFactorsStationaryGaseous_Data(), Table_Fuel_EFs_StationaryGaseous[[#Headers],[Fuel combusted]],0)</f>
        <v>m3</v>
      </c>
      <c r="G99" s="244" cm="1">
        <f t="array" ref="G99">Common_InputFunctions.Utility_DisplayArrayInTable(Fuel_SourceData.Fuel_Scope1EmissionFactorsStationaryGaseous_Data(), Table_Fuel_EFs_StationaryGaseous[[#Headers],[Fuel combusted]],0)</f>
        <v>0</v>
      </c>
      <c r="H99" s="244" cm="1">
        <f t="array" ref="H99">Common_InputFunctions.Utility_DisplayArrayInTable(Fuel_SourceData.Fuel_Scope1EmissionFactorsStationaryGaseous_Data(), Table_Fuel_EFs_StationaryGaseous[[#Headers],[Fuel combusted]],0)</f>
        <v>6.4</v>
      </c>
      <c r="I99" s="244" cm="1">
        <f t="array" ref="I99">Common_InputFunctions.Utility_DisplayArrayInTable(Fuel_SourceData.Fuel_Scope1EmissionFactorsStationaryGaseous_Data(), Table_Fuel_EFs_StationaryGaseous[[#Headers],[Fuel combusted]],0)</f>
        <v>0.03</v>
      </c>
      <c r="J99" s="244" cm="1">
        <f t="array" ref="J99">Common_InputFunctions.Utility_DisplayArrayInTable(Fuel_SourceData.Fuel_Scope1EmissionFactorsStationaryGaseous_Data(), Table_Fuel_EFs_StationaryGaseous[[#Headers],[Fuel combusted]],0)</f>
        <v>6.43</v>
      </c>
      <c r="K99" s="192"/>
      <c r="L99" s="192"/>
    </row>
    <row r="100" spans="4:13" ht="20.100000000000001" customHeight="1" x14ac:dyDescent="0.25">
      <c r="D100" s="24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4" cm="1">
        <f t="array" ref="E100">Common_InputFunctions.Utility_DisplayArrayInTable(Fuel_SourceData.Fuel_Scope1EmissionFactorsStationaryGaseous_Data(), Table_Fuel_EFs_StationaryGaseous[[#Headers],[Fuel combusted]],0)</f>
        <v>3.6999999999999998E-2</v>
      </c>
      <c r="F100" s="244" t="str" cm="1">
        <f t="array" ref="F100">Common_InputFunctions.Utility_DisplayArrayInTable(Fuel_SourceData.Fuel_Scope1EmissionFactorsStationaryGaseous_Data(), Table_Fuel_EFs_StationaryGaseous[[#Headers],[Fuel combusted]],0)</f>
        <v>m3</v>
      </c>
      <c r="G100" s="244" cm="1">
        <f t="array" ref="G100">Common_InputFunctions.Utility_DisplayArrayInTable(Fuel_SourceData.Fuel_Scope1EmissionFactorsStationaryGaseous_Data(), Table_Fuel_EFs_StationaryGaseous[[#Headers],[Fuel combusted]],0)</f>
        <v>0</v>
      </c>
      <c r="H100" s="244" cm="1">
        <f t="array" ref="H100">Common_InputFunctions.Utility_DisplayArrayInTable(Fuel_SourceData.Fuel_Scope1EmissionFactorsStationaryGaseous_Data(), Table_Fuel_EFs_StationaryGaseous[[#Headers],[Fuel combusted]],0)</f>
        <v>6.4</v>
      </c>
      <c r="I100" s="244" cm="1">
        <f t="array" ref="I100">Common_InputFunctions.Utility_DisplayArrayInTable(Fuel_SourceData.Fuel_Scope1EmissionFactorsStationaryGaseous_Data(), Table_Fuel_EFs_StationaryGaseous[[#Headers],[Fuel combusted]],0)</f>
        <v>0.03</v>
      </c>
      <c r="J100" s="244" cm="1">
        <f t="array" ref="J100">Common_InputFunctions.Utility_DisplayArrayInTable(Fuel_SourceData.Fuel_Scope1EmissionFactorsStationaryGaseous_Data(), Table_Fuel_EFs_StationaryGaseous[[#Headers],[Fuel combusted]],0)</f>
        <v>6.43</v>
      </c>
      <c r="K100" s="192"/>
      <c r="L100" s="192"/>
    </row>
    <row r="101" spans="4:13" ht="20.100000000000001" customHeight="1" x14ac:dyDescent="0.25">
      <c r="D101" s="244" t="str" cm="1">
        <f t="array" ref="D101">Common_InputFunctions.Utility_DisplayArrayInTable(Fuel_SourceData.Fuel_Scope1EmissionFactorsStationaryGaseous_Data(), Table_Fuel_EFs_StationaryGaseous[[#Headers],[Fuel combusted]],0)</f>
        <v>Biomethane</v>
      </c>
      <c r="E101" s="244" cm="1">
        <f t="array" ref="E101">Common_InputFunctions.Utility_DisplayArrayInTable(Fuel_SourceData.Fuel_Scope1EmissionFactorsStationaryGaseous_Data(), Table_Fuel_EFs_StationaryGaseous[[#Headers],[Fuel combusted]],0)</f>
        <v>3.9300000000000002E-2</v>
      </c>
      <c r="F101" s="244" t="str" cm="1">
        <f t="array" ref="F101">Common_InputFunctions.Utility_DisplayArrayInTable(Fuel_SourceData.Fuel_Scope1EmissionFactorsStationaryGaseous_Data(), Table_Fuel_EFs_StationaryGaseous[[#Headers],[Fuel combusted]],0)</f>
        <v>m3</v>
      </c>
      <c r="G101" s="244" cm="1">
        <f t="array" ref="G101">Common_InputFunctions.Utility_DisplayArrayInTable(Fuel_SourceData.Fuel_Scope1EmissionFactorsStationaryGaseous_Data(), Table_Fuel_EFs_StationaryGaseous[[#Headers],[Fuel combusted]],0)</f>
        <v>0</v>
      </c>
      <c r="H101" s="244" cm="1">
        <f t="array" ref="H101">Common_InputFunctions.Utility_DisplayArrayInTable(Fuel_SourceData.Fuel_Scope1EmissionFactorsStationaryGaseous_Data(), Table_Fuel_EFs_StationaryGaseous[[#Headers],[Fuel combusted]],0)</f>
        <v>0.1</v>
      </c>
      <c r="I101" s="244" cm="1">
        <f t="array" ref="I101">Common_InputFunctions.Utility_DisplayArrayInTable(Fuel_SourceData.Fuel_Scope1EmissionFactorsStationaryGaseous_Data(), Table_Fuel_EFs_StationaryGaseous[[#Headers],[Fuel combusted]],0)</f>
        <v>0.03</v>
      </c>
      <c r="J101" s="244" cm="1">
        <f t="array" ref="J101">Common_InputFunctions.Utility_DisplayArrayInTable(Fuel_SourceData.Fuel_Scope1EmissionFactorsStationaryGaseous_Data(), Table_Fuel_EFs_StationaryGaseous[[#Headers],[Fuel combusted]],0)</f>
        <v>0.13</v>
      </c>
      <c r="K101" s="192"/>
      <c r="L101" s="192"/>
    </row>
    <row r="102" spans="4:13" ht="20.100000000000001" customHeight="1" x14ac:dyDescent="0.25">
      <c r="D102" s="244" t="str" cm="1">
        <f t="array" ref="D102">Common_InputFunctions.Utility_DisplayArrayInTable(Fuel_SourceData.Fuel_Scope1EmissionFactorsStationaryGaseous_Data(), Table_Fuel_EFs_StationaryGaseous[[#Headers],[Fuel combusted]],0)</f>
        <v>Hydrogen</v>
      </c>
      <c r="E102" s="244" cm="1">
        <f t="array" ref="E102">Common_InputFunctions.Utility_DisplayArrayInTable(Fuel_SourceData.Fuel_Scope1EmissionFactorsStationaryGaseous_Data(), Table_Fuel_EFs_StationaryGaseous[[#Headers],[Fuel combusted]],0)</f>
        <v>1.2200000000000001E-2</v>
      </c>
      <c r="F102" s="244" t="str" cm="1">
        <f t="array" ref="F102">Common_InputFunctions.Utility_DisplayArrayInTable(Fuel_SourceData.Fuel_Scope1EmissionFactorsStationaryGaseous_Data(), Table_Fuel_EFs_StationaryGaseous[[#Headers],[Fuel combusted]],0)</f>
        <v>m3</v>
      </c>
      <c r="G102" s="244" cm="1">
        <f t="array" ref="G102">Common_InputFunctions.Utility_DisplayArrayInTable(Fuel_SourceData.Fuel_Scope1EmissionFactorsStationaryGaseous_Data(), Table_Fuel_EFs_StationaryGaseous[[#Headers],[Fuel combusted]],0)</f>
        <v>0</v>
      </c>
      <c r="H102" s="244" cm="1">
        <f t="array" ref="H102">Common_InputFunctions.Utility_DisplayArrayInTable(Fuel_SourceData.Fuel_Scope1EmissionFactorsStationaryGaseous_Data(), Table_Fuel_EFs_StationaryGaseous[[#Headers],[Fuel combusted]],0)</f>
        <v>0</v>
      </c>
      <c r="I102" s="244" cm="1">
        <f t="array" ref="I102">Common_InputFunctions.Utility_DisplayArrayInTable(Fuel_SourceData.Fuel_Scope1EmissionFactorsStationaryGaseous_Data(), Table_Fuel_EFs_StationaryGaseous[[#Headers],[Fuel combusted]],0)</f>
        <v>0.5</v>
      </c>
      <c r="J102" s="244" cm="1">
        <f t="array" ref="J102">Common_InputFunctions.Utility_DisplayArrayInTable(Fuel_SourceData.Fuel_Scope1EmissionFactorsStationaryGaseous_Data(), Table_Fuel_EFs_StationaryGaseous[[#Headers],[Fuel combusted]],0)</f>
        <v>0.5</v>
      </c>
      <c r="K102" s="192"/>
      <c r="L102" s="192"/>
    </row>
    <row r="103" spans="4:13" ht="20.100000000000001" customHeight="1" x14ac:dyDescent="0.25">
      <c r="D103" s="244" t="str" cm="1">
        <f t="array" ref="D103">Common_InputFunctions.Utility_DisplayArrayInTable(Fuel_SourceData.Fuel_Scope1EmissionFactorsStationaryGaseous_Data(), Table_Fuel_EFs_StationaryGaseous[[#Headers],[Fuel combusted]],0)</f>
        <v>Natural gas distributed in a pipeline - Gigajoules</v>
      </c>
      <c r="E103" s="244" cm="1">
        <f t="array" ref="E103">Common_InputFunctions.Utility_DisplayArrayInTable(Fuel_SourceData.Fuel_Scope1EmissionFactorsStationaryGaseous_Data(), Table_Fuel_EFs_StationaryGaseous[[#Headers],[Fuel combusted]],0)</f>
        <v>1</v>
      </c>
      <c r="F103" s="244" t="str" cm="1">
        <f t="array" ref="F103">Common_InputFunctions.Utility_DisplayArrayInTable(Fuel_SourceData.Fuel_Scope1EmissionFactorsStationaryGaseous_Data(), Table_Fuel_EFs_StationaryGaseous[[#Headers],[Fuel combusted]],0)</f>
        <v>GJ</v>
      </c>
      <c r="G103" s="244" cm="1">
        <f t="array" ref="G103">Common_InputFunctions.Utility_DisplayArrayInTable(Fuel_SourceData.Fuel_Scope1EmissionFactorsStationaryGaseous_Data(), Table_Fuel_EFs_StationaryGaseous[[#Headers],[Fuel combusted]],0)</f>
        <v>51.4</v>
      </c>
      <c r="H103" s="244" cm="1">
        <f t="array" ref="H103">Common_InputFunctions.Utility_DisplayArrayInTable(Fuel_SourceData.Fuel_Scope1EmissionFactorsStationaryGaseous_Data(), Table_Fuel_EFs_StationaryGaseous[[#Headers],[Fuel combusted]],0)</f>
        <v>0.1</v>
      </c>
      <c r="I103" s="244" cm="1">
        <f t="array" ref="I103">Common_InputFunctions.Utility_DisplayArrayInTable(Fuel_SourceData.Fuel_Scope1EmissionFactorsStationaryGaseous_Data(), Table_Fuel_EFs_StationaryGaseous[[#Headers],[Fuel combusted]],0)</f>
        <v>0.03</v>
      </c>
      <c r="J103" s="244" cm="1">
        <f t="array" ref="J103">Common_InputFunctions.Utility_DisplayArrayInTable(Fuel_SourceData.Fuel_Scope1EmissionFactorsStationaryGaseous_Data(), Table_Fuel_EFs_StationaryGaseous[[#Headers],[Fuel combusted]],0)</f>
        <v>51.53</v>
      </c>
      <c r="K103" s="192"/>
      <c r="L103" s="192"/>
    </row>
    <row r="104" spans="4:13" ht="20.100000000000001" customHeight="1" x14ac:dyDescent="0.25">
      <c r="D104" s="244" t="str" cm="1">
        <f t="array" ref="D104">Common_InputFunctions.Utility_DisplayArrayInTable(Fuel_SourceData.Fuel_Scope1EmissionFactorsStationaryGaseous_Data(), Table_Fuel_EFs_StationaryGaseous[[#Headers],[Fuel combusted]],0)</f>
        <v>Town gas - Gigajoules</v>
      </c>
      <c r="E104" s="244" cm="1">
        <f t="array" ref="E104">Common_InputFunctions.Utility_DisplayArrayInTable(Fuel_SourceData.Fuel_Scope1EmissionFactorsStationaryGaseous_Data(), Table_Fuel_EFs_StationaryGaseous[[#Headers],[Fuel combusted]],0)</f>
        <v>1</v>
      </c>
      <c r="F104" s="244" t="str" cm="1">
        <f t="array" ref="F104">Common_InputFunctions.Utility_DisplayArrayInTable(Fuel_SourceData.Fuel_Scope1EmissionFactorsStationaryGaseous_Data(), Table_Fuel_EFs_StationaryGaseous[[#Headers],[Fuel combusted]],0)</f>
        <v>GJ</v>
      </c>
      <c r="G104" s="244" cm="1">
        <f t="array" ref="G104">Common_InputFunctions.Utility_DisplayArrayInTable(Fuel_SourceData.Fuel_Scope1EmissionFactorsStationaryGaseous_Data(), Table_Fuel_EFs_StationaryGaseous[[#Headers],[Fuel combusted]],0)</f>
        <v>60.2</v>
      </c>
      <c r="H104" s="244" cm="1">
        <f t="array" ref="H104">Common_InputFunctions.Utility_DisplayArrayInTable(Fuel_SourceData.Fuel_Scope1EmissionFactorsStationaryGaseous_Data(), Table_Fuel_EFs_StationaryGaseous[[#Headers],[Fuel combusted]],0)</f>
        <v>0.04</v>
      </c>
      <c r="I104" s="244" cm="1">
        <f t="array" ref="I104">Common_InputFunctions.Utility_DisplayArrayInTable(Fuel_SourceData.Fuel_Scope1EmissionFactorsStationaryGaseous_Data(), Table_Fuel_EFs_StationaryGaseous[[#Headers],[Fuel combusted]],0)</f>
        <v>0.03</v>
      </c>
      <c r="J104" s="244" cm="1">
        <f t="array" ref="J104">Common_InputFunctions.Utility_DisplayArrayInTable(Fuel_SourceData.Fuel_Scope1EmissionFactorsStationaryGaseous_Data(), Table_Fuel_EFs_StationaryGaseous[[#Headers],[Fuel combusted]],0)</f>
        <v>60.27</v>
      </c>
      <c r="K104" s="192"/>
      <c r="L104" s="192"/>
    </row>
    <row r="105" spans="4:13" ht="20.100000000000001" customHeight="1" x14ac:dyDescent="0.25">
      <c r="D105" s="192"/>
      <c r="E105" s="192"/>
      <c r="F105" s="192"/>
      <c r="G105" s="192"/>
      <c r="H105" s="192"/>
      <c r="I105" s="192"/>
      <c r="J105" s="192"/>
      <c r="K105" s="192"/>
      <c r="L105" s="192"/>
      <c r="M105" s="192"/>
    </row>
    <row r="106" spans="4:13" ht="20.100000000000001" customHeight="1" x14ac:dyDescent="0.25">
      <c r="D106" s="192"/>
      <c r="E106" s="192"/>
      <c r="F106" s="192"/>
      <c r="G106" s="192"/>
      <c r="H106" s="192"/>
      <c r="I106" s="192"/>
      <c r="J106" s="192"/>
      <c r="K106" s="192"/>
      <c r="L106" s="192"/>
      <c r="M106" s="192"/>
    </row>
    <row r="107" spans="4:13" ht="20.100000000000001" customHeight="1" x14ac:dyDescent="0.25">
      <c r="D107" s="2" t="str" cm="1">
        <f t="array" ref="D107">Fuel_SourceData.Fuel_Scope3EmissionFactorsStationaryGaseous_Title()</f>
        <v>Fuel scope 3 emission factors - Stationary gaseous fuels</v>
      </c>
      <c r="E107" s="192"/>
      <c r="F107" s="192"/>
      <c r="G107" s="192"/>
      <c r="H107" s="192"/>
      <c r="I107" s="192"/>
      <c r="J107" s="192"/>
      <c r="K107" s="192"/>
      <c r="L107" s="192"/>
    </row>
    <row r="108" spans="4:13" ht="20.100000000000001" customHeight="1" x14ac:dyDescent="0.25">
      <c r="D108" s="1" t="str" cm="1">
        <f t="array" ref="D108">Fuel_SourceData.Fuel_Scope3EmissionFactorsStationaryGaseous_Description()</f>
        <v>Indirect (Scope 3) emission factors for the consumption of natural gas.</v>
      </c>
      <c r="E108" s="192"/>
      <c r="F108" s="192"/>
      <c r="G108" s="192"/>
      <c r="H108" s="192"/>
      <c r="I108" s="192"/>
      <c r="J108" s="192"/>
      <c r="K108" s="192"/>
      <c r="L108" s="192"/>
    </row>
    <row r="109" spans="4:13" ht="20.100000000000001" customHeight="1" x14ac:dyDescent="0.25">
      <c r="D109" s="27" t="str" cm="1">
        <f t="array" ref="D109">Fuel_SourceData.Fuel_Scope3EmissionFactorsStationaryGaseous_Source()</f>
        <v>Australian National Greenhouse Accounts Factors 2025 - Table 6</v>
      </c>
      <c r="E109" s="192"/>
      <c r="F109" s="192"/>
      <c r="G109" s="192"/>
      <c r="H109" s="192"/>
      <c r="I109" s="192"/>
      <c r="J109" s="192"/>
      <c r="K109" s="192"/>
      <c r="L109" s="192"/>
    </row>
    <row r="110" spans="4:13" ht="20.100000000000001" customHeight="1" x14ac:dyDescent="0.25">
      <c r="D110" s="3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92"/>
      <c r="F110" s="192"/>
      <c r="G110" s="192"/>
      <c r="H110" s="192"/>
      <c r="I110" s="192"/>
      <c r="J110" s="192"/>
      <c r="K110" s="192"/>
      <c r="L110" s="192"/>
    </row>
    <row r="111" spans="4:13" ht="20.100000000000001" customHeight="1" x14ac:dyDescent="0.25">
      <c r="D111" s="192"/>
      <c r="E111" s="192"/>
      <c r="F111" s="192"/>
      <c r="G111" s="192"/>
      <c r="H111" s="192"/>
      <c r="I111" s="192"/>
      <c r="J111" s="192"/>
      <c r="K111" s="192"/>
      <c r="L111" s="192"/>
    </row>
    <row r="112" spans="4:13" ht="20.100000000000001" customHeight="1" x14ac:dyDescent="0.25">
      <c r="D112" s="209" t="s">
        <v>852</v>
      </c>
      <c r="E112" s="241" t="s">
        <v>786</v>
      </c>
      <c r="F112" s="241" t="s">
        <v>853</v>
      </c>
      <c r="G112" s="192"/>
      <c r="H112" s="87" t="s">
        <v>854</v>
      </c>
      <c r="I112" s="192"/>
      <c r="J112" s="192"/>
      <c r="K112" s="192"/>
      <c r="L112" s="192"/>
    </row>
    <row r="113" spans="4:13" ht="20.100000000000001" customHeight="1" x14ac:dyDescent="0.25">
      <c r="D113" s="245" t="str" cm="1">
        <f t="array" ref="D113">Common_InputFunctions.Utility_DisplayArrayInTable(Fuel_SourceData.Fuel_Scope3EmissionFactorsStationaryGaseous_Data(), Table_Fuel_EFs_StationaryGaseous34[[#Headers],[State or territory]],0)</f>
        <v>New South Wales</v>
      </c>
      <c r="E113" s="245" cm="1">
        <f t="array" ref="E113">Common_InputFunctions.Utility_DisplayArrayInTable(Fuel_SourceData.Fuel_Scope3EmissionFactorsStationaryGaseous_Data(), Table_Fuel_EFs_StationaryGaseous34[[#Headers],[State or territory]],0)</f>
        <v>13.1</v>
      </c>
      <c r="F113" s="245" cm="1">
        <f t="array" ref="F113">Common_InputFunctions.Utility_DisplayArrayInTable(Fuel_SourceData.Fuel_Scope3EmissionFactorsStationaryGaseous_Data(), Table_Fuel_EFs_StationaryGaseous34[[#Headers],[State or territory]],0)</f>
        <v>14</v>
      </c>
      <c r="G113" s="24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92"/>
      <c r="J113" s="192"/>
      <c r="K113" s="192"/>
      <c r="L113" s="192"/>
    </row>
    <row r="114" spans="4:13" ht="20.100000000000001" customHeight="1" x14ac:dyDescent="0.25">
      <c r="D114" s="245" t="str" cm="1">
        <f t="array" ref="D114">Common_InputFunctions.Utility_DisplayArrayInTable(Fuel_SourceData.Fuel_Scope3EmissionFactorsStationaryGaseous_Data(), Table_Fuel_EFs_StationaryGaseous34[[#Headers],[State or territory]],0)</f>
        <v>ACT</v>
      </c>
      <c r="E114" s="245" cm="1">
        <f t="array" ref="E114">Common_InputFunctions.Utility_DisplayArrayInTable(Fuel_SourceData.Fuel_Scope3EmissionFactorsStationaryGaseous_Data(), Table_Fuel_EFs_StationaryGaseous34[[#Headers],[State or territory]],0)</f>
        <v>13.1</v>
      </c>
      <c r="F114" s="245" cm="1">
        <f t="array" ref="F114">Common_InputFunctions.Utility_DisplayArrayInTable(Fuel_SourceData.Fuel_Scope3EmissionFactorsStationaryGaseous_Data(), Table_Fuel_EFs_StationaryGaseous34[[#Headers],[State or territory]],0)</f>
        <v>14</v>
      </c>
      <c r="G114" s="246" t="str">
        <v/>
      </c>
      <c r="H114" s="1" t="str">
        <v>Gas reaches end users either from the metro distribution networks or direct from the high - pressure distribution pipelines.</v>
      </c>
      <c r="I114" s="192"/>
      <c r="J114" s="192"/>
      <c r="K114" s="192"/>
      <c r="L114" s="192"/>
    </row>
    <row r="115" spans="4:13" ht="20.100000000000001" customHeight="1" x14ac:dyDescent="0.25">
      <c r="D115" s="245" t="str" cm="1">
        <f t="array" ref="D115">Common_InputFunctions.Utility_DisplayArrayInTable(Fuel_SourceData.Fuel_Scope3EmissionFactorsStationaryGaseous_Data(), Table_Fuel_EFs_StationaryGaseous34[[#Headers],[State or territory]],0)</f>
        <v>Victoria</v>
      </c>
      <c r="E115" s="245" cm="1">
        <f t="array" ref="E115">Common_InputFunctions.Utility_DisplayArrayInTable(Fuel_SourceData.Fuel_Scope3EmissionFactorsStationaryGaseous_Data(), Table_Fuel_EFs_StationaryGaseous34[[#Headers],[State or territory]],0)</f>
        <v>4</v>
      </c>
      <c r="F115" s="245" cm="1">
        <f t="array" ref="F115">Common_InputFunctions.Utility_DisplayArrayInTable(Fuel_SourceData.Fuel_Scope3EmissionFactorsStationaryGaseous_Data(), Table_Fuel_EFs_StationaryGaseous34[[#Headers],[State or territory]],0)</f>
        <v>4</v>
      </c>
      <c r="G115" s="246" t="str">
        <v/>
      </c>
      <c r="H115" s="1" t="str">
        <v>Households and commercial users tend to be served by the former, and electricity generators and large industrial plants from the latter.</v>
      </c>
      <c r="I115" s="192"/>
      <c r="J115" s="192"/>
      <c r="K115" s="192"/>
      <c r="L115" s="192"/>
    </row>
    <row r="116" spans="4:13" ht="20.100000000000001" customHeight="1" x14ac:dyDescent="0.25">
      <c r="D116" s="245" t="str" cm="1">
        <f t="array" ref="D116">Common_InputFunctions.Utility_DisplayArrayInTable(Fuel_SourceData.Fuel_Scope3EmissionFactorsStationaryGaseous_Data(), Table_Fuel_EFs_StationaryGaseous34[[#Headers],[State or territory]],0)</f>
        <v>Queensland</v>
      </c>
      <c r="E116" s="245" cm="1">
        <f t="array" ref="E116">Common_InputFunctions.Utility_DisplayArrayInTable(Fuel_SourceData.Fuel_Scope3EmissionFactorsStationaryGaseous_Data(), Table_Fuel_EFs_StationaryGaseous34[[#Headers],[State or territory]],0)</f>
        <v>8.8000000000000007</v>
      </c>
      <c r="F116" s="245" cm="1">
        <f t="array" ref="F116">Common_InputFunctions.Utility_DisplayArrayInTable(Fuel_SourceData.Fuel_Scope3EmissionFactorsStationaryGaseous_Data(), Table_Fuel_EFs_StationaryGaseous34[[#Headers],[State or territory]],0)</f>
        <v>7.9</v>
      </c>
      <c r="G116" s="246" t="str">
        <v>-</v>
      </c>
      <c r="H116" s="1" t="str">
        <v>Metro is defined as located on or east of the dividing range in NSW, including Canberra and Queanbeyan, Melbourne, Brisbane, Adelaide or Perth.</v>
      </c>
      <c r="I116" s="192"/>
      <c r="J116" s="192"/>
      <c r="K116" s="192"/>
      <c r="L116" s="192"/>
    </row>
    <row r="117" spans="4:13" ht="20.100000000000001" customHeight="1" x14ac:dyDescent="0.25">
      <c r="D117" s="245" t="str" cm="1">
        <f t="array" ref="D117">Common_InputFunctions.Utility_DisplayArrayInTable(Fuel_SourceData.Fuel_Scope3EmissionFactorsStationaryGaseous_Data(), Table_Fuel_EFs_StationaryGaseous34[[#Headers],[State or territory]],0)</f>
        <v>South Australia</v>
      </c>
      <c r="E117" s="245" cm="1">
        <f t="array" ref="E117">Common_InputFunctions.Utility_DisplayArrayInTable(Fuel_SourceData.Fuel_Scope3EmissionFactorsStationaryGaseous_Data(), Table_Fuel_EFs_StationaryGaseous34[[#Headers],[State or territory]],0)</f>
        <v>10.7</v>
      </c>
      <c r="F117" s="245" cm="1">
        <f t="array" ref="F117">Common_InputFunctions.Utility_DisplayArrayInTable(Fuel_SourceData.Fuel_Scope3EmissionFactorsStationaryGaseous_Data(), Table_Fuel_EFs_StationaryGaseous34[[#Headers],[State or territory]],0)</f>
        <v>10.6</v>
      </c>
      <c r="G117" s="246" t="str">
        <v/>
      </c>
      <c r="H117" s="1" t="str">
        <v>Otherwise, the non - metro factor should be used.</v>
      </c>
      <c r="I117" s="192"/>
      <c r="J117" s="192"/>
      <c r="K117" s="192"/>
      <c r="L117" s="192"/>
    </row>
    <row r="118" spans="4:13" ht="20.100000000000001" customHeight="1" x14ac:dyDescent="0.25">
      <c r="D118" s="245" t="str" cm="1">
        <f t="array" ref="D118">Common_InputFunctions.Utility_DisplayArrayInTable(Fuel_SourceData.Fuel_Scope3EmissionFactorsStationaryGaseous_Data(), Table_Fuel_EFs_StationaryGaseous34[[#Headers],[State or territory]],0)</f>
        <v>Western Australia</v>
      </c>
      <c r="E118" s="245" cm="1">
        <f t="array" ref="E118">Common_InputFunctions.Utility_DisplayArrayInTable(Fuel_SourceData.Fuel_Scope3EmissionFactorsStationaryGaseous_Data(), Table_Fuel_EFs_StationaryGaseous34[[#Headers],[State or territory]],0)</f>
        <v>4.0999999999999996</v>
      </c>
      <c r="F118" s="245" cm="1">
        <f t="array" ref="F118">Common_InputFunctions.Utility_DisplayArrayInTable(Fuel_SourceData.Fuel_Scope3EmissionFactorsStationaryGaseous_Data(), Table_Fuel_EFs_StationaryGaseous34[[#Headers],[State or territory]],0)</f>
        <v>4</v>
      </c>
      <c r="G118" s="246" t="str">
        <v>-</v>
      </c>
      <c r="H118" s="1" t="str">
        <v>Factors are calculated for all natural gas distributed in a pipeline which may include coal seam methane.</v>
      </c>
      <c r="I118" s="192"/>
      <c r="J118" s="192"/>
      <c r="K118" s="192"/>
      <c r="L118" s="192"/>
    </row>
    <row r="119" spans="4:13" ht="20.100000000000001" customHeight="1" x14ac:dyDescent="0.25">
      <c r="D119" s="245" t="str" cm="1">
        <f t="array" ref="D119">Common_InputFunctions.Utility_DisplayArrayInTable(Fuel_SourceData.Fuel_Scope3EmissionFactorsStationaryGaseous_Data(), Table_Fuel_EFs_StationaryGaseous34[[#Headers],[State or territory]],0)</f>
        <v>Tasmania</v>
      </c>
      <c r="E119" s="245" cm="1">
        <f t="array" ref="E119">Common_InputFunctions.Utility_DisplayArrayInTable(Fuel_SourceData.Fuel_Scope3EmissionFactorsStationaryGaseous_Data(), Table_Fuel_EFs_StationaryGaseous34[[#Headers],[State or territory]],0)</f>
        <v>4</v>
      </c>
      <c r="F119" s="245" cm="1">
        <f t="array" ref="F119">Common_InputFunctions.Utility_DisplayArrayInTable(Fuel_SourceData.Fuel_Scope3EmissionFactorsStationaryGaseous_Data(), Table_Fuel_EFs_StationaryGaseous34[[#Headers],[State or territory]],0)</f>
        <v>4</v>
      </c>
      <c r="G119" s="246" t="str">
        <v>-</v>
      </c>
      <c r="H119" s="1" t="str">
        <v>Table 6 is not applicable to ethane. See Table 7 Indirect (Scope 3) emissions from the consumption of ethane.</v>
      </c>
      <c r="I119" s="192"/>
      <c r="J119" s="192"/>
      <c r="K119" s="192"/>
      <c r="L119" s="192"/>
    </row>
    <row r="120" spans="4:13" ht="20.100000000000001" customHeight="1" x14ac:dyDescent="0.25">
      <c r="D120" s="245" t="str" cm="1">
        <f t="array" ref="D120">Common_InputFunctions.Utility_DisplayArrayInTable(Fuel_SourceData.Fuel_Scope3EmissionFactorsStationaryGaseous_Data(), Table_Fuel_EFs_StationaryGaseous34[[#Headers],[State or territory]],0)</f>
        <v>Northern Territory</v>
      </c>
      <c r="E120" s="245" cm="1">
        <f t="array" ref="E120">Common_InputFunctions.Utility_DisplayArrayInTable(Fuel_SourceData.Fuel_Scope3EmissionFactorsStationaryGaseous_Data(), Table_Fuel_EFs_StationaryGaseous34[[#Headers],[State or territory]],0)</f>
        <v>4.0999999999999996</v>
      </c>
      <c r="F120" s="245" cm="1">
        <f t="array" ref="F120">Common_InputFunctions.Utility_DisplayArrayInTable(Fuel_SourceData.Fuel_Scope3EmissionFactorsStationaryGaseous_Data(), Table_Fuel_EFs_StationaryGaseous34[[#Headers],[State or territory]],0)</f>
        <v>4</v>
      </c>
      <c r="G120" s="246" t="str">
        <v>-</v>
      </c>
      <c r="H120" s="1" t="str">
        <v>C = Confidential. Scope 3 emission factors for Tasmania and the Northern Territory are not available due to confidentiality constraints that arise</v>
      </c>
      <c r="I120" s="192"/>
      <c r="J120" s="192"/>
      <c r="K120" s="192"/>
      <c r="L120" s="192"/>
    </row>
    <row r="121" spans="4:13" ht="20.100000000000001" customHeight="1" x14ac:dyDescent="0.25">
      <c r="D121" s="8"/>
      <c r="E121" s="8"/>
      <c r="F121" s="8"/>
      <c r="G121" s="246" t="str">
        <v/>
      </c>
      <c r="H121" s="1" t="str">
        <v>from the use of a limited number of NGER data inputs. It is suggested that for Tasmania the use of the Victorian emission factors is appropriate,</v>
      </c>
      <c r="I121" s="192"/>
      <c r="J121" s="192"/>
      <c r="K121" s="192"/>
      <c r="L121" s="192"/>
    </row>
    <row r="122" spans="4:13" ht="20.100000000000001" customHeight="1" x14ac:dyDescent="0.25">
      <c r="D122" s="192"/>
      <c r="F122" s="247"/>
      <c r="G122" s="246" t="str">
        <v/>
      </c>
      <c r="H122" s="1" t="str">
        <v>while for Northern Territory the use of the Western Australian emission factors is appropriate.</v>
      </c>
      <c r="I122" s="192"/>
      <c r="J122" s="192"/>
      <c r="K122" s="192"/>
      <c r="L122" s="192"/>
    </row>
    <row r="123" spans="4:13" ht="20.100000000000001" customHeight="1" x14ac:dyDescent="0.25">
      <c r="D123" s="248"/>
      <c r="F123" s="247"/>
      <c r="G123" s="246" t="str">
        <v>-</v>
      </c>
      <c r="H123" s="1" t="str">
        <v>Scope 3 emission factors do not include fugitive emission leakage from low pressure natural gas distribution pipeline networks while those from high pressure</v>
      </c>
      <c r="I123" s="192"/>
      <c r="J123" s="192"/>
      <c r="K123" s="192"/>
      <c r="L123" s="192"/>
    </row>
    <row r="124" spans="4:13" ht="20.100000000000001" customHeight="1" x14ac:dyDescent="0.25">
      <c r="D124" s="248"/>
      <c r="F124" s="247"/>
      <c r="G124" s="192" t="str">
        <v/>
      </c>
      <c r="H124" s="1" t="str">
        <v>gas networks are considered negligible.</v>
      </c>
      <c r="I124" s="192"/>
      <c r="J124" s="192"/>
      <c r="K124" s="192"/>
      <c r="L124" s="192"/>
    </row>
    <row r="125" spans="4:13" ht="20.100000000000001" customHeight="1" x14ac:dyDescent="0.25">
      <c r="D125" s="248"/>
      <c r="F125" s="247"/>
      <c r="G125" s="192"/>
      <c r="H125" s="192"/>
      <c r="I125" s="192"/>
      <c r="J125" s="192"/>
      <c r="K125" s="192"/>
      <c r="L125" s="192"/>
    </row>
    <row r="126" spans="4:13" ht="20.100000000000001" customHeight="1" x14ac:dyDescent="0.25">
      <c r="D126" s="192"/>
      <c r="E126" s="192"/>
      <c r="F126" s="192"/>
      <c r="G126" s="192"/>
      <c r="H126" s="192"/>
      <c r="I126" s="192"/>
      <c r="J126" s="192"/>
      <c r="K126" s="192"/>
      <c r="L126" s="192"/>
      <c r="M126" s="192"/>
    </row>
    <row r="127" spans="4:13" ht="20.100000000000001" customHeight="1" x14ac:dyDescent="0.25">
      <c r="D127" s="192"/>
      <c r="E127" s="192"/>
      <c r="F127" s="192"/>
      <c r="G127" s="192"/>
      <c r="H127" s="192"/>
      <c r="I127" s="192"/>
      <c r="J127" s="192"/>
      <c r="K127" s="192"/>
      <c r="L127" s="192"/>
      <c r="M127" s="192"/>
    </row>
    <row r="128" spans="4:13" ht="20.100000000000001" customHeight="1" x14ac:dyDescent="0.25">
      <c r="D128" s="192"/>
      <c r="E128" s="192"/>
      <c r="F128" s="192"/>
      <c r="G128" s="192"/>
      <c r="H128" s="192"/>
      <c r="I128" s="192"/>
      <c r="J128" s="192"/>
      <c r="K128" s="192"/>
      <c r="L128" s="192"/>
      <c r="M128" s="192"/>
    </row>
    <row r="129" spans="4:33" ht="20.100000000000001" customHeight="1" x14ac:dyDescent="0.25">
      <c r="D129" s="249"/>
      <c r="E129" s="192"/>
      <c r="F129" s="192"/>
      <c r="G129" s="192"/>
      <c r="H129" s="192"/>
      <c r="I129" s="192"/>
      <c r="J129" s="192"/>
      <c r="K129" s="192"/>
      <c r="L129" s="192"/>
    </row>
    <row r="130" spans="4:33" ht="20.100000000000001" customHeight="1" x14ac:dyDescent="0.25">
      <c r="D130" s="250" t="s">
        <v>855</v>
      </c>
      <c r="E130" s="250" t="s">
        <v>795</v>
      </c>
      <c r="F130" s="250" t="s">
        <v>856</v>
      </c>
      <c r="G130" s="250" t="s">
        <v>798</v>
      </c>
      <c r="H130" s="250" t="s">
        <v>800</v>
      </c>
      <c r="I130" s="250" t="s">
        <v>801</v>
      </c>
      <c r="J130" s="192"/>
      <c r="K130" s="192"/>
      <c r="L130" s="192"/>
    </row>
    <row r="131" spans="4:33" ht="20.100000000000001" customHeight="1" x14ac:dyDescent="0.25">
      <c r="D131" s="251" t="str">
        <f>$D$143</f>
        <v>Petrol</v>
      </c>
      <c r="E131" s="251" t="str">
        <f>$D$143</f>
        <v>Petrol</v>
      </c>
      <c r="F131" s="251" t="str">
        <f>$D$150</f>
        <v>Avgas</v>
      </c>
      <c r="G131" s="251" t="str">
        <f>$D$143</f>
        <v>Petrol</v>
      </c>
      <c r="H131" s="251" t="str">
        <f>$D$144</f>
        <v>Diesel</v>
      </c>
      <c r="I131" s="251" t="str">
        <f>$D$143</f>
        <v>Petrol</v>
      </c>
      <c r="J131" s="192"/>
      <c r="K131" s="192"/>
      <c r="L131" s="192"/>
    </row>
    <row r="132" spans="4:33" ht="20.100000000000001" customHeight="1" x14ac:dyDescent="0.25">
      <c r="D132" s="251" t="str">
        <f>$D$144</f>
        <v>Diesel</v>
      </c>
      <c r="E132" s="251" t="str">
        <f>$D$144</f>
        <v>Diesel</v>
      </c>
      <c r="F132" s="251" t="str">
        <f>$D$151</f>
        <v>Jet A1, Jet B</v>
      </c>
      <c r="G132" s="251" t="str">
        <f>$D$144</f>
        <v>Diesel</v>
      </c>
      <c r="H132" s="251"/>
      <c r="I132" s="251" t="str">
        <f>$D$144</f>
        <v>Diesel</v>
      </c>
      <c r="J132" s="192"/>
      <c r="K132" s="192"/>
      <c r="L132" s="192"/>
    </row>
    <row r="133" spans="4:33" ht="20.100000000000001" customHeight="1" x14ac:dyDescent="0.25">
      <c r="D133" s="251" t="str">
        <f>$D$145</f>
        <v>Liquefied petroleum gas (LPG)</v>
      </c>
      <c r="E133" s="251" t="str">
        <f>$D$145</f>
        <v>Liquefied petroleum gas (LPG)</v>
      </c>
      <c r="F133" s="251" t="str">
        <f>$D$152</f>
        <v>Renewable aviation kerosene</v>
      </c>
      <c r="G133" s="251" t="str">
        <f>$D$145</f>
        <v>Liquefied petroleum gas (LPG)</v>
      </c>
      <c r="H133" s="251"/>
      <c r="I133" s="251" t="s">
        <v>802</v>
      </c>
      <c r="J133" s="192"/>
      <c r="K133" s="192"/>
      <c r="L133" s="192"/>
    </row>
    <row r="134" spans="4:33" ht="20.100000000000001" customHeight="1" x14ac:dyDescent="0.25">
      <c r="D134" s="251" t="str">
        <f>$D$146</f>
        <v>Biodiesel</v>
      </c>
      <c r="E134" s="251" t="str">
        <f>$D$146</f>
        <v>Biodiesel</v>
      </c>
      <c r="F134" s="250"/>
      <c r="G134" s="251" t="str">
        <f>$D$160</f>
        <v>Fuel oil</v>
      </c>
      <c r="H134" s="251"/>
      <c r="I134" s="251"/>
      <c r="J134" s="192"/>
      <c r="K134" s="192"/>
      <c r="L134" s="192"/>
    </row>
    <row r="135" spans="4:33" ht="20.100000000000001" customHeight="1" x14ac:dyDescent="0.25">
      <c r="D135" s="251" t="str">
        <f>$D$147</f>
        <v>Ethanol</v>
      </c>
      <c r="E135" s="251" t="str">
        <f>$D$147</f>
        <v>Ethanol</v>
      </c>
      <c r="F135" s="250"/>
      <c r="G135" s="251" t="str">
        <f>$D$147</f>
        <v>Ethanol</v>
      </c>
      <c r="H135" s="251"/>
      <c r="I135" s="251"/>
      <c r="J135" s="192"/>
      <c r="K135" s="192"/>
      <c r="L135" s="192"/>
    </row>
    <row r="136" spans="4:33" ht="20.100000000000001" customHeight="1" x14ac:dyDescent="0.25">
      <c r="D136" s="251" t="str">
        <f>$D$148</f>
        <v>Other biofuels</v>
      </c>
      <c r="E136" s="251" t="str">
        <f>$D$148</f>
        <v>Other biofuels</v>
      </c>
      <c r="F136" s="250"/>
      <c r="G136" s="251" t="str">
        <f>$D$146</f>
        <v>Biodiesel</v>
      </c>
      <c r="H136" s="251"/>
      <c r="I136" s="251"/>
      <c r="J136" s="192"/>
      <c r="K136" s="192"/>
      <c r="L136" s="192"/>
    </row>
    <row r="137" spans="4:33" ht="20.100000000000001" customHeight="1" x14ac:dyDescent="0.25">
      <c r="D137" s="251" t="str">
        <f>$D$149</f>
        <v>Renewable diesel</v>
      </c>
      <c r="E137" s="251" t="str">
        <f>$D$149</f>
        <v>Renewable diesel</v>
      </c>
      <c r="F137" s="250"/>
      <c r="G137" s="251" t="str">
        <f>$D$149</f>
        <v>Renewable diesel</v>
      </c>
      <c r="H137" s="251"/>
      <c r="I137" s="251"/>
      <c r="J137" s="192"/>
      <c r="K137" s="192"/>
      <c r="L137" s="192"/>
    </row>
    <row r="138" spans="4:33" ht="20.100000000000001" customHeight="1" x14ac:dyDescent="0.25">
      <c r="D138" s="250"/>
      <c r="E138" s="252" t="str">
        <f>$D$161</f>
        <v>Natural gas (via pipeline) in GJ</v>
      </c>
      <c r="F138" s="252"/>
      <c r="G138" s="251" t="str">
        <f>$D$148</f>
        <v>Other biofuels</v>
      </c>
      <c r="H138" s="251"/>
      <c r="I138" s="251"/>
      <c r="J138" s="192"/>
      <c r="K138" s="192"/>
      <c r="L138" s="192"/>
    </row>
    <row r="139" spans="4:33" ht="20.100000000000001" customHeight="1" x14ac:dyDescent="0.25">
      <c r="D139" s="252"/>
      <c r="E139" s="252" t="str">
        <f>$D$162</f>
        <v>Town gas in GJ</v>
      </c>
      <c r="F139" s="252"/>
      <c r="G139" s="252"/>
      <c r="H139" s="252"/>
      <c r="I139" s="252"/>
      <c r="J139" s="192"/>
      <c r="K139" s="192"/>
      <c r="L139" s="192"/>
    </row>
    <row r="140" spans="4:33" ht="20.100000000000001" customHeight="1" x14ac:dyDescent="0.25">
      <c r="D140" s="192"/>
      <c r="E140" s="192"/>
      <c r="F140" s="192"/>
      <c r="G140" s="192"/>
      <c r="H140" s="192"/>
      <c r="I140" s="192"/>
      <c r="J140" s="192"/>
      <c r="K140" s="192"/>
      <c r="L140" s="192"/>
    </row>
    <row r="141" spans="4:33" ht="20.100000000000001" customHeight="1" x14ac:dyDescent="0.25">
      <c r="D141" s="192"/>
      <c r="E141" s="192"/>
      <c r="F141" s="192"/>
      <c r="G141" s="192"/>
      <c r="H141" s="192"/>
      <c r="I141" s="192"/>
      <c r="J141" s="192"/>
      <c r="K141" s="192"/>
      <c r="L141" s="192"/>
    </row>
    <row r="142" spans="4:33" ht="20.100000000000001" customHeight="1" x14ac:dyDescent="0.25">
      <c r="D142" t="s">
        <v>857</v>
      </c>
      <c r="E142" t="s">
        <v>122</v>
      </c>
      <c r="F142" t="s">
        <v>858</v>
      </c>
      <c r="G142" s="192"/>
      <c r="H142" s="192"/>
      <c r="I142" s="192"/>
      <c r="J142" s="192"/>
      <c r="K142" s="192"/>
      <c r="L142" s="192"/>
      <c r="M142" s="192"/>
      <c r="AG142" s="1"/>
    </row>
    <row r="143" spans="4:33" ht="20.100000000000001" customHeight="1" x14ac:dyDescent="0.25">
      <c r="D143" s="251" t="s">
        <v>797</v>
      </c>
      <c r="E143" t="s">
        <v>859</v>
      </c>
      <c r="F143" t="s">
        <v>860</v>
      </c>
      <c r="G143" s="192"/>
      <c r="H143" s="192"/>
      <c r="I143" s="192"/>
      <c r="J143" s="192"/>
      <c r="K143" s="192"/>
      <c r="L143" s="192"/>
      <c r="M143" s="192"/>
      <c r="AG143" s="1"/>
    </row>
    <row r="144" spans="4:33" ht="20.100000000000001" customHeight="1" x14ac:dyDescent="0.25">
      <c r="D144" s="251" t="s">
        <v>799</v>
      </c>
      <c r="E144" t="s">
        <v>859</v>
      </c>
      <c r="F144" t="s">
        <v>860</v>
      </c>
      <c r="G144" s="192"/>
      <c r="H144" s="192"/>
      <c r="I144" s="192"/>
      <c r="J144" s="192"/>
      <c r="K144" s="192"/>
      <c r="L144" s="192"/>
      <c r="M144" s="192"/>
      <c r="AG144" s="1"/>
    </row>
    <row r="145" spans="4:33" ht="20.100000000000001" customHeight="1" x14ac:dyDescent="0.25">
      <c r="D145" s="251" t="s">
        <v>861</v>
      </c>
      <c r="E145" t="s">
        <v>859</v>
      </c>
      <c r="F145" t="s">
        <v>860</v>
      </c>
      <c r="G145" s="192"/>
      <c r="H145" s="192"/>
      <c r="I145" s="192"/>
      <c r="J145" s="192"/>
      <c r="K145" s="192"/>
      <c r="L145" s="192"/>
      <c r="M145" s="192"/>
      <c r="AG145" s="1"/>
    </row>
    <row r="146" spans="4:33" ht="20.100000000000001" customHeight="1" x14ac:dyDescent="0.25">
      <c r="D146" s="251" t="s">
        <v>862</v>
      </c>
      <c r="E146" t="s">
        <v>859</v>
      </c>
      <c r="F146" t="s">
        <v>860</v>
      </c>
      <c r="G146" s="192"/>
      <c r="H146" s="192"/>
      <c r="I146" s="192"/>
      <c r="J146" s="192"/>
      <c r="K146" s="192"/>
      <c r="L146" s="192"/>
      <c r="M146" s="192"/>
      <c r="AG146" s="1"/>
    </row>
    <row r="147" spans="4:33" ht="20.100000000000001" customHeight="1" x14ac:dyDescent="0.25">
      <c r="D147" s="251" t="s">
        <v>863</v>
      </c>
      <c r="E147" t="s">
        <v>859</v>
      </c>
      <c r="F147" t="s">
        <v>860</v>
      </c>
      <c r="G147" s="192"/>
      <c r="H147" s="192"/>
      <c r="I147" s="192"/>
      <c r="J147" s="192"/>
      <c r="K147" s="192"/>
      <c r="L147" s="192"/>
      <c r="M147" s="192"/>
      <c r="AG147" s="1"/>
    </row>
    <row r="148" spans="4:33" ht="20.100000000000001" customHeight="1" x14ac:dyDescent="0.25">
      <c r="D148" s="251" t="s">
        <v>864</v>
      </c>
      <c r="E148" t="s">
        <v>859</v>
      </c>
      <c r="F148" t="s">
        <v>860</v>
      </c>
      <c r="G148" s="192"/>
      <c r="H148" s="192"/>
      <c r="I148" s="192"/>
      <c r="J148" s="192"/>
      <c r="K148" s="192"/>
      <c r="L148" s="192"/>
      <c r="M148" s="192"/>
      <c r="AG148" s="1"/>
    </row>
    <row r="149" spans="4:33" ht="20.100000000000001" customHeight="1" x14ac:dyDescent="0.25">
      <c r="D149" s="251" t="s">
        <v>865</v>
      </c>
      <c r="E149" t="s">
        <v>859</v>
      </c>
      <c r="F149" t="s">
        <v>860</v>
      </c>
      <c r="G149" s="192"/>
      <c r="H149" s="192"/>
      <c r="I149" s="192"/>
      <c r="J149" s="192"/>
      <c r="K149" s="192"/>
      <c r="L149" s="192"/>
      <c r="M149" s="192"/>
      <c r="AG149" s="1"/>
    </row>
    <row r="150" spans="4:33" ht="20.100000000000001" customHeight="1" x14ac:dyDescent="0.25">
      <c r="D150" s="251" t="s">
        <v>866</v>
      </c>
      <c r="E150" t="s">
        <v>859</v>
      </c>
      <c r="F150" t="s">
        <v>860</v>
      </c>
      <c r="G150" s="192"/>
      <c r="H150" s="192"/>
      <c r="I150" s="192"/>
      <c r="J150" s="192"/>
      <c r="K150" s="192"/>
      <c r="L150" s="192"/>
      <c r="M150" s="192"/>
      <c r="AG150" s="1"/>
    </row>
    <row r="151" spans="4:33" ht="20.100000000000001" customHeight="1" x14ac:dyDescent="0.25">
      <c r="D151" s="251" t="s">
        <v>867</v>
      </c>
      <c r="E151" t="s">
        <v>859</v>
      </c>
      <c r="F151" t="s">
        <v>860</v>
      </c>
      <c r="G151" s="192"/>
      <c r="H151" s="192"/>
      <c r="I151" s="192"/>
      <c r="J151" s="192"/>
      <c r="K151" s="192"/>
      <c r="L151" s="192"/>
      <c r="M151" s="192"/>
      <c r="AG151" s="1"/>
    </row>
    <row r="152" spans="4:33" ht="20.100000000000001" customHeight="1" x14ac:dyDescent="0.25">
      <c r="D152" s="253" t="s">
        <v>868</v>
      </c>
      <c r="E152" s="8" t="s">
        <v>859</v>
      </c>
      <c r="F152" t="s">
        <v>860</v>
      </c>
      <c r="G152" s="192"/>
      <c r="H152" s="192"/>
      <c r="I152" s="192"/>
      <c r="J152" s="192"/>
      <c r="K152" s="192"/>
      <c r="L152" s="192"/>
      <c r="M152" s="192"/>
      <c r="AG152" s="1"/>
    </row>
    <row r="153" spans="4:33" ht="20.100000000000001" customHeight="1" x14ac:dyDescent="0.25">
      <c r="D153" s="253" t="s">
        <v>869</v>
      </c>
      <c r="E153" s="8" t="s">
        <v>859</v>
      </c>
      <c r="F153" t="s">
        <v>860</v>
      </c>
      <c r="G153" s="192"/>
      <c r="H153" s="192"/>
      <c r="I153" s="192"/>
      <c r="J153" s="192"/>
      <c r="K153" s="192"/>
      <c r="L153" s="192"/>
      <c r="M153" s="192"/>
      <c r="AG153" s="1"/>
    </row>
    <row r="154" spans="4:33" ht="20.100000000000001" customHeight="1" x14ac:dyDescent="0.25">
      <c r="D154" s="253" t="s">
        <v>870</v>
      </c>
      <c r="E154" s="8" t="s">
        <v>859</v>
      </c>
      <c r="F154" t="s">
        <v>860</v>
      </c>
      <c r="G154" s="192"/>
      <c r="H154" s="192"/>
      <c r="I154" s="192"/>
      <c r="J154" s="192"/>
      <c r="K154" s="192"/>
      <c r="L154" s="192"/>
      <c r="M154" s="192"/>
      <c r="AG154" s="1"/>
    </row>
    <row r="155" spans="4:33" ht="20.100000000000001" customHeight="1" x14ac:dyDescent="0.25">
      <c r="D155" s="253" t="s">
        <v>871</v>
      </c>
      <c r="E155" s="8" t="s">
        <v>859</v>
      </c>
      <c r="F155" t="s">
        <v>860</v>
      </c>
      <c r="G155" s="192"/>
      <c r="H155" s="192"/>
      <c r="I155" s="192"/>
      <c r="J155" s="192"/>
      <c r="K155" s="192"/>
      <c r="L155" s="192"/>
      <c r="M155" s="192"/>
      <c r="AG155" s="1"/>
    </row>
    <row r="156" spans="4:33" ht="20.100000000000001" customHeight="1" x14ac:dyDescent="0.25">
      <c r="D156" s="253" t="s">
        <v>872</v>
      </c>
      <c r="E156" s="8" t="s">
        <v>859</v>
      </c>
      <c r="F156" t="s">
        <v>860</v>
      </c>
      <c r="G156" s="192"/>
      <c r="H156" s="192"/>
      <c r="I156" s="192"/>
      <c r="J156" s="192"/>
      <c r="K156" s="192"/>
      <c r="L156" s="192"/>
      <c r="M156" s="192"/>
      <c r="AG156" s="1"/>
    </row>
    <row r="157" spans="4:33" ht="20.100000000000001" customHeight="1" x14ac:dyDescent="0.25">
      <c r="D157" s="253" t="s">
        <v>873</v>
      </c>
      <c r="E157" s="8" t="s">
        <v>859</v>
      </c>
      <c r="F157" t="s">
        <v>860</v>
      </c>
      <c r="G157" s="192"/>
      <c r="H157" s="192"/>
      <c r="I157" s="192"/>
      <c r="J157" s="192"/>
      <c r="K157" s="192"/>
      <c r="L157" s="192"/>
      <c r="M157" s="192"/>
      <c r="AG157" s="1"/>
    </row>
    <row r="158" spans="4:33" ht="20.100000000000001" customHeight="1" x14ac:dyDescent="0.25">
      <c r="D158" s="253" t="s">
        <v>874</v>
      </c>
      <c r="E158" s="8" t="s">
        <v>859</v>
      </c>
      <c r="F158" t="s">
        <v>860</v>
      </c>
      <c r="G158" s="192"/>
      <c r="H158" s="192"/>
      <c r="I158" s="192"/>
      <c r="J158" s="192"/>
      <c r="K158" s="192"/>
      <c r="L158" s="192"/>
      <c r="M158" s="192"/>
      <c r="AG158" s="1"/>
    </row>
    <row r="159" spans="4:33" ht="20.100000000000001" customHeight="1" x14ac:dyDescent="0.25">
      <c r="D159" s="253" t="s">
        <v>875</v>
      </c>
      <c r="E159" s="8" t="s">
        <v>859</v>
      </c>
      <c r="F159" t="s">
        <v>860</v>
      </c>
      <c r="G159" s="192"/>
      <c r="H159" s="192"/>
      <c r="I159" s="192"/>
      <c r="J159" s="192"/>
      <c r="K159" s="192"/>
      <c r="L159" s="192"/>
      <c r="M159" s="192"/>
      <c r="AG159" s="1"/>
    </row>
    <row r="160" spans="4:33" ht="20.100000000000001" customHeight="1" x14ac:dyDescent="0.25">
      <c r="D160" s="253" t="s">
        <v>802</v>
      </c>
      <c r="E160" s="8" t="s">
        <v>859</v>
      </c>
      <c r="F160" t="s">
        <v>860</v>
      </c>
      <c r="G160" s="192"/>
      <c r="H160" s="192"/>
      <c r="I160" s="192"/>
      <c r="J160" s="192"/>
      <c r="K160" s="192"/>
      <c r="L160" s="192"/>
      <c r="M160" s="192"/>
      <c r="AG160" s="1"/>
    </row>
    <row r="161" spans="4:33" ht="20.100000000000001" customHeight="1" x14ac:dyDescent="0.25">
      <c r="D161" s="252" t="s">
        <v>876</v>
      </c>
      <c r="E161" s="192" t="s">
        <v>877</v>
      </c>
      <c r="F161" s="192" t="s">
        <v>877</v>
      </c>
      <c r="G161" s="192"/>
      <c r="H161" s="192"/>
      <c r="I161" s="192"/>
      <c r="J161" s="192"/>
      <c r="K161" s="192"/>
      <c r="L161" s="192"/>
      <c r="M161" s="192"/>
      <c r="AG161" s="1"/>
    </row>
    <row r="162" spans="4:33" ht="20.100000000000001" customHeight="1" x14ac:dyDescent="0.25">
      <c r="D162" s="192" t="s">
        <v>796</v>
      </c>
      <c r="E162" s="192" t="s">
        <v>877</v>
      </c>
      <c r="F162" s="192" t="s">
        <v>877</v>
      </c>
      <c r="G162" s="192"/>
      <c r="H162" s="192"/>
      <c r="I162" s="192"/>
      <c r="J162" s="192"/>
      <c r="K162" s="192"/>
      <c r="L162" s="192"/>
      <c r="M162" s="192"/>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B5ABD-528D-4A05-A151-3DA76E2A3BD9}">
  <sheetPr>
    <tabColor theme="2" tint="-0.499984740745262"/>
  </sheetPr>
  <dimension ref="A1:Q238"/>
  <sheetViews>
    <sheetView showGridLines="0" topLeftCell="A90" workbookViewId="0" zoomScale="100" zoomScaleNormal="100">
      <selection activeCell="A65" sqref="A65"/>
    </sheetView>
  </sheetViews>
  <sheetFormatPr defaultRowHeight="15.75" x14ac:dyDescent="0.25"/>
  <cols>
    <col min="1" max="1" width="35" style="261" customWidth="1"/>
    <col min="2" max="2" width="5.28515625" style="261" customWidth="1"/>
    <col min="3" max="3" width="5.28515625" style="1" customWidth="1"/>
    <col min="4" max="16" width="35" style="1" customWidth="1"/>
    <col min="17" max="17" width="9.140625" style="1"/>
    <col min="18" max="16384" width="9.140625" style="261"/>
  </cols>
  <sheetData>
    <row r="1" spans="1:17" ht="30" customHeight="1" x14ac:dyDescent="0.35">
      <c r="A1" s="16" t="e" vm="1">
        <v>#VALUE!</v>
      </c>
      <c r="C1" s="261"/>
      <c r="D1" s="261"/>
      <c r="E1" s="261"/>
      <c r="F1" s="261"/>
      <c r="G1" s="261"/>
      <c r="H1" s="261"/>
      <c r="I1" s="261"/>
      <c r="J1" s="261"/>
      <c r="K1" s="261"/>
      <c r="L1" s="261"/>
      <c r="M1" s="261"/>
      <c r="N1" s="261"/>
      <c r="O1" s="261"/>
      <c r="P1" s="261"/>
      <c r="Q1" s="261"/>
    </row>
    <row r="2" spans="1:17" ht="20.100000000000001" customHeight="1" x14ac:dyDescent="0.25">
      <c r="A2"/>
      <c r="C2" s="261"/>
      <c r="D2" s="261"/>
      <c r="E2" s="261"/>
      <c r="F2" s="261"/>
      <c r="G2" s="261"/>
      <c r="H2" s="261"/>
      <c r="I2" s="261"/>
      <c r="J2" s="261"/>
      <c r="K2" s="261"/>
      <c r="L2" s="261"/>
      <c r="M2" s="261"/>
      <c r="N2" s="261"/>
      <c r="O2" s="261"/>
      <c r="P2" s="261"/>
      <c r="Q2" s="261"/>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row>
    <row r="22" spans="1:11" ht="20.100000000000001" customHeight="1" x14ac:dyDescent="0.25">
      <c r="A22" s="5" t="str">
        <f>HYPERLINK("#'Input - Livestock farm Inputs'!A1", "Livestock farm Inputs")</f>
        <v>Livestock farm Inputs</v>
      </c>
    </row>
    <row r="23" spans="1:11" ht="20.100000000000001" customHeight="1" x14ac:dyDescent="0.25">
      <c r="A23" s="5" t="str">
        <f>HYPERLINK("#'Input - Freight'!A1", "Freight")</f>
        <v>Freight</v>
      </c>
    </row>
    <row r="24" spans="1:11" ht="20.100000000000001" customHeight="1" x14ac:dyDescent="0.25">
      <c r="A24" s="5" t="str">
        <f>HYPERLINK("#'Input - Manure sent off-site'!A1", "Manure sent off-site")</f>
        <v>Manure sent off-site</v>
      </c>
    </row>
    <row r="25" spans="1:11" ht="20.100000000000001" customHeight="1" x14ac:dyDescent="0.25">
      <c r="A25" s="5" t="str">
        <f>HYPERLINK("#'Input - Solid waste'!A1", "Solid waste")</f>
        <v>Solid waste</v>
      </c>
    </row>
    <row r="26" spans="1:11" ht="20.100000000000001" customHeight="1" x14ac:dyDescent="0.25">
      <c r="A26" s="5" t="str">
        <f>HYPERLINK("#'Input - Data quality'!A1", "Data quality")</f>
        <v>Data quality</v>
      </c>
    </row>
    <row r="27" spans="1:11" ht="20.100000000000001" customHeight="1" x14ac:dyDescent="0.25">
      <c r="A27"/>
    </row>
    <row r="28" spans="1:11" ht="20.100000000000001" customHeight="1" x14ac:dyDescent="0.25">
      <c r="A28"/>
    </row>
    <row r="29" spans="1:11" ht="20.100000000000001" customHeight="1" x14ac:dyDescent="0.25">
      <c r="A29" s="6" t="s">
        <v>2</v>
      </c>
    </row>
    <row r="30" spans="1:11" ht="20.100000000000001" customHeight="1" x14ac:dyDescent="0.25">
      <c r="A30" s="5" t="str">
        <f>HYPERLINK("#'5.1.1.1-2 Inorganic fert N2O'!A1", "5.1.1.1-2 Inorganic fert N2O")</f>
        <v>5.1.1.1-2 Inorganic fert N2O</v>
      </c>
    </row>
    <row r="31" spans="1:11" ht="20.100000000000001" customHeight="1" x14ac:dyDescent="0.25">
      <c r="A31" s="5" t="str">
        <f>HYPERLINK("#'5.1.1.3-4 Inorganic fert CO2'!A1", "5.1.1.3-4 Inorganic fert CO2")</f>
        <v>5.1.1.3-4 Inorganic fert CO2</v>
      </c>
    </row>
    <row r="32" spans="1:11" ht="20.100000000000001" customHeight="1" x14ac:dyDescent="0.25">
      <c r="A32" s="5" t="str">
        <f>HYPERLINK("#'5.2.1.1-2 Organic Fert N2O'!A1", "5.2.1.1-2 Organic fert N2O")</f>
        <v>5.2.1.1-2 Organic fert N2O</v>
      </c>
      <c r="D32" s="2" t="s">
        <v>1257</v>
      </c>
      <c r="K32" s="1" t="s">
        <v>1258</v>
      </c>
    </row>
    <row r="33" spans="1:12" ht="20.100000000000001" customHeight="1" x14ac:dyDescent="0.25">
      <c r="A33" s="5" t="str">
        <f>HYPERLINK("#'5.3.1.1-2 Lime CO2'!A1", "5.3.1.1-2 Lime CO2")</f>
        <v>5.3.1.1-2 Lime CO2</v>
      </c>
      <c r="D33" s="29" t="s">
        <v>1259</v>
      </c>
      <c r="E33" s="29" t="s">
        <v>138</v>
      </c>
      <c r="F33" s="29" t="s">
        <v>1260</v>
      </c>
      <c r="G33" s="29" t="s">
        <v>1261</v>
      </c>
      <c r="H33" s="29" t="s">
        <v>1262</v>
      </c>
      <c r="I33" s="29" t="s">
        <v>1263</v>
      </c>
      <c r="K33" s="29" t="s">
        <v>1264</v>
      </c>
      <c r="L33" s="29" t="s">
        <v>1265</v>
      </c>
    </row>
    <row r="34" spans="1:12" ht="20.100000000000001" customHeight="1" x14ac:dyDescent="0.25">
      <c r="A34" s="5" t="str">
        <f>HYPERLINK("#'5.4.1.1-4 Atmos deposition'!A1", "5.4.1.1-4 Atmos. deposition")</f>
        <v>5.4.1.1-4 Atmos. deposition</v>
      </c>
      <c r="D34" s="29" t="str" cm="1">
        <f t="array" ref="D34">Common_InputFunctions.Utility_DisplayArrayInTable(Scope3_SourceData.Scope3_Livestock_Data(), Table_SourceData_Scope3_Animals[[#Headers],[Category]], 0, 2)</f>
        <v>Beef cattle</v>
      </c>
      <c r="E34" s="29" t="str" cm="1">
        <f t="array" ref="E34">Common_InputFunctions.Utility_DisplayArrayInTable(Scope3_SourceData.Scope3_Livestock_Data(), Table_SourceData_Scope3_Animals[[#Headers],[Category]], 0, 2)</f>
        <v>Cattle, for manufacturing beef</v>
      </c>
      <c r="F34" s="29" t="str" cm="1">
        <f t="array" ref="F34">Common_InputFunctions.Utility_DisplayArrayInTable(Scope3_SourceData.Scope3_Livestock_Data(), Table_SourceData_Scope3_Animals[[#Headers],[Category]], 0, 2)</f>
        <v>Australia</v>
      </c>
      <c r="G34" s="29" t="str" cm="1">
        <f t="array" ref="G34">Common_InputFunctions.Utility_DisplayArrayInTable(Scope3_SourceData.Scope3_Livestock_Data(), Table_SourceData_Scope3_Animals[[#Headers],[Category]], 0, 2)</f>
        <v>kg liveweight</v>
      </c>
      <c r="H34" s="29" cm="1">
        <f t="array" ref="H34">Common_InputFunctions.Utility_DisplayArrayInTable(Scope3_SourceData.Scope3_Livestock_Data(), Table_SourceData_Scope3_Animals[[#Headers],[Category]], 0, 2)</f>
        <v>11</v>
      </c>
      <c r="I34" s="29" t="str" cm="1">
        <f t="array" ref="I34">Common_InputFunctions.Utility_DisplayArrayInTable(Scope3_SourceData.Scope3_Livestock_Data(), Table_SourceData_Scope3_Animals[[#Headers],[Category]], 0, 2)</f>
        <v>at market</v>
      </c>
      <c r="K34" s="29" t="s">
        <v>515</v>
      </c>
      <c r="L34" s="29" t="s">
        <v>516</v>
      </c>
    </row>
    <row r="35" spans="1:12" ht="20.100000000000001" customHeight="1" x14ac:dyDescent="0.25">
      <c r="A35" s="5" t="str">
        <f>HYPERLINK("#'5.5.1.1-2 Leaching and runoff'!A1", "5.5.1.1-2 Leaching &amp; runoff")</f>
        <v>5.5.1.1-2 Leaching &amp; runoff</v>
      </c>
      <c r="D35" s="29" t="str" cm="1">
        <f t="array" ref="D35">Common_InputFunctions.Utility_DisplayArrayInTable(Scope3_SourceData.Scope3_Livestock_Data(), Table_SourceData_Scope3_Animals[[#Headers],[Category]], 0, 2)</f>
        <v>Beef cattle</v>
      </c>
      <c r="E35" s="29" t="str" cm="1">
        <f t="array" ref="E35">Common_InputFunctions.Utility_DisplayArrayInTable(Scope3_SourceData.Scope3_Livestock_Data(), Table_SourceData_Scope3_Animals[[#Headers],[Category]], 0, 2)</f>
        <v>Cattle, for manufacturing beef</v>
      </c>
      <c r="F35" s="29" t="str" cm="1">
        <f t="array" ref="F35">Common_InputFunctions.Utility_DisplayArrayInTable(Scope3_SourceData.Scope3_Livestock_Data(), Table_SourceData_Scope3_Animals[[#Headers],[Category]], 0, 2)</f>
        <v>NSW</v>
      </c>
      <c r="G35" s="29" t="str" cm="1">
        <f t="array" ref="G35">Common_InputFunctions.Utility_DisplayArrayInTable(Scope3_SourceData.Scope3_Livestock_Data(), Table_SourceData_Scope3_Animals[[#Headers],[Category]], 0, 2)</f>
        <v>kg liveweight</v>
      </c>
      <c r="H35" s="29" cm="1">
        <f t="array" ref="H35">Common_InputFunctions.Utility_DisplayArrayInTable(Scope3_SourceData.Scope3_Livestock_Data(), Table_SourceData_Scope3_Animals[[#Headers],[Category]], 0, 2)</f>
        <v>8.2100000000000009</v>
      </c>
      <c r="I35" s="29" t="str" cm="1">
        <f t="array" ref="I35">Common_InputFunctions.Utility_DisplayArrayInTable(Scope3_SourceData.Scope3_Livestock_Data(), Table_SourceData_Scope3_Animals[[#Headers],[Category]], 0, 2)</f>
        <v>at market</v>
      </c>
      <c r="K35" s="29" t="s">
        <v>516</v>
      </c>
      <c r="L35" s="29" t="s">
        <v>516</v>
      </c>
    </row>
    <row r="36" spans="1:12" ht="20.100000000000001" customHeight="1" x14ac:dyDescent="0.25">
      <c r="A36" s="5" t="str">
        <f>HYPERLINK("#'6.2.1.1-2 Pasture residue N2O'!A1", "6.2.1.1-2 Pasture residue N2O")</f>
        <v>6.2.1.1-2 Pasture residue N2O</v>
      </c>
      <c r="D36" s="29" t="str" cm="1">
        <f t="array" ref="D36">Common_InputFunctions.Utility_DisplayArrayInTable(Scope3_SourceData.Scope3_Livestock_Data(), Table_SourceData_Scope3_Animals[[#Headers],[Category]], 0, 2)</f>
        <v>Beef cattle</v>
      </c>
      <c r="E36" s="29" t="str" cm="1">
        <f t="array" ref="E36">Common_InputFunctions.Utility_DisplayArrayInTable(Scope3_SourceData.Scope3_Livestock_Data(), Table_SourceData_Scope3_Animals[[#Headers],[Category]], 0, 2)</f>
        <v>Cattle, for manufacturing beef</v>
      </c>
      <c r="F36" s="29" t="str" cm="1">
        <f t="array" ref="F36">Common_InputFunctions.Utility_DisplayArrayInTable(Scope3_SourceData.Scope3_Livestock_Data(), Table_SourceData_Scope3_Animals[[#Headers],[Category]], 0, 2)</f>
        <v>NT</v>
      </c>
      <c r="G36" s="29" t="str" cm="1">
        <f t="array" ref="G36">Common_InputFunctions.Utility_DisplayArrayInTable(Scope3_SourceData.Scope3_Livestock_Data(), Table_SourceData_Scope3_Animals[[#Headers],[Category]], 0, 2)</f>
        <v>kg liveweight</v>
      </c>
      <c r="H36" s="29" cm="1">
        <f t="array" ref="H36">Common_InputFunctions.Utility_DisplayArrayInTable(Scope3_SourceData.Scope3_Livestock_Data(), Table_SourceData_Scope3_Animals[[#Headers],[Category]], 0, 2)</f>
        <v>12.2</v>
      </c>
      <c r="I36" s="29" t="str" cm="1">
        <f t="array" ref="I36">Common_InputFunctions.Utility_DisplayArrayInTable(Scope3_SourceData.Scope3_Livestock_Data(), Table_SourceData_Scope3_Animals[[#Headers],[Category]], 0, 2)</f>
        <v>at market</v>
      </c>
      <c r="K36" s="29" t="s">
        <v>519</v>
      </c>
      <c r="L36" s="29" t="s">
        <v>519</v>
      </c>
    </row>
    <row r="37" spans="1:12" ht="20.100000000000001" customHeight="1" x14ac:dyDescent="0.25">
      <c r="A37" s="5" t="str">
        <f>HYPERLINK("#'6.3.1.1-2 Leach runoff pasture'!A1", "6.3.1.1-2 Leach &amp; runoff (pasture)")</f>
        <v>6.3.1.1-2 Leach &amp; runoff (pasture)</v>
      </c>
      <c r="D37" s="29" t="str" cm="1">
        <f t="array" ref="D37">Common_InputFunctions.Utility_DisplayArrayInTable(Scope3_SourceData.Scope3_Livestock_Data(), Table_SourceData_Scope3_Animals[[#Headers],[Category]], 0, 2)</f>
        <v>Beef cattle</v>
      </c>
      <c r="E37" s="29" t="str" cm="1">
        <f t="array" ref="E37">Common_InputFunctions.Utility_DisplayArrayInTable(Scope3_SourceData.Scope3_Livestock_Data(), Table_SourceData_Scope3_Animals[[#Headers],[Category]], 0, 2)</f>
        <v>Cattle, for manufacturing beef</v>
      </c>
      <c r="F37" s="29" t="str" cm="1">
        <f t="array" ref="F37">Common_InputFunctions.Utility_DisplayArrayInTable(Scope3_SourceData.Scope3_Livestock_Data(), Table_SourceData_Scope3_Animals[[#Headers],[Category]], 0, 2)</f>
        <v>QLD</v>
      </c>
      <c r="G37" s="29" t="str" cm="1">
        <f t="array" ref="G37">Common_InputFunctions.Utility_DisplayArrayInTable(Scope3_SourceData.Scope3_Livestock_Data(), Table_SourceData_Scope3_Animals[[#Headers],[Category]], 0, 2)</f>
        <v>kg liveweight</v>
      </c>
      <c r="H37" s="29" cm="1">
        <f t="array" ref="H37">Common_InputFunctions.Utility_DisplayArrayInTable(Scope3_SourceData.Scope3_Livestock_Data(), Table_SourceData_Scope3_Animals[[#Headers],[Category]], 0, 2)</f>
        <v>10.9</v>
      </c>
      <c r="I37" s="29" t="str" cm="1">
        <f t="array" ref="I37">Common_InputFunctions.Utility_DisplayArrayInTable(Scope3_SourceData.Scope3_Livestock_Data(), Table_SourceData_Scope3_Animals[[#Headers],[Category]], 0, 2)</f>
        <v>at market</v>
      </c>
      <c r="K37" s="29" t="s">
        <v>520</v>
      </c>
      <c r="L37" s="29" t="s">
        <v>520</v>
      </c>
    </row>
    <row r="38" spans="1:12" ht="20.100000000000001" customHeight="1" x14ac:dyDescent="0.25">
      <c r="A38" s="5" t="str">
        <f>HYPERLINK("#'8.1.1.1-2 Transport fuel'!A1", "8.1.1.1-2 Transport fuel")</f>
        <v>8.1.1.1-2 Transport fuel</v>
      </c>
      <c r="D38" s="29" t="str" cm="1">
        <f t="array" ref="D38">Common_InputFunctions.Utility_DisplayArrayInTable(Scope3_SourceData.Scope3_Livestock_Data(), Table_SourceData_Scope3_Animals[[#Headers],[Category]], 0, 2)</f>
        <v>Beef cattle</v>
      </c>
      <c r="E38" s="29" t="str" cm="1">
        <f t="array" ref="E38">Common_InputFunctions.Utility_DisplayArrayInTable(Scope3_SourceData.Scope3_Livestock_Data(), Table_SourceData_Scope3_Animals[[#Headers],[Category]], 0, 2)</f>
        <v>Cattle, for manufacturing beef</v>
      </c>
      <c r="F38" s="29" t="str" cm="1">
        <f t="array" ref="F38">Common_InputFunctions.Utility_DisplayArrayInTable(Scope3_SourceData.Scope3_Livestock_Data(), Table_SourceData_Scope3_Animals[[#Headers],[Category]], 0, 2)</f>
        <v>SA</v>
      </c>
      <c r="G38" s="29" t="str" cm="1">
        <f t="array" ref="G38">Common_InputFunctions.Utility_DisplayArrayInTable(Scope3_SourceData.Scope3_Livestock_Data(), Table_SourceData_Scope3_Animals[[#Headers],[Category]], 0, 2)</f>
        <v>kg liveweight</v>
      </c>
      <c r="H38" s="29" cm="1">
        <f t="array" ref="H38">Common_InputFunctions.Utility_DisplayArrayInTable(Scope3_SourceData.Scope3_Livestock_Data(), Table_SourceData_Scope3_Animals[[#Headers],[Category]], 0, 2)</f>
        <v>7.63</v>
      </c>
      <c r="I38" s="29" t="str" cm="1">
        <f t="array" ref="I38">Common_InputFunctions.Utility_DisplayArrayInTable(Scope3_SourceData.Scope3_Livestock_Data(), Table_SourceData_Scope3_Animals[[#Headers],[Category]], 0, 2)</f>
        <v>at market</v>
      </c>
      <c r="K38" s="29" t="s">
        <v>521</v>
      </c>
      <c r="L38" s="29" t="s">
        <v>521</v>
      </c>
    </row>
    <row r="39" spans="1:12" ht="20.100000000000001" customHeight="1" x14ac:dyDescent="0.25">
      <c r="A39" s="5" t="str">
        <f>HYPERLINK("#'8.2.1.1-2 Stationary fuel'!A1", "8.2.1.1-2 Stationary fuel")</f>
        <v>8.2.1.1-2 Stationary fuel</v>
      </c>
      <c r="D39" s="29" t="str" cm="1">
        <f t="array" ref="D39">Common_InputFunctions.Utility_DisplayArrayInTable(Scope3_SourceData.Scope3_Livestock_Data(), Table_SourceData_Scope3_Animals[[#Headers],[Category]], 0, 2)</f>
        <v>Beef cattle</v>
      </c>
      <c r="E39" s="29" t="str" cm="1">
        <f t="array" ref="E39">Common_InputFunctions.Utility_DisplayArrayInTable(Scope3_SourceData.Scope3_Livestock_Data(), Table_SourceData_Scope3_Animals[[#Headers],[Category]], 0, 2)</f>
        <v>Cattle, for manufacturing beef</v>
      </c>
      <c r="F39" s="29" t="str" cm="1">
        <f t="array" ref="F39">Common_InputFunctions.Utility_DisplayArrayInTable(Scope3_SourceData.Scope3_Livestock_Data(), Table_SourceData_Scope3_Animals[[#Headers],[Category]], 0, 2)</f>
        <v>TAS</v>
      </c>
      <c r="G39" s="29" t="str" cm="1">
        <f t="array" ref="G39">Common_InputFunctions.Utility_DisplayArrayInTable(Scope3_SourceData.Scope3_Livestock_Data(), Table_SourceData_Scope3_Animals[[#Headers],[Category]], 0, 2)</f>
        <v>kg liveweight</v>
      </c>
      <c r="H39" s="29" cm="1">
        <f t="array" ref="H39">Common_InputFunctions.Utility_DisplayArrayInTable(Scope3_SourceData.Scope3_Livestock_Data(), Table_SourceData_Scope3_Animals[[#Headers],[Category]], 0, 2)</f>
        <v>8.75</v>
      </c>
      <c r="I39" s="29" t="str" cm="1">
        <f t="array" ref="I39">Common_InputFunctions.Utility_DisplayArrayInTable(Scope3_SourceData.Scope3_Livestock_Data(), Table_SourceData_Scope3_Animals[[#Headers],[Category]], 0, 2)</f>
        <v>at market</v>
      </c>
      <c r="K39" s="29" t="s">
        <v>1266</v>
      </c>
      <c r="L39" s="29" t="s">
        <v>522</v>
      </c>
    </row>
    <row r="40" spans="1:12" ht="20.100000000000001" customHeight="1" x14ac:dyDescent="0.25">
      <c r="A40" s="5" t="str">
        <f>HYPERLINK("#'14.1.1-2 Purchased electricity'!A1", "14.1.1-2 Purchased electricity")</f>
        <v>14.1.1-2 Purchased electricity</v>
      </c>
      <c r="D40" s="29" t="str" cm="1">
        <f t="array" ref="D40">Common_InputFunctions.Utility_DisplayArrayInTable(Scope3_SourceData.Scope3_Livestock_Data(), Table_SourceData_Scope3_Animals[[#Headers],[Category]], 0, 2)</f>
        <v>Beef cattle</v>
      </c>
      <c r="E40" s="29" t="str" cm="1">
        <f t="array" ref="E40">Common_InputFunctions.Utility_DisplayArrayInTable(Scope3_SourceData.Scope3_Livestock_Data(), Table_SourceData_Scope3_Animals[[#Headers],[Category]], 0, 2)</f>
        <v>Cattle, for manufacturing beef</v>
      </c>
      <c r="F40" s="29" t="str" cm="1">
        <f t="array" ref="F40">Common_InputFunctions.Utility_DisplayArrayInTable(Scope3_SourceData.Scope3_Livestock_Data(), Table_SourceData_Scope3_Animals[[#Headers],[Category]], 0, 2)</f>
        <v>VIC</v>
      </c>
      <c r="G40" s="29" t="str" cm="1">
        <f t="array" ref="G40">Common_InputFunctions.Utility_DisplayArrayInTable(Scope3_SourceData.Scope3_Livestock_Data(), Table_SourceData_Scope3_Animals[[#Headers],[Category]], 0, 2)</f>
        <v>kg liveweight</v>
      </c>
      <c r="H40" s="29" cm="1">
        <f t="array" ref="H40">Common_InputFunctions.Utility_DisplayArrayInTable(Scope3_SourceData.Scope3_Livestock_Data(), Table_SourceData_Scope3_Animals[[#Headers],[Category]], 0, 2)</f>
        <v>8.17</v>
      </c>
      <c r="I40" s="29" t="str" cm="1">
        <f t="array" ref="I40">Common_InputFunctions.Utility_DisplayArrayInTable(Scope3_SourceData.Scope3_Livestock_Data(), Table_SourceData_Scope3_Animals[[#Headers],[Category]], 0, 2)</f>
        <v>at market</v>
      </c>
      <c r="K40" s="29" t="s">
        <v>1267</v>
      </c>
      <c r="L40" s="29" t="s">
        <v>522</v>
      </c>
    </row>
    <row r="41" spans="1:12" ht="20.100000000000001" customHeight="1" x14ac:dyDescent="0.25">
      <c r="A41" s="5" t="str">
        <f>HYPERLINK("#'15 Scope 3'!A1", "15 Scope 3")</f>
        <v>15 Scope 3</v>
      </c>
      <c r="D41" s="29" t="str" cm="1">
        <f t="array" ref="D41">Common_InputFunctions.Utility_DisplayArrayInTable(Scope3_SourceData.Scope3_Livestock_Data(), Table_SourceData_Scope3_Animals[[#Headers],[Category]], 0, 2)</f>
        <v>Beef cattle</v>
      </c>
      <c r="E41" s="29" t="str" cm="1">
        <f t="array" ref="E41">Common_InputFunctions.Utility_DisplayArrayInTable(Scope3_SourceData.Scope3_Livestock_Data(), Table_SourceData_Scope3_Animals[[#Headers],[Category]], 0, 2)</f>
        <v>Cattle, for manufacturing beef</v>
      </c>
      <c r="F41" s="29" t="str" cm="1">
        <f t="array" ref="F41">Common_InputFunctions.Utility_DisplayArrayInTable(Scope3_SourceData.Scope3_Livestock_Data(), Table_SourceData_Scope3_Animals[[#Headers],[Category]], 0, 2)</f>
        <v>WA</v>
      </c>
      <c r="G41" s="29" t="str" cm="1">
        <f t="array" ref="G41">Common_InputFunctions.Utility_DisplayArrayInTable(Scope3_SourceData.Scope3_Livestock_Data(), Table_SourceData_Scope3_Animals[[#Headers],[Category]], 0, 2)</f>
        <v>kg liveweight</v>
      </c>
      <c r="H41" s="29" cm="1">
        <f t="array" ref="H41">Common_InputFunctions.Utility_DisplayArrayInTable(Scope3_SourceData.Scope3_Livestock_Data(), Table_SourceData_Scope3_Animals[[#Headers],[Category]], 0, 2)</f>
        <v>13.1</v>
      </c>
      <c r="I41" s="29" t="str" cm="1">
        <f t="array" ref="I41">Common_InputFunctions.Utility_DisplayArrayInTable(Scope3_SourceData.Scope3_Livestock_Data(), Table_SourceData_Scope3_Animals[[#Headers],[Category]], 0, 2)</f>
        <v>at market</v>
      </c>
      <c r="K41" s="29" t="s">
        <v>1268</v>
      </c>
      <c r="L41" s="29" t="s">
        <v>522</v>
      </c>
    </row>
    <row r="42" spans="1:12" ht="20.100000000000001" customHeight="1" x14ac:dyDescent="0.25">
      <c r="A42" s="5" t="str">
        <f>HYPERLINK("#'Calcs - Manure sent off-site'!A1", "Calcs - Manure sent off-site")</f>
        <v>Calcs - Manure sent off-site</v>
      </c>
      <c r="D42" s="29" t="str" cm="1">
        <f t="array" ref="D42">Common_InputFunctions.Utility_DisplayArrayInTable(Scope3_SourceData.Scope3_Livestock_Data(), Table_SourceData_Scope3_Animals[[#Headers],[Category]], 0, 2)</f>
        <v>Beef cattle</v>
      </c>
      <c r="E42" s="29" t="str" cm="1">
        <f t="array" ref="E42">Common_InputFunctions.Utility_DisplayArrayInTable(Scope3_SourceData.Scope3_Livestock_Data(), Table_SourceData_Scope3_Animals[[#Headers],[Category]], 0, 2)</f>
        <v>Cattle, for prime beef</v>
      </c>
      <c r="F42" s="29" t="str" cm="1">
        <f t="array" ref="F42">Common_InputFunctions.Utility_DisplayArrayInTable(Scope3_SourceData.Scope3_Livestock_Data(), Table_SourceData_Scope3_Animals[[#Headers],[Category]], 0, 2)</f>
        <v>Australia</v>
      </c>
      <c r="G42" s="29" t="str" cm="1">
        <f t="array" ref="G42">Common_InputFunctions.Utility_DisplayArrayInTable(Scope3_SourceData.Scope3_Livestock_Data(), Table_SourceData_Scope3_Animals[[#Headers],[Category]], 0, 2)</f>
        <v>kg liveweight</v>
      </c>
      <c r="H42" s="29" cm="1">
        <f t="array" ref="H42">Common_InputFunctions.Utility_DisplayArrayInTable(Scope3_SourceData.Scope3_Livestock_Data(), Table_SourceData_Scope3_Animals[[#Headers],[Category]], 0, 2)</f>
        <v>14.5</v>
      </c>
      <c r="I42" s="29" t="str" cm="1">
        <f t="array" ref="I42">Common_InputFunctions.Utility_DisplayArrayInTable(Scope3_SourceData.Scope3_Livestock_Data(), Table_SourceData_Scope3_Animals[[#Headers],[Category]], 0, 2)</f>
        <v>at market</v>
      </c>
      <c r="K42" s="29" t="s">
        <v>1269</v>
      </c>
      <c r="L42" s="29" t="s">
        <v>517</v>
      </c>
    </row>
    <row r="43" spans="1:12" ht="20.100000000000001" customHeight="1" x14ac:dyDescent="0.25">
      <c r="A43" s="5" t="str">
        <f>HYPERLINK("#'4.3.1.1-2 Methane'!A1", "4.3.1.1-2 Methane")</f>
        <v>4.3.1.1-2 Methane</v>
      </c>
      <c r="D43" s="29" t="str" cm="1">
        <f t="array" ref="D43">Common_InputFunctions.Utility_DisplayArrayInTable(Scope3_SourceData.Scope3_Livestock_Data(), Table_SourceData_Scope3_Animals[[#Headers],[Category]], 0, 2)</f>
        <v>Beef cattle</v>
      </c>
      <c r="E43" s="29" t="str" cm="1">
        <f t="array" ref="E43">Common_InputFunctions.Utility_DisplayArrayInTable(Scope3_SourceData.Scope3_Livestock_Data(), Table_SourceData_Scope3_Animals[[#Headers],[Category]], 0, 2)</f>
        <v>Cattle, for prime beef</v>
      </c>
      <c r="F43" s="29" t="str" cm="1">
        <f t="array" ref="F43">Common_InputFunctions.Utility_DisplayArrayInTable(Scope3_SourceData.Scope3_Livestock_Data(), Table_SourceData_Scope3_Animals[[#Headers],[Category]], 0, 2)</f>
        <v>NSW</v>
      </c>
      <c r="G43" s="29" t="str" cm="1">
        <f t="array" ref="G43">Common_InputFunctions.Utility_DisplayArrayInTable(Scope3_SourceData.Scope3_Livestock_Data(), Table_SourceData_Scope3_Animals[[#Headers],[Category]], 0, 2)</f>
        <v>kg liveweight</v>
      </c>
      <c r="H43" s="29" cm="1">
        <f t="array" ref="H43">Common_InputFunctions.Utility_DisplayArrayInTable(Scope3_SourceData.Scope3_Livestock_Data(), Table_SourceData_Scope3_Animals[[#Headers],[Category]], 0, 2)</f>
        <v>11.3</v>
      </c>
      <c r="I43" s="29" t="str" cm="1">
        <f t="array" ref="I43">Common_InputFunctions.Utility_DisplayArrayInTable(Scope3_SourceData.Scope3_Livestock_Data(), Table_SourceData_Scope3_Animals[[#Headers],[Category]], 0, 2)</f>
        <v>at market</v>
      </c>
      <c r="K43" s="29" t="s">
        <v>1270</v>
      </c>
      <c r="L43" s="29" t="s">
        <v>517</v>
      </c>
    </row>
    <row r="44" spans="1:12" ht="20.100000000000001" customHeight="1" x14ac:dyDescent="0.25">
      <c r="A44" s="5" t="str">
        <f>HYPERLINK("#'4.3.1.3-4 Direct N20'!A1", "4.3.1.3-4 Direct N20")</f>
        <v>4.3.1.3-4 Direct N20</v>
      </c>
      <c r="D44" s="29" t="str" cm="1">
        <f t="array" ref="D44">Common_InputFunctions.Utility_DisplayArrayInTable(Scope3_SourceData.Scope3_Livestock_Data(), Table_SourceData_Scope3_Animals[[#Headers],[Category]], 0, 2)</f>
        <v>Beef cattle</v>
      </c>
      <c r="E44" s="29" t="str" cm="1">
        <f t="array" ref="E44">Common_InputFunctions.Utility_DisplayArrayInTable(Scope3_SourceData.Scope3_Livestock_Data(), Table_SourceData_Scope3_Animals[[#Headers],[Category]], 0, 2)</f>
        <v>Cattle, for prime beef</v>
      </c>
      <c r="F44" s="29" t="str" cm="1">
        <f t="array" ref="F44">Common_InputFunctions.Utility_DisplayArrayInTable(Scope3_SourceData.Scope3_Livestock_Data(), Table_SourceData_Scope3_Animals[[#Headers],[Category]], 0, 2)</f>
        <v>NT</v>
      </c>
      <c r="G44" s="29" t="str" cm="1">
        <f t="array" ref="G44">Common_InputFunctions.Utility_DisplayArrayInTable(Scope3_SourceData.Scope3_Livestock_Data(), Table_SourceData_Scope3_Animals[[#Headers],[Category]], 0, 2)</f>
        <v>kg liveweight</v>
      </c>
      <c r="H44" s="29" cm="1">
        <f t="array" ref="H44">Common_InputFunctions.Utility_DisplayArrayInTable(Scope3_SourceData.Scope3_Livestock_Data(), Table_SourceData_Scope3_Animals[[#Headers],[Category]], 0, 2)</f>
        <v>18.899999999999999</v>
      </c>
      <c r="I44" s="29" t="str" cm="1">
        <f t="array" ref="I44">Common_InputFunctions.Utility_DisplayArrayInTable(Scope3_SourceData.Scope3_Livestock_Data(), Table_SourceData_Scope3_Animals[[#Headers],[Category]], 0, 2)</f>
        <v>at market</v>
      </c>
      <c r="K44" s="29" t="s">
        <v>1271</v>
      </c>
      <c r="L44" s="29" t="s">
        <v>517</v>
      </c>
    </row>
    <row r="45" spans="1:12" ht="20.100000000000001" customHeight="1" x14ac:dyDescent="0.25">
      <c r="A45" s="5" t="str">
        <f>HYPERLINK("#'4.3.1.5 Atmos deposition'!A1", "4.3.1.5 Atmos deposition")</f>
        <v>4.3.1.5 Atmos deposition</v>
      </c>
      <c r="D45" s="29" t="str" cm="1">
        <f t="array" ref="D45">Common_InputFunctions.Utility_DisplayArrayInTable(Scope3_SourceData.Scope3_Livestock_Data(), Table_SourceData_Scope3_Animals[[#Headers],[Category]], 0, 2)</f>
        <v>Beef cattle</v>
      </c>
      <c r="E45" s="29" t="str" cm="1">
        <f t="array" ref="E45">Common_InputFunctions.Utility_DisplayArrayInTable(Scope3_SourceData.Scope3_Livestock_Data(), Table_SourceData_Scope3_Animals[[#Headers],[Category]], 0, 2)</f>
        <v>Cattle, for prime beef</v>
      </c>
      <c r="F45" s="29" t="str" cm="1">
        <f t="array" ref="F45">Common_InputFunctions.Utility_DisplayArrayInTable(Scope3_SourceData.Scope3_Livestock_Data(), Table_SourceData_Scope3_Animals[[#Headers],[Category]], 0, 2)</f>
        <v>QLD</v>
      </c>
      <c r="G45" s="29" t="str" cm="1">
        <f t="array" ref="G45">Common_InputFunctions.Utility_DisplayArrayInTable(Scope3_SourceData.Scope3_Livestock_Data(), Table_SourceData_Scope3_Animals[[#Headers],[Category]], 0, 2)</f>
        <v>kg liveweight</v>
      </c>
      <c r="H45" s="29" cm="1">
        <f t="array" ref="H45">Common_InputFunctions.Utility_DisplayArrayInTable(Scope3_SourceData.Scope3_Livestock_Data(), Table_SourceData_Scope3_Animals[[#Headers],[Category]], 0, 2)</f>
        <v>13.9</v>
      </c>
      <c r="I45" s="29" t="str" cm="1">
        <f t="array" ref="I45">Common_InputFunctions.Utility_DisplayArrayInTable(Scope3_SourceData.Scope3_Livestock_Data(), Table_SourceData_Scope3_Animals[[#Headers],[Category]], 0, 2)</f>
        <v>at market</v>
      </c>
      <c r="K45" s="29" t="s">
        <v>1272</v>
      </c>
      <c r="L45" s="29" t="s">
        <v>518</v>
      </c>
    </row>
    <row r="46" spans="1:12" ht="20.100000000000001" customHeight="1" x14ac:dyDescent="0.25">
      <c r="A46" s="5" t="str">
        <f>HYPERLINK("#'4.3.1.6-7 Leaching and runoff'!A1", "4.3.1.6-7 Leaching and runoff")</f>
        <v>4.3.1.6-7 Leaching and runoff</v>
      </c>
      <c r="D46" s="29" t="str" cm="1">
        <f t="array" ref="D46">Common_InputFunctions.Utility_DisplayArrayInTable(Scope3_SourceData.Scope3_Livestock_Data(), Table_SourceData_Scope3_Animals[[#Headers],[Category]], 0, 2)</f>
        <v>Beef cattle</v>
      </c>
      <c r="E46" s="29" t="str" cm="1">
        <f t="array" ref="E46">Common_InputFunctions.Utility_DisplayArrayInTable(Scope3_SourceData.Scope3_Livestock_Data(), Table_SourceData_Scope3_Animals[[#Headers],[Category]], 0, 2)</f>
        <v>Cattle, for prime beef</v>
      </c>
      <c r="F46" s="29" t="str" cm="1">
        <f t="array" ref="F46">Common_InputFunctions.Utility_DisplayArrayInTable(Scope3_SourceData.Scope3_Livestock_Data(), Table_SourceData_Scope3_Animals[[#Headers],[Category]], 0, 2)</f>
        <v>SA</v>
      </c>
      <c r="G46" s="29" t="str" cm="1">
        <f t="array" ref="G46">Common_InputFunctions.Utility_DisplayArrayInTable(Scope3_SourceData.Scope3_Livestock_Data(), Table_SourceData_Scope3_Animals[[#Headers],[Category]], 0, 2)</f>
        <v>kg liveweight</v>
      </c>
      <c r="H46" s="29" cm="1">
        <f t="array" ref="H46">Common_InputFunctions.Utility_DisplayArrayInTable(Scope3_SourceData.Scope3_Livestock_Data(), Table_SourceData_Scope3_Animals[[#Headers],[Category]], 0, 2)</f>
        <v>12.3</v>
      </c>
      <c r="I46" s="29" t="str" cm="1">
        <f t="array" ref="I46">Common_InputFunctions.Utility_DisplayArrayInTable(Scope3_SourceData.Scope3_Livestock_Data(), Table_SourceData_Scope3_Animals[[#Headers],[Category]], 0, 2)</f>
        <v>at market</v>
      </c>
      <c r="K46" s="29" t="s">
        <v>1273</v>
      </c>
      <c r="L46" s="29" t="s">
        <v>518</v>
      </c>
    </row>
    <row r="47" spans="1:12" ht="20.100000000000001" customHeight="1" x14ac:dyDescent="0.25">
      <c r="A47" s="5" t="str">
        <f>HYPERLINK("#'4.3.1.8 Manure applied to soils'!A1", "4.3.1.8 Manure applied to soils")</f>
        <v>4.3.1.8 Manure applied to soils</v>
      </c>
      <c r="D47" s="29" t="str" cm="1">
        <f t="array" ref="D47">Common_InputFunctions.Utility_DisplayArrayInTable(Scope3_SourceData.Scope3_Livestock_Data(), Table_SourceData_Scope3_Animals[[#Headers],[Category]], 0, 2)</f>
        <v>Beef cattle</v>
      </c>
      <c r="E47" s="29" t="str" cm="1">
        <f t="array" ref="E47">Common_InputFunctions.Utility_DisplayArrayInTable(Scope3_SourceData.Scope3_Livestock_Data(), Table_SourceData_Scope3_Animals[[#Headers],[Category]], 0, 2)</f>
        <v>Cattle, for prime beef</v>
      </c>
      <c r="F47" s="29" t="str" cm="1">
        <f t="array" ref="F47">Common_InputFunctions.Utility_DisplayArrayInTable(Scope3_SourceData.Scope3_Livestock_Data(), Table_SourceData_Scope3_Animals[[#Headers],[Category]], 0, 2)</f>
        <v>TAS</v>
      </c>
      <c r="G47" s="29" t="str" cm="1">
        <f t="array" ref="G47">Common_InputFunctions.Utility_DisplayArrayInTable(Scope3_SourceData.Scope3_Livestock_Data(), Table_SourceData_Scope3_Animals[[#Headers],[Category]], 0, 2)</f>
        <v>kg liveweight</v>
      </c>
      <c r="H47" s="29" cm="1">
        <f t="array" ref="H47">Common_InputFunctions.Utility_DisplayArrayInTable(Scope3_SourceData.Scope3_Livestock_Data(), Table_SourceData_Scope3_Animals[[#Headers],[Category]], 0, 2)</f>
        <v>11.5</v>
      </c>
      <c r="I47" s="29" t="str" cm="1">
        <f t="array" ref="I47">Common_InputFunctions.Utility_DisplayArrayInTable(Scope3_SourceData.Scope3_Livestock_Data(), Table_SourceData_Scope3_Animals[[#Headers],[Category]], 0, 2)</f>
        <v>at market</v>
      </c>
      <c r="K47" s="29" t="s">
        <v>1274</v>
      </c>
      <c r="L47" s="29" t="s">
        <v>518</v>
      </c>
    </row>
    <row r="48" spans="1:12" ht="20.100000000000001" customHeight="1" x14ac:dyDescent="0.25">
      <c r="A48" s="5" t="str">
        <f>HYPERLINK("#'4.3.1.9 Soil direct N2O'!A1", "4.3.1.9 Soil direct N2O")</f>
        <v>4.3.1.9 Soil direct N2O</v>
      </c>
      <c r="D48" s="29" t="str" cm="1">
        <f t="array" ref="D48">Common_InputFunctions.Utility_DisplayArrayInTable(Scope3_SourceData.Scope3_Livestock_Data(), Table_SourceData_Scope3_Animals[[#Headers],[Category]], 0, 2)</f>
        <v>Beef cattle</v>
      </c>
      <c r="E48" s="29" t="str" cm="1">
        <f t="array" ref="E48">Common_InputFunctions.Utility_DisplayArrayInTable(Scope3_SourceData.Scope3_Livestock_Data(), Table_SourceData_Scope3_Animals[[#Headers],[Category]], 0, 2)</f>
        <v>Cattle, for prime beef</v>
      </c>
      <c r="F48" s="29" t="str" cm="1">
        <f t="array" ref="F48">Common_InputFunctions.Utility_DisplayArrayInTable(Scope3_SourceData.Scope3_Livestock_Data(), Table_SourceData_Scope3_Animals[[#Headers],[Category]], 0, 2)</f>
        <v>VIC</v>
      </c>
      <c r="G48" s="29" t="str" cm="1">
        <f t="array" ref="G48">Common_InputFunctions.Utility_DisplayArrayInTable(Scope3_SourceData.Scope3_Livestock_Data(), Table_SourceData_Scope3_Animals[[#Headers],[Category]], 0, 2)</f>
        <v>kg liveweight</v>
      </c>
      <c r="H48" s="29" cm="1">
        <f t="array" ref="H48">Common_InputFunctions.Utility_DisplayArrayInTable(Scope3_SourceData.Scope3_Livestock_Data(), Table_SourceData_Scope3_Animals[[#Headers],[Category]], 0, 2)</f>
        <v>11.5</v>
      </c>
      <c r="I48" s="29" t="str" cm="1">
        <f t="array" ref="I48">Common_InputFunctions.Utility_DisplayArrayInTable(Scope3_SourceData.Scope3_Livestock_Data(), Table_SourceData_Scope3_Animals[[#Headers],[Category]], 0, 2)</f>
        <v>at market</v>
      </c>
      <c r="K48" s="29" t="s">
        <v>1275</v>
      </c>
      <c r="L48" s="29" t="s">
        <v>518</v>
      </c>
    </row>
    <row r="49" spans="1:12" ht="20.100000000000001" customHeight="1" x14ac:dyDescent="0.25">
      <c r="A49" s="5" t="str">
        <f>HYPERLINK("#'4.3.1.10-11 Soil Atmos Dep'!A1", "4.3.1.10-11 Soil Atmos Dep")</f>
        <v>4.3.1.10-11 Soil Atmos Dep</v>
      </c>
      <c r="D49" s="29" t="str" cm="1">
        <f t="array" ref="D49">Common_InputFunctions.Utility_DisplayArrayInTable(Scope3_SourceData.Scope3_Livestock_Data(), Table_SourceData_Scope3_Animals[[#Headers],[Category]], 0, 2)</f>
        <v>Beef cattle</v>
      </c>
      <c r="E49" s="29" t="str" cm="1">
        <f t="array" ref="E49">Common_InputFunctions.Utility_DisplayArrayInTable(Scope3_SourceData.Scope3_Livestock_Data(), Table_SourceData_Scope3_Animals[[#Headers],[Category]], 0, 2)</f>
        <v>Cattle, for prime beef</v>
      </c>
      <c r="F49" s="29" t="str" cm="1">
        <f t="array" ref="F49">Common_InputFunctions.Utility_DisplayArrayInTable(Scope3_SourceData.Scope3_Livestock_Data(), Table_SourceData_Scope3_Animals[[#Headers],[Category]], 0, 2)</f>
        <v>WA</v>
      </c>
      <c r="G49" s="29" t="str" cm="1">
        <f t="array" ref="G49">Common_InputFunctions.Utility_DisplayArrayInTable(Scope3_SourceData.Scope3_Livestock_Data(), Table_SourceData_Scope3_Animals[[#Headers],[Category]], 0, 2)</f>
        <v>kg liveweight</v>
      </c>
      <c r="H49" s="29" cm="1">
        <f t="array" ref="H49">Common_InputFunctions.Utility_DisplayArrayInTable(Scope3_SourceData.Scope3_Livestock_Data(), Table_SourceData_Scope3_Animals[[#Headers],[Category]], 0, 2)</f>
        <v>20.8</v>
      </c>
      <c r="I49" s="29" t="str" cm="1">
        <f t="array" ref="I49">Common_InputFunctions.Utility_DisplayArrayInTable(Scope3_SourceData.Scope3_Livestock_Data(), Table_SourceData_Scope3_Animals[[#Headers],[Category]], 0, 2)</f>
        <v>at market</v>
      </c>
      <c r="K49" s="1" t="s">
        <v>1088</v>
      </c>
      <c r="L49" s="1" t="s">
        <v>1088</v>
      </c>
    </row>
    <row r="50" spans="1:12" ht="20.100000000000001" customHeight="1" x14ac:dyDescent="0.25">
      <c r="A50" s="5" t="str">
        <f>HYPERLINK("#'4.3.1.12-13 Soil leach runoff'!A1", "4.3.1.12-13 Soil leach runoff")</f>
        <v>4.3.1.12-13 Soil leach runoff</v>
      </c>
      <c r="D50" s="29" t="str" cm="1">
        <f t="array" ref="D50">Common_InputFunctions.Utility_DisplayArrayInTable(Scope3_SourceData.Scope3_Livestock_Data(), Table_SourceData_Scope3_Animals[[#Headers],[Category]], 0, 2)</f>
        <v>Beef cattle</v>
      </c>
      <c r="E50" s="29" t="str" cm="1">
        <f t="array" ref="E50">Common_InputFunctions.Utility_DisplayArrayInTable(Scope3_SourceData.Scope3_Livestock_Data(), Table_SourceData_Scope3_Animals[[#Headers],[Category]], 0, 2)</f>
        <v>Cattle, weaners</v>
      </c>
      <c r="F50" s="29" t="str" cm="1">
        <f t="array" ref="F50">Common_InputFunctions.Utility_DisplayArrayInTable(Scope3_SourceData.Scope3_Livestock_Data(), Table_SourceData_Scope3_Animals[[#Headers],[Category]], 0, 2)</f>
        <v>Australia</v>
      </c>
      <c r="G50" s="29" t="str" cm="1">
        <f t="array" ref="G50">Common_InputFunctions.Utility_DisplayArrayInTable(Scope3_SourceData.Scope3_Livestock_Data(), Table_SourceData_Scope3_Animals[[#Headers],[Category]], 0, 2)</f>
        <v>kg liveweight</v>
      </c>
      <c r="H50" s="29" cm="1">
        <f t="array" ref="H50">Common_InputFunctions.Utility_DisplayArrayInTable(Scope3_SourceData.Scope3_Livestock_Data(), Table_SourceData_Scope3_Animals[[#Headers],[Category]], 0, 2)</f>
        <v>15.5</v>
      </c>
      <c r="I50" s="29" t="str" cm="1">
        <f t="array" ref="I50">Common_InputFunctions.Utility_DisplayArrayInTable(Scope3_SourceData.Scope3_Livestock_Data(), Table_SourceData_Scope3_Animals[[#Headers],[Category]], 0, 2)</f>
        <v>at market</v>
      </c>
    </row>
    <row r="51" spans="1:12" ht="20.100000000000001" customHeight="1" x14ac:dyDescent="0.25">
      <c r="A51" s="5" t="str">
        <f>HYPERLINK("#'3.3.1.1-2 Enteric Methane'!A1", "3.3.1.1-2 Enteric Methane")</f>
        <v>3.3.1.1-2 Enteric Methane</v>
      </c>
      <c r="D51" s="29" t="str" cm="1">
        <f t="array" ref="D51">Common_InputFunctions.Utility_DisplayArrayInTable(Scope3_SourceData.Scope3_Livestock_Data(), Table_SourceData_Scope3_Animals[[#Headers],[Category]], 0, 2)</f>
        <v>Beef cattle</v>
      </c>
      <c r="E51" s="29" t="str" cm="1">
        <f t="array" ref="E51">Common_InputFunctions.Utility_DisplayArrayInTable(Scope3_SourceData.Scope3_Livestock_Data(), Table_SourceData_Scope3_Animals[[#Headers],[Category]], 0, 2)</f>
        <v>Cattle, weaners</v>
      </c>
      <c r="F51" s="29" t="str" cm="1">
        <f t="array" ref="F51">Common_InputFunctions.Utility_DisplayArrayInTable(Scope3_SourceData.Scope3_Livestock_Data(), Table_SourceData_Scope3_Animals[[#Headers],[Category]], 0, 2)</f>
        <v>NSW</v>
      </c>
      <c r="G51" s="29" t="str" cm="1">
        <f t="array" ref="G51">Common_InputFunctions.Utility_DisplayArrayInTable(Scope3_SourceData.Scope3_Livestock_Data(), Table_SourceData_Scope3_Animals[[#Headers],[Category]], 0, 2)</f>
        <v>kg liveweight</v>
      </c>
      <c r="H51" s="29" cm="1">
        <f t="array" ref="H51">Common_InputFunctions.Utility_DisplayArrayInTable(Scope3_SourceData.Scope3_Livestock_Data(), Table_SourceData_Scope3_Animals[[#Headers],[Category]], 0, 2)</f>
        <v>12.7</v>
      </c>
      <c r="I51" s="29" t="str" cm="1">
        <f t="array" ref="I51">Common_InputFunctions.Utility_DisplayArrayInTable(Scope3_SourceData.Scope3_Livestock_Data(), Table_SourceData_Scope3_Animals[[#Headers],[Category]], 0, 2)</f>
        <v>at market</v>
      </c>
    </row>
    <row r="52" spans="1:12" ht="20.100000000000001" customHeight="1" x14ac:dyDescent="0.25">
      <c r="A52" s="5" t="str">
        <f>HYPERLINK("#'10.1.1-2 Solid waste treatment'!A1", "10.1.1-2 Solid waste treatment")</f>
        <v>10.1.1-2 Solid waste treatment</v>
      </c>
      <c r="D52" s="29" t="str" cm="1">
        <f t="array" ref="D52">Common_InputFunctions.Utility_DisplayArrayInTable(Scope3_SourceData.Scope3_Livestock_Data(), Table_SourceData_Scope3_Animals[[#Headers],[Category]], 0, 2)</f>
        <v>Beef cattle</v>
      </c>
      <c r="E52" s="29" t="str" cm="1">
        <f t="array" ref="E52">Common_InputFunctions.Utility_DisplayArrayInTable(Scope3_SourceData.Scope3_Livestock_Data(), Table_SourceData_Scope3_Animals[[#Headers],[Category]], 0, 2)</f>
        <v>Cattle, weaners</v>
      </c>
      <c r="F52" s="29" t="str" cm="1">
        <f t="array" ref="F52">Common_InputFunctions.Utility_DisplayArrayInTable(Scope3_SourceData.Scope3_Livestock_Data(), Table_SourceData_Scope3_Animals[[#Headers],[Category]], 0, 2)</f>
        <v>NT</v>
      </c>
      <c r="G52" s="29" t="str" cm="1">
        <f t="array" ref="G52">Common_InputFunctions.Utility_DisplayArrayInTable(Scope3_SourceData.Scope3_Livestock_Data(), Table_SourceData_Scope3_Animals[[#Headers],[Category]], 0, 2)</f>
        <v>kg liveweight</v>
      </c>
      <c r="H52" s="29" cm="1">
        <f t="array" ref="H52">Common_InputFunctions.Utility_DisplayArrayInTable(Scope3_SourceData.Scope3_Livestock_Data(), Table_SourceData_Scope3_Animals[[#Headers],[Category]], 0, 2)</f>
        <v>19.100000000000001</v>
      </c>
      <c r="I52" s="29" t="str" cm="1">
        <f t="array" ref="I52">Common_InputFunctions.Utility_DisplayArrayInTable(Scope3_SourceData.Scope3_Livestock_Data(), Table_SourceData_Scope3_Animals[[#Headers],[Category]], 0, 2)</f>
        <v>at market</v>
      </c>
    </row>
    <row r="53" spans="1:12" ht="20.100000000000001" customHeight="1" x14ac:dyDescent="0.25">
      <c r="A53"/>
      <c r="D53" s="29" t="str" cm="1">
        <f t="array" ref="D53">Common_InputFunctions.Utility_DisplayArrayInTable(Scope3_SourceData.Scope3_Livestock_Data(), Table_SourceData_Scope3_Animals[[#Headers],[Category]], 0, 2)</f>
        <v>Beef cattle</v>
      </c>
      <c r="E53" s="29" t="str" cm="1">
        <f t="array" ref="E53">Common_InputFunctions.Utility_DisplayArrayInTable(Scope3_SourceData.Scope3_Livestock_Data(), Table_SourceData_Scope3_Animals[[#Headers],[Category]], 0, 2)</f>
        <v>Cattle, weaners</v>
      </c>
      <c r="F53" s="29" t="str" cm="1">
        <f t="array" ref="F53">Common_InputFunctions.Utility_DisplayArrayInTable(Scope3_SourceData.Scope3_Livestock_Data(), Table_SourceData_Scope3_Animals[[#Headers],[Category]], 0, 2)</f>
        <v>QLD</v>
      </c>
      <c r="G53" s="29" t="str" cm="1">
        <f t="array" ref="G53">Common_InputFunctions.Utility_DisplayArrayInTable(Scope3_SourceData.Scope3_Livestock_Data(), Table_SourceData_Scope3_Animals[[#Headers],[Category]], 0, 2)</f>
        <v>kg liveweight</v>
      </c>
      <c r="H53" s="29" cm="1">
        <f t="array" ref="H53">Common_InputFunctions.Utility_DisplayArrayInTable(Scope3_SourceData.Scope3_Livestock_Data(), Table_SourceData_Scope3_Animals[[#Headers],[Category]], 0, 2)</f>
        <v>20.5</v>
      </c>
      <c r="I53" s="29" t="str" cm="1">
        <f t="array" ref="I53">Common_InputFunctions.Utility_DisplayArrayInTable(Scope3_SourceData.Scope3_Livestock_Data(), Table_SourceData_Scope3_Animals[[#Headers],[Category]], 0, 2)</f>
        <v>at market</v>
      </c>
    </row>
    <row r="54" spans="1:12" ht="20.100000000000001" customHeight="1" x14ac:dyDescent="0.25">
      <c r="A54"/>
      <c r="D54" s="29" t="str" cm="1">
        <f t="array" ref="D54">Common_InputFunctions.Utility_DisplayArrayInTable(Scope3_SourceData.Scope3_Livestock_Data(), Table_SourceData_Scope3_Animals[[#Headers],[Category]], 0, 2)</f>
        <v>Beef cattle</v>
      </c>
      <c r="E54" s="29" t="str" cm="1">
        <f t="array" ref="E54">Common_InputFunctions.Utility_DisplayArrayInTable(Scope3_SourceData.Scope3_Livestock_Data(), Table_SourceData_Scope3_Animals[[#Headers],[Category]], 0, 2)</f>
        <v>Cattle, weaners</v>
      </c>
      <c r="F54" s="29" t="str" cm="1">
        <f t="array" ref="F54">Common_InputFunctions.Utility_DisplayArrayInTable(Scope3_SourceData.Scope3_Livestock_Data(), Table_SourceData_Scope3_Animals[[#Headers],[Category]], 0, 2)</f>
        <v>SA</v>
      </c>
      <c r="G54" s="29" t="str" cm="1">
        <f t="array" ref="G54">Common_InputFunctions.Utility_DisplayArrayInTable(Scope3_SourceData.Scope3_Livestock_Data(), Table_SourceData_Scope3_Animals[[#Headers],[Category]], 0, 2)</f>
        <v>kg liveweight</v>
      </c>
      <c r="H54" s="29" cm="1">
        <f t="array" ref="H54">Common_InputFunctions.Utility_DisplayArrayInTable(Scope3_SourceData.Scope3_Livestock_Data(), Table_SourceData_Scope3_Animals[[#Headers],[Category]], 0, 2)</f>
        <v>10.8</v>
      </c>
      <c r="I54" s="29" t="str" cm="1">
        <f t="array" ref="I54">Common_InputFunctions.Utility_DisplayArrayInTable(Scope3_SourceData.Scope3_Livestock_Data(), Table_SourceData_Scope3_Animals[[#Headers],[Category]], 0, 2)</f>
        <v>at market</v>
      </c>
    </row>
    <row r="55" spans="1:12" ht="20.100000000000001" customHeight="1" x14ac:dyDescent="0.25">
      <c r="A55" s="100" t="s">
        <v>1</v>
      </c>
      <c r="D55" s="29" t="str" cm="1">
        <f t="array" ref="D55">Common_InputFunctions.Utility_DisplayArrayInTable(Scope3_SourceData.Scope3_Livestock_Data(), Table_SourceData_Scope3_Animals[[#Headers],[Category]], 0, 2)</f>
        <v>Beef cattle</v>
      </c>
      <c r="E55" s="29" t="str" cm="1">
        <f t="array" ref="E55">Common_InputFunctions.Utility_DisplayArrayInTable(Scope3_SourceData.Scope3_Livestock_Data(), Table_SourceData_Scope3_Animals[[#Headers],[Category]], 0, 2)</f>
        <v>Cattle, weaners</v>
      </c>
      <c r="F55" s="29" t="str" cm="1">
        <f t="array" ref="F55">Common_InputFunctions.Utility_DisplayArrayInTable(Scope3_SourceData.Scope3_Livestock_Data(), Table_SourceData_Scope3_Animals[[#Headers],[Category]], 0, 2)</f>
        <v>TAS</v>
      </c>
      <c r="G55" s="29" t="str" cm="1">
        <f t="array" ref="G55">Common_InputFunctions.Utility_DisplayArrayInTable(Scope3_SourceData.Scope3_Livestock_Data(), Table_SourceData_Scope3_Animals[[#Headers],[Category]], 0, 2)</f>
        <v>kg liveweight</v>
      </c>
      <c r="H55" s="29" cm="1">
        <f t="array" ref="H55">Common_InputFunctions.Utility_DisplayArrayInTable(Scope3_SourceData.Scope3_Livestock_Data(), Table_SourceData_Scope3_Animals[[#Headers],[Category]], 0, 2)</f>
        <v>13.4</v>
      </c>
      <c r="I55" s="29"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Dairy'!A1", "Constants - Dairy")</f>
        <v>Constants - Dairy</v>
      </c>
      <c r="D56" s="29" t="str" cm="1">
        <f t="array" ref="D56">Common_InputFunctions.Utility_DisplayArrayInTable(Scope3_SourceData.Scope3_Livestock_Data(), Table_SourceData_Scope3_Animals[[#Headers],[Category]], 0, 2)</f>
        <v>Beef cattle</v>
      </c>
      <c r="E56" s="29" t="str" cm="1">
        <f t="array" ref="E56">Common_InputFunctions.Utility_DisplayArrayInTable(Scope3_SourceData.Scope3_Livestock_Data(), Table_SourceData_Scope3_Animals[[#Headers],[Category]], 0, 2)</f>
        <v>Cattle, weaners</v>
      </c>
      <c r="F56" s="29" t="str" cm="1">
        <f t="array" ref="F56">Common_InputFunctions.Utility_DisplayArrayInTable(Scope3_SourceData.Scope3_Livestock_Data(), Table_SourceData_Scope3_Animals[[#Headers],[Category]], 0, 2)</f>
        <v>VIC</v>
      </c>
      <c r="G56" s="29" t="str" cm="1">
        <f t="array" ref="G56">Common_InputFunctions.Utility_DisplayArrayInTable(Scope3_SourceData.Scope3_Livestock_Data(), Table_SourceData_Scope3_Animals[[#Headers],[Category]], 0, 2)</f>
        <v>kg liveweight</v>
      </c>
      <c r="H56" s="29" cm="1">
        <f t="array" ref="H56">Common_InputFunctions.Utility_DisplayArrayInTable(Scope3_SourceData.Scope3_Livestock_Data(), Table_SourceData_Scope3_Animals[[#Headers],[Category]], 0, 2)</f>
        <v>12</v>
      </c>
      <c r="I56" s="29"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Ag Residue'!A1", "Constants - Ag residue")</f>
        <v>Constants - Ag residue</v>
      </c>
      <c r="D57" s="29" t="str" cm="1">
        <f t="array" ref="D57">Common_InputFunctions.Utility_DisplayArrayInTable(Scope3_SourceData.Scope3_Livestock_Data(), Table_SourceData_Scope3_Animals[[#Headers],[Category]], 0, 2)</f>
        <v>Beef cattle</v>
      </c>
      <c r="E57" s="29" t="str" cm="1">
        <f t="array" ref="E57">Common_InputFunctions.Utility_DisplayArrayInTable(Scope3_SourceData.Scope3_Livestock_Data(), Table_SourceData_Scope3_Animals[[#Headers],[Category]], 0, 2)</f>
        <v>Cattle, weaners</v>
      </c>
      <c r="F57" s="29" t="str" cm="1">
        <f t="array" ref="F57">Common_InputFunctions.Utility_DisplayArrayInTable(Scope3_SourceData.Scope3_Livestock_Data(), Table_SourceData_Scope3_Animals[[#Headers],[Category]], 0, 2)</f>
        <v>WA</v>
      </c>
      <c r="G57" s="29" t="str" cm="1">
        <f t="array" ref="G57">Common_InputFunctions.Utility_DisplayArrayInTable(Scope3_SourceData.Scope3_Livestock_Data(), Table_SourceData_Scope3_Animals[[#Headers],[Category]], 0, 2)</f>
        <v>kg liveweight</v>
      </c>
      <c r="H57" s="29" cm="1">
        <f t="array" ref="H57">Common_InputFunctions.Utility_DisplayArrayInTable(Scope3_SourceData.Scope3_Livestock_Data(), Table_SourceData_Scope3_Animals[[#Headers],[Category]], 0, 2)</f>
        <v>12.4</v>
      </c>
      <c r="I57" s="29"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Common Livestock'!A1", "Constants - Common Livestock")</f>
        <v>Constants - Common Livestock</v>
      </c>
      <c r="D58" s="29" t="str" cm="1">
        <f t="array" ref="D58">Common_InputFunctions.Utility_DisplayArrayInTable(Scope3_SourceData.Scope3_Livestock_Data(), Table_SourceData_Scope3_Animals[[#Headers],[Category]], 0, 2)</f>
        <v>Chickens</v>
      </c>
      <c r="E58" s="29" t="str" cm="1">
        <f t="array" ref="E58">Common_InputFunctions.Utility_DisplayArrayInTable(Scope3_SourceData.Scope3_Livestock_Data(), Table_SourceData_Scope3_Animals[[#Headers],[Category]], 0, 2)</f>
        <v>Chickens</v>
      </c>
      <c r="F58" s="29" t="str" cm="1">
        <f t="array" ref="F58">Common_InputFunctions.Utility_DisplayArrayInTable(Scope3_SourceData.Scope3_Livestock_Data(), Table_SourceData_Scope3_Animals[[#Headers],[Category]], 0, 2)</f>
        <v>Australia</v>
      </c>
      <c r="G58" s="29" t="str" cm="1">
        <f t="array" ref="G58">Common_InputFunctions.Utility_DisplayArrayInTable(Scope3_SourceData.Scope3_Livestock_Data(), Table_SourceData_Scope3_Animals[[#Headers],[Category]], 0, 2)</f>
        <v>kg liveweight</v>
      </c>
      <c r="H58" s="29" cm="1">
        <f t="array" ref="H58">Common_InputFunctions.Utility_DisplayArrayInTable(Scope3_SourceData.Scope3_Livestock_Data(), Table_SourceData_Scope3_Animals[[#Headers],[Category]], 0, 2)</f>
        <v>1.36</v>
      </c>
      <c r="I58" s="29" t="str" cm="1">
        <f t="array" ref="I58">Common_InputFunctions.Utility_DisplayArrayInTable(Scope3_SourceData.Scope3_Livestock_Data(), Table_SourceData_Scope3_Animals[[#Headers],[Category]], 0, 2)</f>
        <v>at market</v>
      </c>
    </row>
    <row r="59" spans="1:12" ht="20.100000000000001" customHeight="1" x14ac:dyDescent="0.25">
      <c r="A59" s="5" t="str">
        <f>HYPERLINK("#'Constants - Electricity'!A1", "Constants - Electricity")</f>
        <v>Constants - Electricity</v>
      </c>
      <c r="D59" s="29" t="str" cm="1">
        <f t="array" ref="D59">Common_InputFunctions.Utility_DisplayArrayInTable(Scope3_SourceData.Scope3_Livestock_Data(), Table_SourceData_Scope3_Animals[[#Headers],[Category]], 0, 2)</f>
        <v>Dairy cattle</v>
      </c>
      <c r="E59" s="29" t="str" cm="1">
        <f t="array" ref="E59">Common_InputFunctions.Utility_DisplayArrayInTable(Scope3_SourceData.Scope3_Livestock_Data(), Table_SourceData_Scope3_Animals[[#Headers],[Category]], 0, 2)</f>
        <v>Dairy cows</v>
      </c>
      <c r="F59" s="29" t="str" cm="1">
        <f t="array" ref="F59">Common_InputFunctions.Utility_DisplayArrayInTable(Scope3_SourceData.Scope3_Livestock_Data(), Table_SourceData_Scope3_Animals[[#Headers],[Category]], 0, 2)</f>
        <v>VIC</v>
      </c>
      <c r="G59" s="29" t="str" cm="1">
        <f t="array" ref="G59">Common_InputFunctions.Utility_DisplayArrayInTable(Scope3_SourceData.Scope3_Livestock_Data(), Table_SourceData_Scope3_Animals[[#Headers],[Category]], 0, 2)</f>
        <v>kg liveweight</v>
      </c>
      <c r="H59" s="29" cm="1">
        <f t="array" ref="H59">Common_InputFunctions.Utility_DisplayArrayInTable(Scope3_SourceData.Scope3_Livestock_Data(), Table_SourceData_Scope3_Animals[[#Headers],[Category]], 0, 2)</f>
        <v>4.41</v>
      </c>
      <c r="I59" s="29"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Fertiliser'!A1", "Constants - Fertiliser")</f>
        <v>Constants - Fertiliser</v>
      </c>
      <c r="D60" s="29" t="str" cm="1">
        <f t="array" ref="D60">Common_InputFunctions.Utility_DisplayArrayInTable(Scope3_SourceData.Scope3_Livestock_Data(), Table_SourceData_Scope3_Animals[[#Headers],[Category]], 0, 2)</f>
        <v>Pigs</v>
      </c>
      <c r="E60" s="29" t="str" cm="1">
        <f t="array" ref="E60">Common_InputFunctions.Utility_DisplayArrayInTable(Scope3_SourceData.Scope3_Livestock_Data(), Table_SourceData_Scope3_Animals[[#Headers],[Category]], 0, 2)</f>
        <v>Pigs</v>
      </c>
      <c r="F60" s="29" t="str" cm="1">
        <f t="array" ref="F60">Common_InputFunctions.Utility_DisplayArrayInTable(Scope3_SourceData.Scope3_Livestock_Data(), Table_SourceData_Scope3_Animals[[#Headers],[Category]], 0, 2)</f>
        <v>Australia</v>
      </c>
      <c r="G60" s="29" t="str" cm="1">
        <f t="array" ref="G60">Common_InputFunctions.Utility_DisplayArrayInTable(Scope3_SourceData.Scope3_Livestock_Data(), Table_SourceData_Scope3_Animals[[#Headers],[Category]], 0, 2)</f>
        <v>kg liveweight</v>
      </c>
      <c r="H60" s="29" cm="1">
        <f t="array" ref="H60">Common_InputFunctions.Utility_DisplayArrayInTable(Scope3_SourceData.Scope3_Livestock_Data(), Table_SourceData_Scope3_Animals[[#Headers],[Category]], 0, 2)</f>
        <v>3.38</v>
      </c>
      <c r="I60" s="29" t="str" cm="1">
        <f t="array" ref="I60">Common_InputFunctions.Utility_DisplayArrayInTable(Scope3_SourceData.Scope3_Livestock_Data(), Table_SourceData_Scope3_Animals[[#Headers],[Category]], 0, 2)</f>
        <v>at market</v>
      </c>
    </row>
    <row r="61" spans="1:12" ht="20.100000000000001" customHeight="1" x14ac:dyDescent="0.25">
      <c r="A61" s="5" t="str">
        <f>HYPERLINK("#'Constants - Fuel'!A1", "Constants - Fuel")</f>
        <v>Constants - Fuel</v>
      </c>
      <c r="D61" s="29" t="str" cm="1">
        <f t="array" ref="D61">Common_InputFunctions.Utility_DisplayArrayInTable(Scope3_SourceData.Scope3_Livestock_Data(), Table_SourceData_Scope3_Animals[[#Headers],[Category]], 0, 2)</f>
        <v>Sheep</v>
      </c>
      <c r="E61" s="29" t="str" cm="1">
        <f t="array" ref="E61">Common_InputFunctions.Utility_DisplayArrayInTable(Scope3_SourceData.Scope3_Livestock_Data(), Table_SourceData_Scope3_Animals[[#Headers],[Category]], 0, 2)</f>
        <v>Sheep, for mutton</v>
      </c>
      <c r="F61" s="29" t="str" cm="1">
        <f t="array" ref="F61">Common_InputFunctions.Utility_DisplayArrayInTable(Scope3_SourceData.Scope3_Livestock_Data(), Table_SourceData_Scope3_Animals[[#Headers],[Category]], 0, 2)</f>
        <v>Australia</v>
      </c>
      <c r="G61" s="29" t="str" cm="1">
        <f t="array" ref="G61">Common_InputFunctions.Utility_DisplayArrayInTable(Scope3_SourceData.Scope3_Livestock_Data(), Table_SourceData_Scope3_Animals[[#Headers],[Category]], 0, 2)</f>
        <v>kg liveweight</v>
      </c>
      <c r="H61" s="29" cm="1">
        <f t="array" ref="H61">Common_InputFunctions.Utility_DisplayArrayInTable(Scope3_SourceData.Scope3_Livestock_Data(), Table_SourceData_Scope3_Animals[[#Headers],[Category]], 0, 2)</f>
        <v>6.81</v>
      </c>
      <c r="I61" s="29" t="str" cm="1">
        <f t="array" ref="I61">Common_InputFunctions.Utility_DisplayArrayInTable(Scope3_SourceData.Scope3_Livestock_Data(), Table_SourceData_Scope3_Animals[[#Headers],[Category]], 0, 2)</f>
        <v>at market</v>
      </c>
    </row>
    <row r="62" spans="1:12" ht="20.100000000000001" customHeight="1" x14ac:dyDescent="0.25">
      <c r="A62" s="148" t="str">
        <f>HYPERLINK("#'Constants - Scope 3'!A1", "Constants - Scope 3")</f>
        <v>Constants - Scope 3</v>
      </c>
      <c r="D62" s="29" t="str" cm="1">
        <f t="array" ref="D62">Common_InputFunctions.Utility_DisplayArrayInTable(Scope3_SourceData.Scope3_Livestock_Data(), Table_SourceData_Scope3_Animals[[#Headers],[Category]], 0, 2)</f>
        <v>Sheep</v>
      </c>
      <c r="E62" s="29" t="str" cm="1">
        <f t="array" ref="E62">Common_InputFunctions.Utility_DisplayArrayInTable(Scope3_SourceData.Scope3_Livestock_Data(), Table_SourceData_Scope3_Animals[[#Headers],[Category]], 0, 2)</f>
        <v>Sheep, for mutton</v>
      </c>
      <c r="F62" s="29" t="str" cm="1">
        <f t="array" ref="F62">Common_InputFunctions.Utility_DisplayArrayInTable(Scope3_SourceData.Scope3_Livestock_Data(), Table_SourceData_Scope3_Animals[[#Headers],[Category]], 0, 2)</f>
        <v>NSW</v>
      </c>
      <c r="G62" s="29" t="str" cm="1">
        <f t="array" ref="G62">Common_InputFunctions.Utility_DisplayArrayInTable(Scope3_SourceData.Scope3_Livestock_Data(), Table_SourceData_Scope3_Animals[[#Headers],[Category]], 0, 2)</f>
        <v>kg liveweight</v>
      </c>
      <c r="H62" s="29" cm="1">
        <f t="array" ref="H62">Common_InputFunctions.Utility_DisplayArrayInTable(Scope3_SourceData.Scope3_Livestock_Data(), Table_SourceData_Scope3_Animals[[#Headers],[Category]], 0, 2)</f>
        <v>2.2599999999999998</v>
      </c>
      <c r="I62" s="29" t="str" cm="1">
        <f t="array" ref="I62">Common_InputFunctions.Utility_DisplayArrayInTable(Scope3_SourceData.Scope3_Livestock_Data(), Table_SourceData_Scope3_Animals[[#Headers],[Category]], 0, 2)</f>
        <v>at market</v>
      </c>
    </row>
    <row r="63" spans="1:12" ht="20.100000000000001" customHeight="1" x14ac:dyDescent="0.25">
      <c r="A63" s="5" t="str">
        <f>HYPERLINK("#'Constants - Common'!A1", "Constants - Common")</f>
        <v>Constants - Common</v>
      </c>
      <c r="D63" s="29" t="str" cm="1">
        <f t="array" ref="D63">Common_InputFunctions.Utility_DisplayArrayInTable(Scope3_SourceData.Scope3_Livestock_Data(), Table_SourceData_Scope3_Animals[[#Headers],[Category]], 0, 2)</f>
        <v>Sheep</v>
      </c>
      <c r="E63" s="29" t="str" cm="1">
        <f t="array" ref="E63">Common_InputFunctions.Utility_DisplayArrayInTable(Scope3_SourceData.Scope3_Livestock_Data(), Table_SourceData_Scope3_Animals[[#Headers],[Category]], 0, 2)</f>
        <v>Sheep, for mutton</v>
      </c>
      <c r="F63" s="29" t="str" cm="1">
        <f t="array" ref="F63">Common_InputFunctions.Utility_DisplayArrayInTable(Scope3_SourceData.Scope3_Livestock_Data(), Table_SourceData_Scope3_Animals[[#Headers],[Category]], 0, 2)</f>
        <v>QLD</v>
      </c>
      <c r="G63" s="29" t="str" cm="1">
        <f t="array" ref="G63">Common_InputFunctions.Utility_DisplayArrayInTable(Scope3_SourceData.Scope3_Livestock_Data(), Table_SourceData_Scope3_Animals[[#Headers],[Category]], 0, 2)</f>
        <v>kg liveweight</v>
      </c>
      <c r="H63" s="29" cm="1">
        <f t="array" ref="H63">Common_InputFunctions.Utility_DisplayArrayInTable(Scope3_SourceData.Scope3_Livestock_Data(), Table_SourceData_Scope3_Animals[[#Headers],[Category]], 0, 2)</f>
        <v>6.33</v>
      </c>
      <c r="I63" s="29" t="str" cm="1">
        <f t="array" ref="I63">Common_InputFunctions.Utility_DisplayArrayInTable(Scope3_SourceData.Scope3_Livestock_Data(), Table_SourceData_Scope3_Animals[[#Headers],[Category]], 0, 2)</f>
        <v>at market</v>
      </c>
    </row>
    <row r="64" spans="1:12" ht="20.100000000000001" customHeight="1" x14ac:dyDescent="0.25">
      <c r="A64" s="5" t="str">
        <f>HYPERLINK("#'Acknowledgements'!A1", "Acknowledgements")</f>
        <v>Acknowledgements</v>
      </c>
      <c r="D64" s="29" t="str" cm="1">
        <f t="array" ref="D64">Common_InputFunctions.Utility_DisplayArrayInTable(Scope3_SourceData.Scope3_Livestock_Data(), Table_SourceData_Scope3_Animals[[#Headers],[Category]], 0, 2)</f>
        <v>Sheep</v>
      </c>
      <c r="E64" s="29" t="str" cm="1">
        <f t="array" ref="E64">Common_InputFunctions.Utility_DisplayArrayInTable(Scope3_SourceData.Scope3_Livestock_Data(), Table_SourceData_Scope3_Animals[[#Headers],[Category]], 0, 2)</f>
        <v>Sheep, for mutton</v>
      </c>
      <c r="F64" s="29" t="str" cm="1">
        <f t="array" ref="F64">Common_InputFunctions.Utility_DisplayArrayInTable(Scope3_SourceData.Scope3_Livestock_Data(), Table_SourceData_Scope3_Animals[[#Headers],[Category]], 0, 2)</f>
        <v>SA</v>
      </c>
      <c r="G64" s="29" t="str" cm="1">
        <f t="array" ref="G64">Common_InputFunctions.Utility_DisplayArrayInTable(Scope3_SourceData.Scope3_Livestock_Data(), Table_SourceData_Scope3_Animals[[#Headers],[Category]], 0, 2)</f>
        <v>kg liveweight</v>
      </c>
      <c r="H64" s="29" cm="1">
        <f t="array" ref="H64">Common_InputFunctions.Utility_DisplayArrayInTable(Scope3_SourceData.Scope3_Livestock_Data(), Table_SourceData_Scope3_Animals[[#Headers],[Category]], 0, 2)</f>
        <v>6.18</v>
      </c>
      <c r="I64" s="29" t="str" cm="1">
        <f t="array" ref="I64">Common_InputFunctions.Utility_DisplayArrayInTable(Scope3_SourceData.Scope3_Livestock_Data(), Table_SourceData_Scope3_Animals[[#Headers],[Category]], 0, 2)</f>
        <v>at market</v>
      </c>
    </row>
    <row r="65" spans="1:9" ht="20.100000000000001" customHeight="1" x14ac:dyDescent="0.25">
      <c r="A65" s="5" t="str">
        <f>HYPERLINK("#'Constants - Solid Waste'!A1", "Constants - Solid Waste")</f>
        <v>Constants - Solid Waste</v>
      </c>
      <c r="D65" s="29" t="str" cm="1">
        <f t="array" ref="D65">Common_InputFunctions.Utility_DisplayArrayInTable(Scope3_SourceData.Scope3_Livestock_Data(), Table_SourceData_Scope3_Animals[[#Headers],[Category]], 0, 2)</f>
        <v>Sheep</v>
      </c>
      <c r="E65" s="29" t="str" cm="1">
        <f t="array" ref="E65">Common_InputFunctions.Utility_DisplayArrayInTable(Scope3_SourceData.Scope3_Livestock_Data(), Table_SourceData_Scope3_Animals[[#Headers],[Category]], 0, 2)</f>
        <v>Sheep, for mutton</v>
      </c>
      <c r="F65" s="29" t="str" cm="1">
        <f t="array" ref="F65">Common_InputFunctions.Utility_DisplayArrayInTable(Scope3_SourceData.Scope3_Livestock_Data(), Table_SourceData_Scope3_Animals[[#Headers],[Category]], 0, 2)</f>
        <v>TAS</v>
      </c>
      <c r="G65" s="29" t="str" cm="1">
        <f t="array" ref="G65">Common_InputFunctions.Utility_DisplayArrayInTable(Scope3_SourceData.Scope3_Livestock_Data(), Table_SourceData_Scope3_Animals[[#Headers],[Category]], 0, 2)</f>
        <v>kg liveweight</v>
      </c>
      <c r="H65" s="29" cm="1">
        <f t="array" ref="H65">Common_InputFunctions.Utility_DisplayArrayInTable(Scope3_SourceData.Scope3_Livestock_Data(), Table_SourceData_Scope3_Animals[[#Headers],[Category]], 0, 2)</f>
        <v>7.5</v>
      </c>
      <c r="I65" s="29" t="str" cm="1">
        <f t="array" ref="I65">Common_InputFunctions.Utility_DisplayArrayInTable(Scope3_SourceData.Scope3_Livestock_Data(), Table_SourceData_Scope3_Animals[[#Headers],[Category]], 0, 2)</f>
        <v>at market</v>
      </c>
    </row>
    <row r="66" spans="1:9" ht="20.100000000000001" customHeight="1" x14ac:dyDescent="0.25">
      <c r="A66"/>
      <c r="D66" s="29" t="str" cm="1">
        <f t="array" ref="D66">Common_InputFunctions.Utility_DisplayArrayInTable(Scope3_SourceData.Scope3_Livestock_Data(), Table_SourceData_Scope3_Animals[[#Headers],[Category]], 0, 2)</f>
        <v>Sheep</v>
      </c>
      <c r="E66" s="29" t="str" cm="1">
        <f t="array" ref="E66">Common_InputFunctions.Utility_DisplayArrayInTable(Scope3_SourceData.Scope3_Livestock_Data(), Table_SourceData_Scope3_Animals[[#Headers],[Category]], 0, 2)</f>
        <v>Sheep, for mutton</v>
      </c>
      <c r="F66" s="29" t="str" cm="1">
        <f t="array" ref="F66">Common_InputFunctions.Utility_DisplayArrayInTable(Scope3_SourceData.Scope3_Livestock_Data(), Table_SourceData_Scope3_Animals[[#Headers],[Category]], 0, 2)</f>
        <v>VIC</v>
      </c>
      <c r="G66" s="29" t="str" cm="1">
        <f t="array" ref="G66">Common_InputFunctions.Utility_DisplayArrayInTable(Scope3_SourceData.Scope3_Livestock_Data(), Table_SourceData_Scope3_Animals[[#Headers],[Category]], 0, 2)</f>
        <v>kg liveweight</v>
      </c>
      <c r="H66" s="29" cm="1">
        <f t="array" ref="H66">Common_InputFunctions.Utility_DisplayArrayInTable(Scope3_SourceData.Scope3_Livestock_Data(), Table_SourceData_Scope3_Animals[[#Headers],[Category]], 0, 2)</f>
        <v>8.08</v>
      </c>
      <c r="I66" s="29" t="str" cm="1">
        <f t="array" ref="I66">Common_InputFunctions.Utility_DisplayArrayInTable(Scope3_SourceData.Scope3_Livestock_Data(), Table_SourceData_Scope3_Animals[[#Headers],[Category]], 0, 2)</f>
        <v>at market</v>
      </c>
    </row>
    <row r="67" spans="1:9" ht="20.100000000000001" customHeight="1" x14ac:dyDescent="0.25">
      <c r="A67"/>
      <c r="D67" s="29" t="str" cm="1">
        <f t="array" ref="D67">Common_InputFunctions.Utility_DisplayArrayInTable(Scope3_SourceData.Scope3_Livestock_Data(), Table_SourceData_Scope3_Animals[[#Headers],[Category]], 0, 2)</f>
        <v>Sheep</v>
      </c>
      <c r="E67" s="29" t="str" cm="1">
        <f t="array" ref="E67">Common_InputFunctions.Utility_DisplayArrayInTable(Scope3_SourceData.Scope3_Livestock_Data(), Table_SourceData_Scope3_Animals[[#Headers],[Category]], 0, 2)</f>
        <v>Sheep, for mutton</v>
      </c>
      <c r="F67" s="29" t="str" cm="1">
        <f t="array" ref="F67">Common_InputFunctions.Utility_DisplayArrayInTable(Scope3_SourceData.Scope3_Livestock_Data(), Table_SourceData_Scope3_Animals[[#Headers],[Category]], 0, 2)</f>
        <v>WA</v>
      </c>
      <c r="G67" s="29" t="str" cm="1">
        <f t="array" ref="G67">Common_InputFunctions.Utility_DisplayArrayInTable(Scope3_SourceData.Scope3_Livestock_Data(), Table_SourceData_Scope3_Animals[[#Headers],[Category]], 0, 2)</f>
        <v>kg liveweight</v>
      </c>
      <c r="H67" s="29" cm="1">
        <f t="array" ref="H67">Common_InputFunctions.Utility_DisplayArrayInTable(Scope3_SourceData.Scope3_Livestock_Data(), Table_SourceData_Scope3_Animals[[#Headers],[Category]], 0, 2)</f>
        <v>5.45</v>
      </c>
      <c r="I67" s="29" t="str" cm="1">
        <f t="array" ref="I67">Common_InputFunctions.Utility_DisplayArrayInTable(Scope3_SourceData.Scope3_Livestock_Data(), Table_SourceData_Scope3_Animals[[#Headers],[Category]], 0, 2)</f>
        <v>at market</v>
      </c>
    </row>
    <row r="68" spans="1:9" ht="20.100000000000001" customHeight="1" x14ac:dyDescent="0.25">
      <c r="A68"/>
      <c r="D68" s="29" t="str" cm="1">
        <f t="array" ref="D68">Common_InputFunctions.Utility_DisplayArrayInTable(Scope3_SourceData.Scope3_Livestock_Data(), Table_SourceData_Scope3_Animals[[#Headers],[Category]], 0, 2)</f>
        <v>Sheep</v>
      </c>
      <c r="E68" s="29" t="str" cm="1">
        <f t="array" ref="E68">Common_InputFunctions.Utility_DisplayArrayInTable(Scope3_SourceData.Scope3_Livestock_Data(), Table_SourceData_Scope3_Animals[[#Headers],[Category]], 0, 2)</f>
        <v>Sheep, for prime lamb</v>
      </c>
      <c r="F68" s="29" t="str" cm="1">
        <f t="array" ref="F68">Common_InputFunctions.Utility_DisplayArrayInTable(Scope3_SourceData.Scope3_Livestock_Data(), Table_SourceData_Scope3_Animals[[#Headers],[Category]], 0, 2)</f>
        <v>Australia</v>
      </c>
      <c r="G68" s="29" t="str" cm="1">
        <f t="array" ref="G68">Common_InputFunctions.Utility_DisplayArrayInTable(Scope3_SourceData.Scope3_Livestock_Data(), Table_SourceData_Scope3_Animals[[#Headers],[Category]], 0, 2)</f>
        <v>kg liveweight</v>
      </c>
      <c r="H68" s="29" cm="1">
        <f t="array" ref="H68">Common_InputFunctions.Utility_DisplayArrayInTable(Scope3_SourceData.Scope3_Livestock_Data(), Table_SourceData_Scope3_Animals[[#Headers],[Category]], 0, 2)</f>
        <v>7.15</v>
      </c>
      <c r="I68" s="29" t="str" cm="1">
        <f t="array" ref="I68">Common_InputFunctions.Utility_DisplayArrayInTable(Scope3_SourceData.Scope3_Livestock_Data(), Table_SourceData_Scope3_Animals[[#Headers],[Category]], 0, 2)</f>
        <v>at market</v>
      </c>
    </row>
    <row r="69" spans="1:9" ht="20.100000000000001" customHeight="1" x14ac:dyDescent="0.25">
      <c r="A69"/>
      <c r="D69" s="29" t="str" cm="1">
        <f t="array" ref="D69">Common_InputFunctions.Utility_DisplayArrayInTable(Scope3_SourceData.Scope3_Livestock_Data(), Table_SourceData_Scope3_Animals[[#Headers],[Category]], 0, 2)</f>
        <v>Sheep</v>
      </c>
      <c r="E69" s="29" t="str" cm="1">
        <f t="array" ref="E69">Common_InputFunctions.Utility_DisplayArrayInTable(Scope3_SourceData.Scope3_Livestock_Data(), Table_SourceData_Scope3_Animals[[#Headers],[Category]], 0, 2)</f>
        <v>Sheep, for prime lamb</v>
      </c>
      <c r="F69" s="29" t="str" cm="1">
        <f t="array" ref="F69">Common_InputFunctions.Utility_DisplayArrayInTable(Scope3_SourceData.Scope3_Livestock_Data(), Table_SourceData_Scope3_Animals[[#Headers],[Category]], 0, 2)</f>
        <v>NSW</v>
      </c>
      <c r="G69" s="29" t="str" cm="1">
        <f t="array" ref="G69">Common_InputFunctions.Utility_DisplayArrayInTable(Scope3_SourceData.Scope3_Livestock_Data(), Table_SourceData_Scope3_Animals[[#Headers],[Category]], 0, 2)</f>
        <v>kg liveweight</v>
      </c>
      <c r="H69" s="29" cm="1">
        <f t="array" ref="H69">Common_InputFunctions.Utility_DisplayArrayInTable(Scope3_SourceData.Scope3_Livestock_Data(), Table_SourceData_Scope3_Animals[[#Headers],[Category]], 0, 2)</f>
        <v>8.2899999999999991</v>
      </c>
      <c r="I69" s="29" t="str" cm="1">
        <f t="array" ref="I69">Common_InputFunctions.Utility_DisplayArrayInTable(Scope3_SourceData.Scope3_Livestock_Data(), Table_SourceData_Scope3_Animals[[#Headers],[Category]], 0, 2)</f>
        <v>at market</v>
      </c>
    </row>
    <row r="70" spans="1:9" ht="20.100000000000001" customHeight="1" x14ac:dyDescent="0.25">
      <c r="A70"/>
      <c r="D70" s="29" t="str" cm="1">
        <f t="array" ref="D70">Common_InputFunctions.Utility_DisplayArrayInTable(Scope3_SourceData.Scope3_Livestock_Data(), Table_SourceData_Scope3_Animals[[#Headers],[Category]], 0, 2)</f>
        <v>Sheep</v>
      </c>
      <c r="E70" s="29" t="str" cm="1">
        <f t="array" ref="E70">Common_InputFunctions.Utility_DisplayArrayInTable(Scope3_SourceData.Scope3_Livestock_Data(), Table_SourceData_Scope3_Animals[[#Headers],[Category]], 0, 2)</f>
        <v>Sheep, for prime lamb</v>
      </c>
      <c r="F70" s="29" t="str" cm="1">
        <f t="array" ref="F70">Common_InputFunctions.Utility_DisplayArrayInTable(Scope3_SourceData.Scope3_Livestock_Data(), Table_SourceData_Scope3_Animals[[#Headers],[Category]], 0, 2)</f>
        <v>QLD</v>
      </c>
      <c r="G70" s="29" t="str" cm="1">
        <f t="array" ref="G70">Common_InputFunctions.Utility_DisplayArrayInTable(Scope3_SourceData.Scope3_Livestock_Data(), Table_SourceData_Scope3_Animals[[#Headers],[Category]], 0, 2)</f>
        <v>kg liveweight</v>
      </c>
      <c r="H70" s="29" cm="1">
        <f t="array" ref="H70">Common_InputFunctions.Utility_DisplayArrayInTable(Scope3_SourceData.Scope3_Livestock_Data(), Table_SourceData_Scope3_Animals[[#Headers],[Category]], 0, 2)</f>
        <v>6.39</v>
      </c>
      <c r="I70" s="29" t="str" cm="1">
        <f t="array" ref="I70">Common_InputFunctions.Utility_DisplayArrayInTable(Scope3_SourceData.Scope3_Livestock_Data(), Table_SourceData_Scope3_Animals[[#Headers],[Category]], 0, 2)</f>
        <v>at market</v>
      </c>
    </row>
    <row r="71" spans="1:9" ht="20.100000000000001" customHeight="1" x14ac:dyDescent="0.25">
      <c r="A71"/>
      <c r="D71" s="29" t="str" cm="1">
        <f t="array" ref="D71">Common_InputFunctions.Utility_DisplayArrayInTable(Scope3_SourceData.Scope3_Livestock_Data(), Table_SourceData_Scope3_Animals[[#Headers],[Category]], 0, 2)</f>
        <v>Sheep</v>
      </c>
      <c r="E71" s="29" t="str" cm="1">
        <f t="array" ref="E71">Common_InputFunctions.Utility_DisplayArrayInTable(Scope3_SourceData.Scope3_Livestock_Data(), Table_SourceData_Scope3_Animals[[#Headers],[Category]], 0, 2)</f>
        <v>Sheep, for prime lamb</v>
      </c>
      <c r="F71" s="29" t="str" cm="1">
        <f t="array" ref="F71">Common_InputFunctions.Utility_DisplayArrayInTable(Scope3_SourceData.Scope3_Livestock_Data(), Table_SourceData_Scope3_Animals[[#Headers],[Category]], 0, 2)</f>
        <v>SA</v>
      </c>
      <c r="G71" s="29" t="str" cm="1">
        <f t="array" ref="G71">Common_InputFunctions.Utility_DisplayArrayInTable(Scope3_SourceData.Scope3_Livestock_Data(), Table_SourceData_Scope3_Animals[[#Headers],[Category]], 0, 2)</f>
        <v>kg liveweight</v>
      </c>
      <c r="H71" s="29" cm="1">
        <f t="array" ref="H71">Common_InputFunctions.Utility_DisplayArrayInTable(Scope3_SourceData.Scope3_Livestock_Data(), Table_SourceData_Scope3_Animals[[#Headers],[Category]], 0, 2)</f>
        <v>6.87</v>
      </c>
      <c r="I71" s="29" t="str" cm="1">
        <f t="array" ref="I71">Common_InputFunctions.Utility_DisplayArrayInTable(Scope3_SourceData.Scope3_Livestock_Data(), Table_SourceData_Scope3_Animals[[#Headers],[Category]], 0, 2)</f>
        <v>at market</v>
      </c>
    </row>
    <row r="72" spans="1:9" ht="20.100000000000001" customHeight="1" x14ac:dyDescent="0.25">
      <c r="A72"/>
      <c r="D72" s="29" t="str" cm="1">
        <f t="array" ref="D72">Common_InputFunctions.Utility_DisplayArrayInTable(Scope3_SourceData.Scope3_Livestock_Data(), Table_SourceData_Scope3_Animals[[#Headers],[Category]], 0, 2)</f>
        <v>Sheep</v>
      </c>
      <c r="E72" s="29" t="str" cm="1">
        <f t="array" ref="E72">Common_InputFunctions.Utility_DisplayArrayInTable(Scope3_SourceData.Scope3_Livestock_Data(), Table_SourceData_Scope3_Animals[[#Headers],[Category]], 0, 2)</f>
        <v>Sheep, for prime lamb</v>
      </c>
      <c r="F72" s="29" t="str" cm="1">
        <f t="array" ref="F72">Common_InputFunctions.Utility_DisplayArrayInTable(Scope3_SourceData.Scope3_Livestock_Data(), Table_SourceData_Scope3_Animals[[#Headers],[Category]], 0, 2)</f>
        <v>TAS</v>
      </c>
      <c r="G72" s="29" t="str" cm="1">
        <f t="array" ref="G72">Common_InputFunctions.Utility_DisplayArrayInTable(Scope3_SourceData.Scope3_Livestock_Data(), Table_SourceData_Scope3_Animals[[#Headers],[Category]], 0, 2)</f>
        <v>kg liveweight</v>
      </c>
      <c r="H72" s="29" cm="1">
        <f t="array" ref="H72">Common_InputFunctions.Utility_DisplayArrayInTable(Scope3_SourceData.Scope3_Livestock_Data(), Table_SourceData_Scope3_Animals[[#Headers],[Category]], 0, 2)</f>
        <v>8.66</v>
      </c>
      <c r="I72" s="29" t="str" cm="1">
        <f t="array" ref="I72">Common_InputFunctions.Utility_DisplayArrayInTable(Scope3_SourceData.Scope3_Livestock_Data(), Table_SourceData_Scope3_Animals[[#Headers],[Category]], 0, 2)</f>
        <v>at market</v>
      </c>
    </row>
    <row r="73" spans="1:9" ht="20.100000000000001" customHeight="1" x14ac:dyDescent="0.25">
      <c r="A73"/>
      <c r="D73" s="29" t="str" cm="1">
        <f t="array" ref="D73">Common_InputFunctions.Utility_DisplayArrayInTable(Scope3_SourceData.Scope3_Livestock_Data(), Table_SourceData_Scope3_Animals[[#Headers],[Category]], 0, 2)</f>
        <v>Sheep</v>
      </c>
      <c r="E73" s="29" t="str" cm="1">
        <f t="array" ref="E73">Common_InputFunctions.Utility_DisplayArrayInTable(Scope3_SourceData.Scope3_Livestock_Data(), Table_SourceData_Scope3_Animals[[#Headers],[Category]], 0, 2)</f>
        <v>Sheep, for prime lamb</v>
      </c>
      <c r="F73" s="29" t="str" cm="1">
        <f t="array" ref="F73">Common_InputFunctions.Utility_DisplayArrayInTable(Scope3_SourceData.Scope3_Livestock_Data(), Table_SourceData_Scope3_Animals[[#Headers],[Category]], 0, 2)</f>
        <v>VIC</v>
      </c>
      <c r="G73" s="29" t="str" cm="1">
        <f t="array" ref="G73">Common_InputFunctions.Utility_DisplayArrayInTable(Scope3_SourceData.Scope3_Livestock_Data(), Table_SourceData_Scope3_Animals[[#Headers],[Category]], 0, 2)</f>
        <v>kg liveweight</v>
      </c>
      <c r="H73" s="29" cm="1">
        <f t="array" ref="H73">Common_InputFunctions.Utility_DisplayArrayInTable(Scope3_SourceData.Scope3_Livestock_Data(), Table_SourceData_Scope3_Animals[[#Headers],[Category]], 0, 2)</f>
        <v>10</v>
      </c>
      <c r="I73" s="29" t="str" cm="1">
        <f t="array" ref="I73">Common_InputFunctions.Utility_DisplayArrayInTable(Scope3_SourceData.Scope3_Livestock_Data(), Table_SourceData_Scope3_Animals[[#Headers],[Category]], 0, 2)</f>
        <v>at market</v>
      </c>
    </row>
    <row r="74" spans="1:9" ht="20.100000000000001" customHeight="1" x14ac:dyDescent="0.25">
      <c r="A74"/>
      <c r="D74" s="29" t="str" cm="1">
        <f t="array" ref="D74">Common_InputFunctions.Utility_DisplayArrayInTable(Scope3_SourceData.Scope3_Livestock_Data(), Table_SourceData_Scope3_Animals[[#Headers],[Category]], 0, 2)</f>
        <v>Sheep</v>
      </c>
      <c r="E74" s="29" t="str" cm="1">
        <f t="array" ref="E74">Common_InputFunctions.Utility_DisplayArrayInTable(Scope3_SourceData.Scope3_Livestock_Data(), Table_SourceData_Scope3_Animals[[#Headers],[Category]], 0, 2)</f>
        <v>Sheep, for prime lamb</v>
      </c>
      <c r="F74" s="29" t="str" cm="1">
        <f t="array" ref="F74">Common_InputFunctions.Utility_DisplayArrayInTable(Scope3_SourceData.Scope3_Livestock_Data(), Table_SourceData_Scope3_Animals[[#Headers],[Category]], 0, 2)</f>
        <v>WA</v>
      </c>
      <c r="G74" s="29" t="str" cm="1">
        <f t="array" ref="G74">Common_InputFunctions.Utility_DisplayArrayInTable(Scope3_SourceData.Scope3_Livestock_Data(), Table_SourceData_Scope3_Animals[[#Headers],[Category]], 0, 2)</f>
        <v>kg liveweight</v>
      </c>
      <c r="H74" s="29" cm="1">
        <f t="array" ref="H74">Common_InputFunctions.Utility_DisplayArrayInTable(Scope3_SourceData.Scope3_Livestock_Data(), Table_SourceData_Scope3_Animals[[#Headers],[Category]], 0, 2)</f>
        <v>5.67</v>
      </c>
      <c r="I74" s="29"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1276</v>
      </c>
    </row>
    <row r="77" spans="1:9" ht="20.100000000000001" customHeight="1" x14ac:dyDescent="0.25">
      <c r="A77"/>
      <c r="D77" s="29" t="s">
        <v>1259</v>
      </c>
      <c r="E77" s="29" t="s">
        <v>138</v>
      </c>
      <c r="F77" s="29" t="s">
        <v>1260</v>
      </c>
      <c r="G77" s="29" t="s">
        <v>1261</v>
      </c>
      <c r="H77" s="29" t="s">
        <v>1262</v>
      </c>
      <c r="I77" s="29" t="s">
        <v>1263</v>
      </c>
    </row>
    <row r="78" spans="1:9" ht="20.100000000000001" customHeight="1" x14ac:dyDescent="0.25">
      <c r="A78"/>
      <c r="D78" s="29" t="str" cm="1">
        <f t="array" ref="D78">Common_InputFunctions.Utility_DisplayArrayInTable(Scope3_SourceData.Scope3_Chemicals_Data(), Table_SourceData_Scope3_ChemicalsCleaning[[#Headers],[Category]], 0, 2)</f>
        <v>Cleaning chemicals</v>
      </c>
      <c r="E78" s="29" t="str" cm="1">
        <f t="array" ref="E78">Common_InputFunctions.Utility_DisplayArrayInTable(Scope3_SourceData.Scope3_Chemicals_Data(), Table_SourceData_Scope3_ChemicalsCleaning[[#Headers],[Category]], 0, 2)</f>
        <v>Alkaline cleaner</v>
      </c>
      <c r="F78" s="29" t="str" cm="1">
        <f t="array" ref="F78">Common_InputFunctions.Utility_DisplayArrayInTable(Scope3_SourceData.Scope3_Chemicals_Data(), Table_SourceData_Scope3_ChemicalsCleaning[[#Headers],[Category]], 0, 2)</f>
        <v>Global</v>
      </c>
      <c r="G78" s="29" t="str" cm="1">
        <f t="array" ref="G78">Common_InputFunctions.Utility_DisplayArrayInTable(Scope3_SourceData.Scope3_Chemicals_Data(), Table_SourceData_Scope3_ChemicalsCleaning[[#Headers],[Category]], 0, 2)</f>
        <v>kg</v>
      </c>
      <c r="H78" s="29" cm="1">
        <f t="array" ref="H78">Common_InputFunctions.Utility_DisplayArrayInTable(Scope3_SourceData.Scope3_Chemicals_Data(), Table_SourceData_Scope3_ChemicalsCleaning[[#Headers],[Category]], 0, 2)</f>
        <v>0.72199999999999998</v>
      </c>
      <c r="I78" s="29"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29" t="str" cm="1">
        <f t="array" ref="D79">Common_InputFunctions.Utility_DisplayArrayInTable(Scope3_SourceData.Scope3_Chemicals_Data(), Table_SourceData_Scope3_ChemicalsCleaning[[#Headers],[Category]], 0, 2)</f>
        <v>Cleaning chemicals</v>
      </c>
      <c r="E79" s="29" t="str" cm="1">
        <f t="array" ref="E79">Common_InputFunctions.Utility_DisplayArrayInTable(Scope3_SourceData.Scope3_Chemicals_Data(), Table_SourceData_Scope3_ChemicalsCleaning[[#Headers],[Category]], 0, 2)</f>
        <v>Bleach</v>
      </c>
      <c r="F79" s="29" t="str" cm="1">
        <f t="array" ref="F79">Common_InputFunctions.Utility_DisplayArrayInTable(Scope3_SourceData.Scope3_Chemicals_Data(), Table_SourceData_Scope3_ChemicalsCleaning[[#Headers],[Category]], 0, 2)</f>
        <v>Global</v>
      </c>
      <c r="G79" s="29" t="str" cm="1">
        <f t="array" ref="G79">Common_InputFunctions.Utility_DisplayArrayInTable(Scope3_SourceData.Scope3_Chemicals_Data(), Table_SourceData_Scope3_ChemicalsCleaning[[#Headers],[Category]], 0, 2)</f>
        <v>kg</v>
      </c>
      <c r="H79" s="29" cm="1">
        <f t="array" ref="H79">Common_InputFunctions.Utility_DisplayArrayInTable(Scope3_SourceData.Scope3_Chemicals_Data(), Table_SourceData_Scope3_ChemicalsCleaning[[#Headers],[Category]], 0, 2)</f>
        <v>0.80400000000000005</v>
      </c>
      <c r="I79" s="29"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29" t="str" cm="1">
        <f t="array" ref="D80">Common_InputFunctions.Utility_DisplayArrayInTable(Scope3_SourceData.Scope3_Chemicals_Data(), Table_SourceData_Scope3_ChemicalsCleaning[[#Headers],[Category]], 0, 2)</f>
        <v>Cleaning chemicals</v>
      </c>
      <c r="E80" s="29" t="str" cm="1">
        <f t="array" ref="E80">Common_InputFunctions.Utility_DisplayArrayInTable(Scope3_SourceData.Scope3_Chemicals_Data(), Table_SourceData_Scope3_ChemicalsCleaning[[#Headers],[Category]], 0, 2)</f>
        <v>Phosphoric acid</v>
      </c>
      <c r="F80" s="29" t="str" cm="1">
        <f t="array" ref="F80">Common_InputFunctions.Utility_DisplayArrayInTable(Scope3_SourceData.Scope3_Chemicals_Data(), Table_SourceData_Scope3_ChemicalsCleaning[[#Headers],[Category]], 0, 2)</f>
        <v>Global</v>
      </c>
      <c r="G80" s="29" t="str" cm="1">
        <f t="array" ref="G80">Common_InputFunctions.Utility_DisplayArrayInTable(Scope3_SourceData.Scope3_Chemicals_Data(), Table_SourceData_Scope3_ChemicalsCleaning[[#Headers],[Category]], 0, 2)</f>
        <v>kg</v>
      </c>
      <c r="H80" s="29" cm="1">
        <f t="array" ref="H80">Common_InputFunctions.Utility_DisplayArrayInTable(Scope3_SourceData.Scope3_Chemicals_Data(), Table_SourceData_Scope3_ChemicalsCleaning[[#Headers],[Category]], 0, 2)</f>
        <v>0.90700000000000003</v>
      </c>
      <c r="I80" s="29"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29" t="s">
        <v>1259</v>
      </c>
      <c r="E82" s="29" t="s">
        <v>138</v>
      </c>
      <c r="F82" s="29" t="s">
        <v>1260</v>
      </c>
      <c r="G82" s="29" t="s">
        <v>1261</v>
      </c>
      <c r="H82" s="29" t="s">
        <v>1262</v>
      </c>
      <c r="I82" s="29" t="s">
        <v>1263</v>
      </c>
    </row>
    <row r="83" spans="1:16" ht="20.100000000000001" customHeight="1" x14ac:dyDescent="0.25">
      <c r="A83"/>
      <c r="D83" s="29" t="str" cm="1">
        <f t="array" ref="D83">Common_InputFunctions.Utility_DisplayArrayInTable(Scope3_SourceData.Scope3_Chemicals_Data(), Table_SourceData_Scope3_ChemicalsPharmacy[[#Headers],[Category]], -3, 2)</f>
        <v>Pharmacy chemicals</v>
      </c>
      <c r="E83" s="29" t="str" cm="1">
        <f t="array" ref="E83">Common_InputFunctions.Utility_DisplayArrayInTable(Scope3_SourceData.Scope3_Chemicals_Data(), Table_SourceData_Scope3_ChemicalsPharmacy[[#Headers],[Category]], -3, 2)</f>
        <v>Parasite control for cattle (external), dipping</v>
      </c>
      <c r="F83" s="29" t="str" cm="1">
        <f t="array" ref="F83">Common_InputFunctions.Utility_DisplayArrayInTable(Scope3_SourceData.Scope3_Chemicals_Data(), Table_SourceData_Scope3_ChemicalsPharmacy[[#Headers],[Category]], -3, 2)</f>
        <v>Global</v>
      </c>
      <c r="G83" s="29" t="str" cm="1">
        <f t="array" ref="G83">Common_InputFunctions.Utility_DisplayArrayInTable(Scope3_SourceData.Scope3_Chemicals_Data(), Table_SourceData_Scope3_ChemicalsPharmacy[[#Headers],[Category]], -3, 2)</f>
        <v>p (head)</v>
      </c>
      <c r="H83" s="29" cm="1">
        <f t="array" ref="H83">Common_InputFunctions.Utility_DisplayArrayInTable(Scope3_SourceData.Scope3_Chemicals_Data(), Table_SourceData_Scope3_ChemicalsPharmacy[[#Headers],[Category]], -3, 2)</f>
        <v>5.4699999999999999E-2</v>
      </c>
      <c r="I83" s="29"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29" t="str" cm="1">
        <f t="array" ref="D84">Common_InputFunctions.Utility_DisplayArrayInTable(Scope3_SourceData.Scope3_Chemicals_Data(), Table_SourceData_Scope3_ChemicalsPharmacy[[#Headers],[Category]], -3, 2)</f>
        <v>Pharmacy chemicals</v>
      </c>
      <c r="E84" s="29" t="str" cm="1">
        <f t="array" ref="E84">Common_InputFunctions.Utility_DisplayArrayInTable(Scope3_SourceData.Scope3_Chemicals_Data(), Table_SourceData_Scope3_ChemicalsPharmacy[[#Headers],[Category]], -3, 2)</f>
        <v>Parasite control for cattle (internal)</v>
      </c>
      <c r="F84" s="29" t="str" cm="1">
        <f t="array" ref="F84">Common_InputFunctions.Utility_DisplayArrayInTable(Scope3_SourceData.Scope3_Chemicals_Data(), Table_SourceData_Scope3_ChemicalsPharmacy[[#Headers],[Category]], -3, 2)</f>
        <v>Global</v>
      </c>
      <c r="G84" s="29" t="str" cm="1">
        <f t="array" ref="G84">Common_InputFunctions.Utility_DisplayArrayInTable(Scope3_SourceData.Scope3_Chemicals_Data(), Table_SourceData_Scope3_ChemicalsPharmacy[[#Headers],[Category]], -3, 2)</f>
        <v>p (head)</v>
      </c>
      <c r="H84" s="29" cm="1">
        <f t="array" ref="H84">Common_InputFunctions.Utility_DisplayArrayInTable(Scope3_SourceData.Scope3_Chemicals_Data(), Table_SourceData_Scope3_ChemicalsPharmacy[[#Headers],[Category]], -3, 2)</f>
        <v>1.4200000000000001E-2</v>
      </c>
      <c r="I84" s="29"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29" t="str" cm="1">
        <f t="array" ref="D85">Common_InputFunctions.Utility_DisplayArrayInTable(Scope3_SourceData.Scope3_Chemicals_Data(), Table_SourceData_Scope3_ChemicalsPharmacy[[#Headers],[Category]], -3, 2)</f>
        <v>Pharmacy chemicals</v>
      </c>
      <c r="E85" s="29" t="str" cm="1">
        <f t="array" ref="E85">Common_InputFunctions.Utility_DisplayArrayInTable(Scope3_SourceData.Scope3_Chemicals_Data(), Table_SourceData_Scope3_ChemicalsPharmacy[[#Headers],[Category]], -3, 2)</f>
        <v>Parasite control for sheep (external)</v>
      </c>
      <c r="F85" s="29" t="str" cm="1">
        <f t="array" ref="F85">Common_InputFunctions.Utility_DisplayArrayInTable(Scope3_SourceData.Scope3_Chemicals_Data(), Table_SourceData_Scope3_ChemicalsPharmacy[[#Headers],[Category]], -3, 2)</f>
        <v>Global</v>
      </c>
      <c r="G85" s="29" t="str" cm="1">
        <f t="array" ref="G85">Common_InputFunctions.Utility_DisplayArrayInTable(Scope3_SourceData.Scope3_Chemicals_Data(), Table_SourceData_Scope3_ChemicalsPharmacy[[#Headers],[Category]], -3, 2)</f>
        <v>p (head)</v>
      </c>
      <c r="H85" s="29" cm="1">
        <f t="array" ref="H85">Common_InputFunctions.Utility_DisplayArrayInTable(Scope3_SourceData.Scope3_Chemicals_Data(), Table_SourceData_Scope3_ChemicalsPharmacy[[#Headers],[Category]], -3, 2)</f>
        <v>1.43E-2</v>
      </c>
      <c r="I85" s="29"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29" t="str" cm="1">
        <f t="array" ref="D86">Common_InputFunctions.Utility_DisplayArrayInTable(Scope3_SourceData.Scope3_Chemicals_Data(), Table_SourceData_Scope3_ChemicalsPharmacy[[#Headers],[Category]], -3, 2)</f>
        <v>Pharmacy chemicals</v>
      </c>
      <c r="E86" s="29" t="str" cm="1">
        <f t="array" ref="E86">Common_InputFunctions.Utility_DisplayArrayInTable(Scope3_SourceData.Scope3_Chemicals_Data(), Table_SourceData_Scope3_ChemicalsPharmacy[[#Headers],[Category]], -3, 2)</f>
        <v>Parasite control for sheep (internal)</v>
      </c>
      <c r="F86" s="29" t="str" cm="1">
        <f t="array" ref="F86">Common_InputFunctions.Utility_DisplayArrayInTable(Scope3_SourceData.Scope3_Chemicals_Data(), Table_SourceData_Scope3_ChemicalsPharmacy[[#Headers],[Category]], -3, 2)</f>
        <v>Global</v>
      </c>
      <c r="G86" s="29" t="str" cm="1">
        <f t="array" ref="G86">Common_InputFunctions.Utility_DisplayArrayInTable(Scope3_SourceData.Scope3_Chemicals_Data(), Table_SourceData_Scope3_ChemicalsPharmacy[[#Headers],[Category]], -3, 2)</f>
        <v>p (head)</v>
      </c>
      <c r="H86" s="29" cm="1">
        <f t="array" ref="H86">Common_InputFunctions.Utility_DisplayArrayInTable(Scope3_SourceData.Scope3_Chemicals_Data(), Table_SourceData_Scope3_ChemicalsPharmacy[[#Headers],[Category]], -3, 2)</f>
        <v>4.2599999999999999E-3</v>
      </c>
      <c r="I86" s="29"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1071</v>
      </c>
    </row>
    <row r="89" spans="1:16" ht="20.100000000000001" customHeight="1" x14ac:dyDescent="0.25">
      <c r="A89"/>
      <c r="D89" s="29" t="s">
        <v>1259</v>
      </c>
      <c r="E89" s="29" t="s">
        <v>138</v>
      </c>
      <c r="F89" s="29" t="s">
        <v>1260</v>
      </c>
      <c r="G89" s="29" t="s">
        <v>1261</v>
      </c>
      <c r="H89" s="29" t="s">
        <v>1262</v>
      </c>
      <c r="I89" s="29" t="s">
        <v>1263</v>
      </c>
      <c r="K89" s="29" t="s">
        <v>138</v>
      </c>
      <c r="L89" s="29" t="s">
        <v>1264</v>
      </c>
      <c r="M89" s="1" t="str">
        <f>"Table_ProductRegions_" &amp; SUBSTITUTE(SUBSTITUTE(SUBSTITUTE(SUBSTITUTE(K90, " ", ""), ",", ""), "(", ""), ")", "")</f>
        <v>Table_ProductRegions_Sardineswhole</v>
      </c>
    </row>
    <row r="90" spans="1:16" ht="20.100000000000001" customHeight="1" x14ac:dyDescent="0.25">
      <c r="A90"/>
      <c r="D90" s="29" t="str" cm="1">
        <f t="array" ref="D90">Common_InputFunctions.Utility_DisplayArrayInTable(Scope3_SourceData.Scope3_Feed_Data(), Table_SourceData_Scope3_Feed[[#Headers],[Category]], 0, 2)</f>
        <v>Aquaculture feed</v>
      </c>
      <c r="E90" s="29" t="str" cm="1">
        <f t="array" ref="E90">Common_InputFunctions.Utility_DisplayArrayInTable(Scope3_SourceData.Scope3_Feed_Data(), Table_SourceData_Scope3_Feed[[#Headers],[Category]], 0, 2)</f>
        <v>Sardines (whole)</v>
      </c>
      <c r="F90" s="29" t="str" cm="1">
        <f t="array" ref="F90">Common_InputFunctions.Utility_DisplayArrayInTable(Scope3_SourceData.Scope3_Feed_Data(), Table_SourceData_Scope3_Feed[[#Headers],[Category]], 0, 2)</f>
        <v>SA</v>
      </c>
      <c r="G90" s="29" t="str" cm="1">
        <f t="array" ref="G90">Common_InputFunctions.Utility_DisplayArrayInTable(Scope3_SourceData.Scope3_Feed_Data(), Table_SourceData_Scope3_Feed[[#Headers],[Category]], 0, 2)</f>
        <v>kg</v>
      </c>
      <c r="H90" s="29" cm="1">
        <f t="array" ref="H90">Common_InputFunctions.Utility_DisplayArrayInTable(Scope3_SourceData.Scope3_Feed_Data(), Table_SourceData_Scope3_Feed[[#Headers],[Category]], 0, 2)</f>
        <v>0.376</v>
      </c>
      <c r="I90" s="29" t="str" cm="1">
        <f t="array" ref="I90">Common_InputFunctions.Utility_DisplayArrayInTable(Scope3_SourceData.Scope3_Feed_Data(), Table_SourceData_Scope3_Feed[[#Headers],[Category]], 0, 2)</f>
        <v>at market</v>
      </c>
      <c r="K90" s="29" t="str">
        <f>Table_SourceData_Scope3_Feed[[#This Row],[Product]]</f>
        <v>Sardines (whole)</v>
      </c>
      <c r="L90" s="29" t="str">
        <f>Table_SourceData_Scope3_Feed[[#This Row],[Region of origin]]</f>
        <v>SA</v>
      </c>
      <c r="N90" s="29" t="s">
        <v>138</v>
      </c>
      <c r="O90" s="29" t="s">
        <v>1264</v>
      </c>
      <c r="P90" s="1" t="str">
        <f>"Table_ProductRegions_" &amp; SUBSTITUTE(SUBSTITUTE(SUBSTITUTE(SUBSTITUTE(N91, " ", ""), ",", ""), "(", ""), ")", "")</f>
        <v>Table_ProductRegions_Barleygrain</v>
      </c>
    </row>
    <row r="91" spans="1:16" ht="20.100000000000001" customHeight="1" x14ac:dyDescent="0.25">
      <c r="A91"/>
      <c r="D91" s="29" t="str" cm="1">
        <f t="array" ref="D91">Common_InputFunctions.Utility_DisplayArrayInTable(Scope3_SourceData.Scope3_Feed_Data(), Table_SourceData_Scope3_Feed[[#Headers],[Category]], 0, 2)</f>
        <v>Grain</v>
      </c>
      <c r="E91" s="29" t="str" cm="1">
        <f t="array" ref="E91">Common_InputFunctions.Utility_DisplayArrayInTable(Scope3_SourceData.Scope3_Feed_Data(), Table_SourceData_Scope3_Feed[[#Headers],[Category]], 0, 2)</f>
        <v>Barley grain</v>
      </c>
      <c r="F91" s="29" t="str" cm="1">
        <f t="array" ref="F91">Common_InputFunctions.Utility_DisplayArrayInTable(Scope3_SourceData.Scope3_Feed_Data(), Table_SourceData_Scope3_Feed[[#Headers],[Category]], 0, 2)</f>
        <v>Australia</v>
      </c>
      <c r="G91" s="29" t="str" cm="1">
        <f t="array" ref="G91">Common_InputFunctions.Utility_DisplayArrayInTable(Scope3_SourceData.Scope3_Feed_Data(), Table_SourceData_Scope3_Feed[[#Headers],[Category]], 0, 2)</f>
        <v>kg</v>
      </c>
      <c r="H91" s="29" cm="1">
        <f t="array" ref="H91">Common_InputFunctions.Utility_DisplayArrayInTable(Scope3_SourceData.Scope3_Feed_Data(), Table_SourceData_Scope3_Feed[[#Headers],[Category]], 0, 2)</f>
        <v>0.23899999999999999</v>
      </c>
      <c r="I91" s="29" t="str" cm="1">
        <f t="array" ref="I91">Common_InputFunctions.Utility_DisplayArrayInTable(Scope3_SourceData.Scope3_Feed_Data(), Table_SourceData_Scope3_Feed[[#Headers],[Category]], 0, 2)</f>
        <v>at market</v>
      </c>
      <c r="N91" s="29" t="str">
        <f>Table_SourceData_Scope3_Feed[[#This Row],[Product]]</f>
        <v>Barley grain</v>
      </c>
      <c r="O91" s="29" t="str">
        <f>Table_SourceData_Scope3_Feed[[#This Row],[Region of origin]]</f>
        <v>Australia</v>
      </c>
    </row>
    <row r="92" spans="1:16" ht="20.100000000000001" customHeight="1" x14ac:dyDescent="0.25">
      <c r="A92"/>
      <c r="D92" s="29" t="str" cm="1">
        <f t="array" ref="D92">Common_InputFunctions.Utility_DisplayArrayInTable(Scope3_SourceData.Scope3_Feed_Data(), Table_SourceData_Scope3_Feed[[#Headers],[Category]], 0, 2)</f>
        <v>Grain</v>
      </c>
      <c r="E92" s="29" t="str" cm="1">
        <f t="array" ref="E92">Common_InputFunctions.Utility_DisplayArrayInTable(Scope3_SourceData.Scope3_Feed_Data(), Table_SourceData_Scope3_Feed[[#Headers],[Category]], 0, 2)</f>
        <v>Barley grain</v>
      </c>
      <c r="F92" s="29" t="str" cm="1">
        <f t="array" ref="F92">Common_InputFunctions.Utility_DisplayArrayInTable(Scope3_SourceData.Scope3_Feed_Data(), Table_SourceData_Scope3_Feed[[#Headers],[Category]], 0, 2)</f>
        <v>NSW</v>
      </c>
      <c r="G92" s="29" t="str" cm="1">
        <f t="array" ref="G92">Common_InputFunctions.Utility_DisplayArrayInTable(Scope3_SourceData.Scope3_Feed_Data(), Table_SourceData_Scope3_Feed[[#Headers],[Category]], 0, 2)</f>
        <v>kg</v>
      </c>
      <c r="H92" s="29" cm="1">
        <f t="array" ref="H92">Common_InputFunctions.Utility_DisplayArrayInTable(Scope3_SourceData.Scope3_Feed_Data(), Table_SourceData_Scope3_Feed[[#Headers],[Category]], 0, 2)</f>
        <v>0.25600000000000001</v>
      </c>
      <c r="I92" s="29" t="str" cm="1">
        <f t="array" ref="I92">Common_InputFunctions.Utility_DisplayArrayInTable(Scope3_SourceData.Scope3_Feed_Data(), Table_SourceData_Scope3_Feed[[#Headers],[Category]], 0, 2)</f>
        <v>at market</v>
      </c>
      <c r="N92" s="29" t="str">
        <f>Table_SourceData_Scope3_Feed[[#This Row],[Product]]</f>
        <v>Barley grain</v>
      </c>
      <c r="O92" s="29" t="str">
        <f>Table_SourceData_Scope3_Feed[[#This Row],[Region of origin]]</f>
        <v>NSW</v>
      </c>
    </row>
    <row r="93" spans="1:16" ht="20.100000000000001" customHeight="1" x14ac:dyDescent="0.25">
      <c r="A93"/>
      <c r="D93" s="29" t="str" cm="1">
        <f t="array" ref="D93">Common_InputFunctions.Utility_DisplayArrayInTable(Scope3_SourceData.Scope3_Feed_Data(), Table_SourceData_Scope3_Feed[[#Headers],[Category]], 0, 2)</f>
        <v>Grain</v>
      </c>
      <c r="E93" s="29" t="str" cm="1">
        <f t="array" ref="E93">Common_InputFunctions.Utility_DisplayArrayInTable(Scope3_SourceData.Scope3_Feed_Data(), Table_SourceData_Scope3_Feed[[#Headers],[Category]], 0, 2)</f>
        <v>Barley grain</v>
      </c>
      <c r="F93" s="29" t="str" cm="1">
        <f t="array" ref="F93">Common_InputFunctions.Utility_DisplayArrayInTable(Scope3_SourceData.Scope3_Feed_Data(), Table_SourceData_Scope3_Feed[[#Headers],[Category]], 0, 2)</f>
        <v>NT</v>
      </c>
      <c r="G93" s="29" t="str" cm="1">
        <f t="array" ref="G93">Common_InputFunctions.Utility_DisplayArrayInTable(Scope3_SourceData.Scope3_Feed_Data(), Table_SourceData_Scope3_Feed[[#Headers],[Category]], 0, 2)</f>
        <v>kg</v>
      </c>
      <c r="H93" s="29" cm="1">
        <f t="array" ref="H93">Common_InputFunctions.Utility_DisplayArrayInTable(Scope3_SourceData.Scope3_Feed_Data(), Table_SourceData_Scope3_Feed[[#Headers],[Category]], 0, 2)</f>
        <v>0.33200000000000002</v>
      </c>
      <c r="I93" s="29" t="str" cm="1">
        <f t="array" ref="I93">Common_InputFunctions.Utility_DisplayArrayInTable(Scope3_SourceData.Scope3_Feed_Data(), Table_SourceData_Scope3_Feed[[#Headers],[Category]], 0, 2)</f>
        <v>at market</v>
      </c>
      <c r="N93" s="29" t="str">
        <f>Table_SourceData_Scope3_Feed[[#This Row],[Product]]</f>
        <v>Barley grain</v>
      </c>
      <c r="O93" s="29" t="str">
        <f>Table_SourceData_Scope3_Feed[[#This Row],[Region of origin]]</f>
        <v>NT</v>
      </c>
    </row>
    <row r="94" spans="1:16" ht="20.100000000000001" customHeight="1" x14ac:dyDescent="0.25">
      <c r="A94"/>
      <c r="D94" s="29" t="str" cm="1">
        <f t="array" ref="D94">Common_InputFunctions.Utility_DisplayArrayInTable(Scope3_SourceData.Scope3_Feed_Data(), Table_SourceData_Scope3_Feed[[#Headers],[Category]], 0, 2)</f>
        <v>Grain</v>
      </c>
      <c r="E94" s="29" t="str" cm="1">
        <f t="array" ref="E94">Common_InputFunctions.Utility_DisplayArrayInTable(Scope3_SourceData.Scope3_Feed_Data(), Table_SourceData_Scope3_Feed[[#Headers],[Category]], 0, 2)</f>
        <v>Barley grain</v>
      </c>
      <c r="F94" s="29" t="str" cm="1">
        <f t="array" ref="F94">Common_InputFunctions.Utility_DisplayArrayInTable(Scope3_SourceData.Scope3_Feed_Data(), Table_SourceData_Scope3_Feed[[#Headers],[Category]], 0, 2)</f>
        <v>QLD</v>
      </c>
      <c r="G94" s="29" t="str" cm="1">
        <f t="array" ref="G94">Common_InputFunctions.Utility_DisplayArrayInTable(Scope3_SourceData.Scope3_Feed_Data(), Table_SourceData_Scope3_Feed[[#Headers],[Category]], 0, 2)</f>
        <v>kg</v>
      </c>
      <c r="H94" s="29" cm="1">
        <f t="array" ref="H94">Common_InputFunctions.Utility_DisplayArrayInTable(Scope3_SourceData.Scope3_Feed_Data(), Table_SourceData_Scope3_Feed[[#Headers],[Category]], 0, 2)</f>
        <v>0.26900000000000002</v>
      </c>
      <c r="I94" s="29" t="str" cm="1">
        <f t="array" ref="I94">Common_InputFunctions.Utility_DisplayArrayInTable(Scope3_SourceData.Scope3_Feed_Data(), Table_SourceData_Scope3_Feed[[#Headers],[Category]], 0, 2)</f>
        <v>at market</v>
      </c>
      <c r="N94" s="29" t="str">
        <f>Table_SourceData_Scope3_Feed[[#This Row],[Product]]</f>
        <v>Barley grain</v>
      </c>
      <c r="O94" s="29" t="str">
        <f>Table_SourceData_Scope3_Feed[[#This Row],[Region of origin]]</f>
        <v>QLD</v>
      </c>
    </row>
    <row r="95" spans="1:16" ht="20.100000000000001" customHeight="1" x14ac:dyDescent="0.25">
      <c r="A95"/>
      <c r="D95" s="29" t="str" cm="1">
        <f t="array" ref="D95">Common_InputFunctions.Utility_DisplayArrayInTable(Scope3_SourceData.Scope3_Feed_Data(), Table_SourceData_Scope3_Feed[[#Headers],[Category]], 0, 2)</f>
        <v>Grain</v>
      </c>
      <c r="E95" s="29" t="str" cm="1">
        <f t="array" ref="E95">Common_InputFunctions.Utility_DisplayArrayInTable(Scope3_SourceData.Scope3_Feed_Data(), Table_SourceData_Scope3_Feed[[#Headers],[Category]], 0, 2)</f>
        <v>Barley grain</v>
      </c>
      <c r="F95" s="29" t="str" cm="1">
        <f t="array" ref="F95">Common_InputFunctions.Utility_DisplayArrayInTable(Scope3_SourceData.Scope3_Feed_Data(), Table_SourceData_Scope3_Feed[[#Headers],[Category]], 0, 2)</f>
        <v>SA</v>
      </c>
      <c r="G95" s="29" t="str" cm="1">
        <f t="array" ref="G95">Common_InputFunctions.Utility_DisplayArrayInTable(Scope3_SourceData.Scope3_Feed_Data(), Table_SourceData_Scope3_Feed[[#Headers],[Category]], 0, 2)</f>
        <v>kg</v>
      </c>
      <c r="H95" s="29" cm="1">
        <f t="array" ref="H95">Common_InputFunctions.Utility_DisplayArrayInTable(Scope3_SourceData.Scope3_Feed_Data(), Table_SourceData_Scope3_Feed[[#Headers],[Category]], 0, 2)</f>
        <v>0.223</v>
      </c>
      <c r="I95" s="29" t="str" cm="1">
        <f t="array" ref="I95">Common_InputFunctions.Utility_DisplayArrayInTable(Scope3_SourceData.Scope3_Feed_Data(), Table_SourceData_Scope3_Feed[[#Headers],[Category]], 0, 2)</f>
        <v>at market</v>
      </c>
      <c r="N95" s="29" t="str">
        <f>Table_SourceData_Scope3_Feed[[#This Row],[Product]]</f>
        <v>Barley grain</v>
      </c>
      <c r="O95" s="29" t="str">
        <f>Table_SourceData_Scope3_Feed[[#This Row],[Region of origin]]</f>
        <v>SA</v>
      </c>
    </row>
    <row r="96" spans="1:16" ht="20.100000000000001" customHeight="1" x14ac:dyDescent="0.25">
      <c r="A96"/>
      <c r="D96" s="29" t="str" cm="1">
        <f t="array" ref="D96">Common_InputFunctions.Utility_DisplayArrayInTable(Scope3_SourceData.Scope3_Feed_Data(), Table_SourceData_Scope3_Feed[[#Headers],[Category]], 0, 2)</f>
        <v>Grain</v>
      </c>
      <c r="E96" s="29" t="str" cm="1">
        <f t="array" ref="E96">Common_InputFunctions.Utility_DisplayArrayInTable(Scope3_SourceData.Scope3_Feed_Data(), Table_SourceData_Scope3_Feed[[#Headers],[Category]], 0, 2)</f>
        <v>Barley grain</v>
      </c>
      <c r="F96" s="29" t="str" cm="1">
        <f t="array" ref="F96">Common_InputFunctions.Utility_DisplayArrayInTable(Scope3_SourceData.Scope3_Feed_Data(), Table_SourceData_Scope3_Feed[[#Headers],[Category]], 0, 2)</f>
        <v>TAS</v>
      </c>
      <c r="G96" s="29" t="str" cm="1">
        <f t="array" ref="G96">Common_InputFunctions.Utility_DisplayArrayInTable(Scope3_SourceData.Scope3_Feed_Data(), Table_SourceData_Scope3_Feed[[#Headers],[Category]], 0, 2)</f>
        <v>kg</v>
      </c>
      <c r="H96" s="29" cm="1">
        <f t="array" ref="H96">Common_InputFunctions.Utility_DisplayArrayInTable(Scope3_SourceData.Scope3_Feed_Data(), Table_SourceData_Scope3_Feed[[#Headers],[Category]], 0, 2)</f>
        <v>0.307</v>
      </c>
      <c r="I96" s="29" t="str" cm="1">
        <f t="array" ref="I96">Common_InputFunctions.Utility_DisplayArrayInTable(Scope3_SourceData.Scope3_Feed_Data(), Table_SourceData_Scope3_Feed[[#Headers],[Category]], 0, 2)</f>
        <v>at market</v>
      </c>
      <c r="N96" s="29" t="str">
        <f>Table_SourceData_Scope3_Feed[[#This Row],[Product]]</f>
        <v>Barley grain</v>
      </c>
      <c r="O96" s="29" t="str">
        <f>Table_SourceData_Scope3_Feed[[#This Row],[Region of origin]]</f>
        <v>TAS</v>
      </c>
    </row>
    <row r="97" spans="1:16" ht="20.100000000000001" customHeight="1" x14ac:dyDescent="0.25">
      <c r="A97"/>
      <c r="D97" s="29" t="str" cm="1">
        <f t="array" ref="D97">Common_InputFunctions.Utility_DisplayArrayInTable(Scope3_SourceData.Scope3_Feed_Data(), Table_SourceData_Scope3_Feed[[#Headers],[Category]], 0, 2)</f>
        <v>Grain</v>
      </c>
      <c r="E97" s="29" t="str" cm="1">
        <f t="array" ref="E97">Common_InputFunctions.Utility_DisplayArrayInTable(Scope3_SourceData.Scope3_Feed_Data(), Table_SourceData_Scope3_Feed[[#Headers],[Category]], 0, 2)</f>
        <v>Barley grain</v>
      </c>
      <c r="F97" s="29" t="str" cm="1">
        <f t="array" ref="F97">Common_InputFunctions.Utility_DisplayArrayInTable(Scope3_SourceData.Scope3_Feed_Data(), Table_SourceData_Scope3_Feed[[#Headers],[Category]], 0, 2)</f>
        <v>VIC</v>
      </c>
      <c r="G97" s="29" t="str" cm="1">
        <f t="array" ref="G97">Common_InputFunctions.Utility_DisplayArrayInTable(Scope3_SourceData.Scope3_Feed_Data(), Table_SourceData_Scope3_Feed[[#Headers],[Category]], 0, 2)</f>
        <v>kg</v>
      </c>
      <c r="H97" s="29" cm="1">
        <f t="array" ref="H97">Common_InputFunctions.Utility_DisplayArrayInTable(Scope3_SourceData.Scope3_Feed_Data(), Table_SourceData_Scope3_Feed[[#Headers],[Category]], 0, 2)</f>
        <v>0.24099999999999999</v>
      </c>
      <c r="I97" s="29" t="str" cm="1">
        <f t="array" ref="I97">Common_InputFunctions.Utility_DisplayArrayInTable(Scope3_SourceData.Scope3_Feed_Data(), Table_SourceData_Scope3_Feed[[#Headers],[Category]], 0, 2)</f>
        <v>at market</v>
      </c>
      <c r="N97" s="29" t="str">
        <f>Table_SourceData_Scope3_Feed[[#This Row],[Product]]</f>
        <v>Barley grain</v>
      </c>
      <c r="O97" s="29" t="str">
        <f>Table_SourceData_Scope3_Feed[[#This Row],[Region of origin]]</f>
        <v>VIC</v>
      </c>
    </row>
    <row r="98" spans="1:16" ht="20.100000000000001" customHeight="1" x14ac:dyDescent="0.25">
      <c r="A98"/>
      <c r="D98" s="29" t="str" cm="1">
        <f t="array" ref="D98">Common_InputFunctions.Utility_DisplayArrayInTable(Scope3_SourceData.Scope3_Feed_Data(), Table_SourceData_Scope3_Feed[[#Headers],[Category]], 0, 2)</f>
        <v>Grain</v>
      </c>
      <c r="E98" s="29" t="str" cm="1">
        <f t="array" ref="E98">Common_InputFunctions.Utility_DisplayArrayInTable(Scope3_SourceData.Scope3_Feed_Data(), Table_SourceData_Scope3_Feed[[#Headers],[Category]], 0, 2)</f>
        <v>Barley grain</v>
      </c>
      <c r="F98" s="29" t="str" cm="1">
        <f t="array" ref="F98">Common_InputFunctions.Utility_DisplayArrayInTable(Scope3_SourceData.Scope3_Feed_Data(), Table_SourceData_Scope3_Feed[[#Headers],[Category]], 0, 2)</f>
        <v>WA</v>
      </c>
      <c r="G98" s="29" t="str" cm="1">
        <f t="array" ref="G98">Common_InputFunctions.Utility_DisplayArrayInTable(Scope3_SourceData.Scope3_Feed_Data(), Table_SourceData_Scope3_Feed[[#Headers],[Category]], 0, 2)</f>
        <v>kg</v>
      </c>
      <c r="H98" s="29" cm="1">
        <f t="array" ref="H98">Common_InputFunctions.Utility_DisplayArrayInTable(Scope3_SourceData.Scope3_Feed_Data(), Table_SourceData_Scope3_Feed[[#Headers],[Category]], 0, 2)</f>
        <v>0.23599999999999999</v>
      </c>
      <c r="I98" s="29" t="str" cm="1">
        <f t="array" ref="I98">Common_InputFunctions.Utility_DisplayArrayInTable(Scope3_SourceData.Scope3_Feed_Data(), Table_SourceData_Scope3_Feed[[#Headers],[Category]], 0, 2)</f>
        <v>at market</v>
      </c>
      <c r="K98" s="29" t="s">
        <v>138</v>
      </c>
      <c r="L98" s="29" t="s">
        <v>1264</v>
      </c>
      <c r="M98" s="1" t="str">
        <f>"Table_ProductRegions_" &amp; SUBSTITUTE(SUBSTITUTE(SUBSTITUTE(SUBSTITUTE(K99, " ", ""), ",", ""), "(", ""), ")", "")</f>
        <v>Table_ProductRegions_Maizegrain</v>
      </c>
      <c r="N98" s="29" t="str">
        <f>Table_SourceData_Scope3_Feed[[#This Row],[Product]]</f>
        <v>Barley grain</v>
      </c>
      <c r="O98" s="29" t="str">
        <f>Table_SourceData_Scope3_Feed[[#This Row],[Region of origin]]</f>
        <v>WA</v>
      </c>
    </row>
    <row r="99" spans="1:16" ht="20.100000000000001" customHeight="1" x14ac:dyDescent="0.25">
      <c r="A99"/>
      <c r="D99" s="29" t="str" cm="1">
        <f t="array" ref="D99">Common_InputFunctions.Utility_DisplayArrayInTable(Scope3_SourceData.Scope3_Feed_Data(), Table_SourceData_Scope3_Feed[[#Headers],[Category]], 0, 2)</f>
        <v>Grain</v>
      </c>
      <c r="E99" s="29" t="str" cm="1">
        <f t="array" ref="E99">Common_InputFunctions.Utility_DisplayArrayInTable(Scope3_SourceData.Scope3_Feed_Data(), Table_SourceData_Scope3_Feed[[#Headers],[Category]], 0, 2)</f>
        <v>Maize grain</v>
      </c>
      <c r="F99" s="29" t="str" cm="1">
        <f t="array" ref="F99">Common_InputFunctions.Utility_DisplayArrayInTable(Scope3_SourceData.Scope3_Feed_Data(), Table_SourceData_Scope3_Feed[[#Headers],[Category]], 0, 2)</f>
        <v>Australia</v>
      </c>
      <c r="G99" s="29" t="str" cm="1">
        <f t="array" ref="G99">Common_InputFunctions.Utility_DisplayArrayInTable(Scope3_SourceData.Scope3_Feed_Data(), Table_SourceData_Scope3_Feed[[#Headers],[Category]], 0, 2)</f>
        <v>kg</v>
      </c>
      <c r="H99" s="29" cm="1">
        <f t="array" ref="H99">Common_InputFunctions.Utility_DisplayArrayInTable(Scope3_SourceData.Scope3_Feed_Data(), Table_SourceData_Scope3_Feed[[#Headers],[Category]], 0, 2)</f>
        <v>0.18099999999999999</v>
      </c>
      <c r="I99" s="29" t="str" cm="1">
        <f t="array" ref="I99">Common_InputFunctions.Utility_DisplayArrayInTable(Scope3_SourceData.Scope3_Feed_Data(), Table_SourceData_Scope3_Feed[[#Headers],[Category]], 0, 2)</f>
        <v>at market</v>
      </c>
      <c r="K99" s="29" t="str">
        <f>Table_SourceData_Scope3_Feed[[#This Row],[Product]]</f>
        <v>Maize grain</v>
      </c>
      <c r="L99" s="29" t="str">
        <f>Table_SourceData_Scope3_Feed[[#This Row],[Region of origin]]</f>
        <v>Australia</v>
      </c>
    </row>
    <row r="100" spans="1:16" ht="20.100000000000001" customHeight="1" x14ac:dyDescent="0.25">
      <c r="A100"/>
      <c r="D100" s="29" t="str" cm="1">
        <f t="array" ref="D100">Common_InputFunctions.Utility_DisplayArrayInTable(Scope3_SourceData.Scope3_Feed_Data(), Table_SourceData_Scope3_Feed[[#Headers],[Category]], 0, 2)</f>
        <v>Grain</v>
      </c>
      <c r="E100" s="29" t="str" cm="1">
        <f t="array" ref="E100">Common_InputFunctions.Utility_DisplayArrayInTable(Scope3_SourceData.Scope3_Feed_Data(), Table_SourceData_Scope3_Feed[[#Headers],[Category]], 0, 2)</f>
        <v>Maize grain</v>
      </c>
      <c r="F100" s="29" t="str" cm="1">
        <f t="array" ref="F100">Common_InputFunctions.Utility_DisplayArrayInTable(Scope3_SourceData.Scope3_Feed_Data(), Table_SourceData_Scope3_Feed[[#Headers],[Category]], 0, 2)</f>
        <v>NSW</v>
      </c>
      <c r="G100" s="29" t="str" cm="1">
        <f t="array" ref="G100">Common_InputFunctions.Utility_DisplayArrayInTable(Scope3_SourceData.Scope3_Feed_Data(), Table_SourceData_Scope3_Feed[[#Headers],[Category]], 0, 2)</f>
        <v>kg</v>
      </c>
      <c r="H100" s="29" cm="1">
        <f t="array" ref="H100">Common_InputFunctions.Utility_DisplayArrayInTable(Scope3_SourceData.Scope3_Feed_Data(), Table_SourceData_Scope3_Feed[[#Headers],[Category]], 0, 2)</f>
        <v>0.16900000000000001</v>
      </c>
      <c r="I100" s="29" t="str" cm="1">
        <f t="array" ref="I100">Common_InputFunctions.Utility_DisplayArrayInTable(Scope3_SourceData.Scope3_Feed_Data(), Table_SourceData_Scope3_Feed[[#Headers],[Category]], 0, 2)</f>
        <v>at market</v>
      </c>
      <c r="K100" s="29" t="str">
        <f>Table_SourceData_Scope3_Feed[[#This Row],[Product]]</f>
        <v>Maize grain</v>
      </c>
      <c r="L100" s="29" t="str">
        <f>Table_SourceData_Scope3_Feed[[#This Row],[Region of origin]]</f>
        <v>NSW</v>
      </c>
    </row>
    <row r="101" spans="1:16" ht="20.100000000000001" customHeight="1" x14ac:dyDescent="0.25">
      <c r="A101"/>
      <c r="D101" s="29" t="str" cm="1">
        <f t="array" ref="D101">Common_InputFunctions.Utility_DisplayArrayInTable(Scope3_SourceData.Scope3_Feed_Data(), Table_SourceData_Scope3_Feed[[#Headers],[Category]], 0, 2)</f>
        <v>Grain</v>
      </c>
      <c r="E101" s="29" t="str" cm="1">
        <f t="array" ref="E101">Common_InputFunctions.Utility_DisplayArrayInTable(Scope3_SourceData.Scope3_Feed_Data(), Table_SourceData_Scope3_Feed[[#Headers],[Category]], 0, 2)</f>
        <v>Maize grain</v>
      </c>
      <c r="F101" s="29" t="str" cm="1">
        <f t="array" ref="F101">Common_InputFunctions.Utility_DisplayArrayInTable(Scope3_SourceData.Scope3_Feed_Data(), Table_SourceData_Scope3_Feed[[#Headers],[Category]], 0, 2)</f>
        <v>NT</v>
      </c>
      <c r="G101" s="29" t="str" cm="1">
        <f t="array" ref="G101">Common_InputFunctions.Utility_DisplayArrayInTable(Scope3_SourceData.Scope3_Feed_Data(), Table_SourceData_Scope3_Feed[[#Headers],[Category]], 0, 2)</f>
        <v>kg</v>
      </c>
      <c r="H101" s="29" cm="1">
        <f t="array" ref="H101">Common_InputFunctions.Utility_DisplayArrayInTable(Scope3_SourceData.Scope3_Feed_Data(), Table_SourceData_Scope3_Feed[[#Headers],[Category]], 0, 2)</f>
        <v>0.25600000000000001</v>
      </c>
      <c r="I101" s="29" t="str" cm="1">
        <f t="array" ref="I101">Common_InputFunctions.Utility_DisplayArrayInTable(Scope3_SourceData.Scope3_Feed_Data(), Table_SourceData_Scope3_Feed[[#Headers],[Category]], 0, 2)</f>
        <v>at market</v>
      </c>
      <c r="K101" s="29" t="str">
        <f>Table_SourceData_Scope3_Feed[[#This Row],[Product]]</f>
        <v>Maize grain</v>
      </c>
      <c r="L101" s="29" t="str">
        <f>Table_SourceData_Scope3_Feed[[#This Row],[Region of origin]]</f>
        <v>NT</v>
      </c>
    </row>
    <row r="102" spans="1:16" ht="20.100000000000001" customHeight="1" x14ac:dyDescent="0.25">
      <c r="A102"/>
      <c r="D102" s="29" t="str" cm="1">
        <f t="array" ref="D102">Common_InputFunctions.Utility_DisplayArrayInTable(Scope3_SourceData.Scope3_Feed_Data(), Table_SourceData_Scope3_Feed[[#Headers],[Category]], 0, 2)</f>
        <v>Grain</v>
      </c>
      <c r="E102" s="29" t="str" cm="1">
        <f t="array" ref="E102">Common_InputFunctions.Utility_DisplayArrayInTable(Scope3_SourceData.Scope3_Feed_Data(), Table_SourceData_Scope3_Feed[[#Headers],[Category]], 0, 2)</f>
        <v>Maize grain</v>
      </c>
      <c r="F102" s="29" t="str" cm="1">
        <f t="array" ref="F102">Common_InputFunctions.Utility_DisplayArrayInTable(Scope3_SourceData.Scope3_Feed_Data(), Table_SourceData_Scope3_Feed[[#Headers],[Category]], 0, 2)</f>
        <v>QLD</v>
      </c>
      <c r="G102" s="29" t="str" cm="1">
        <f t="array" ref="G102">Common_InputFunctions.Utility_DisplayArrayInTable(Scope3_SourceData.Scope3_Feed_Data(), Table_SourceData_Scope3_Feed[[#Headers],[Category]], 0, 2)</f>
        <v>kg</v>
      </c>
      <c r="H102" s="29" cm="1">
        <f t="array" ref="H102">Common_InputFunctions.Utility_DisplayArrayInTable(Scope3_SourceData.Scope3_Feed_Data(), Table_SourceData_Scope3_Feed[[#Headers],[Category]], 0, 2)</f>
        <v>0.186</v>
      </c>
      <c r="I102" s="29" t="str" cm="1">
        <f t="array" ref="I102">Common_InputFunctions.Utility_DisplayArrayInTable(Scope3_SourceData.Scope3_Feed_Data(), Table_SourceData_Scope3_Feed[[#Headers],[Category]], 0, 2)</f>
        <v>at market</v>
      </c>
      <c r="K102" s="29" t="str">
        <f>Table_SourceData_Scope3_Feed[[#This Row],[Product]]</f>
        <v>Maize grain</v>
      </c>
      <c r="L102" s="29" t="str">
        <f>Table_SourceData_Scope3_Feed[[#This Row],[Region of origin]]</f>
        <v>QLD</v>
      </c>
    </row>
    <row r="103" spans="1:16" ht="20.100000000000001" customHeight="1" x14ac:dyDescent="0.25">
      <c r="A103"/>
      <c r="D103" s="29" t="str" cm="1">
        <f t="array" ref="D103">Common_InputFunctions.Utility_DisplayArrayInTable(Scope3_SourceData.Scope3_Feed_Data(), Table_SourceData_Scope3_Feed[[#Headers],[Category]], 0, 2)</f>
        <v>Grain</v>
      </c>
      <c r="E103" s="29" t="str" cm="1">
        <f t="array" ref="E103">Common_InputFunctions.Utility_DisplayArrayInTable(Scope3_SourceData.Scope3_Feed_Data(), Table_SourceData_Scope3_Feed[[#Headers],[Category]], 0, 2)</f>
        <v>Maize grain</v>
      </c>
      <c r="F103" s="29" t="str" cm="1">
        <f t="array" ref="F103">Common_InputFunctions.Utility_DisplayArrayInTable(Scope3_SourceData.Scope3_Feed_Data(), Table_SourceData_Scope3_Feed[[#Headers],[Category]], 0, 2)</f>
        <v>SA</v>
      </c>
      <c r="G103" s="29" t="str" cm="1">
        <f t="array" ref="G103">Common_InputFunctions.Utility_DisplayArrayInTable(Scope3_SourceData.Scope3_Feed_Data(), Table_SourceData_Scope3_Feed[[#Headers],[Category]], 0, 2)</f>
        <v>kg</v>
      </c>
      <c r="H103" s="29" cm="1">
        <f t="array" ref="H103">Common_InputFunctions.Utility_DisplayArrayInTable(Scope3_SourceData.Scope3_Feed_Data(), Table_SourceData_Scope3_Feed[[#Headers],[Category]], 0, 2)</f>
        <v>0.17599999999999999</v>
      </c>
      <c r="I103" s="29" t="str" cm="1">
        <f t="array" ref="I103">Common_InputFunctions.Utility_DisplayArrayInTable(Scope3_SourceData.Scope3_Feed_Data(), Table_SourceData_Scope3_Feed[[#Headers],[Category]], 0, 2)</f>
        <v>at market</v>
      </c>
      <c r="K103" s="29" t="str">
        <f>Table_SourceData_Scope3_Feed[[#This Row],[Product]]</f>
        <v>Maize grain</v>
      </c>
      <c r="L103" s="29" t="str">
        <f>Table_SourceData_Scope3_Feed[[#This Row],[Region of origin]]</f>
        <v>SA</v>
      </c>
    </row>
    <row r="104" spans="1:16" ht="20.100000000000001" customHeight="1" x14ac:dyDescent="0.25">
      <c r="A104"/>
      <c r="D104" s="29" t="str" cm="1">
        <f t="array" ref="D104">Common_InputFunctions.Utility_DisplayArrayInTable(Scope3_SourceData.Scope3_Feed_Data(), Table_SourceData_Scope3_Feed[[#Headers],[Category]], 0, 2)</f>
        <v>Grain</v>
      </c>
      <c r="E104" s="29" t="str" cm="1">
        <f t="array" ref="E104">Common_InputFunctions.Utility_DisplayArrayInTable(Scope3_SourceData.Scope3_Feed_Data(), Table_SourceData_Scope3_Feed[[#Headers],[Category]], 0, 2)</f>
        <v>Maize grain</v>
      </c>
      <c r="F104" s="29" t="str" cm="1">
        <f t="array" ref="F104">Common_InputFunctions.Utility_DisplayArrayInTable(Scope3_SourceData.Scope3_Feed_Data(), Table_SourceData_Scope3_Feed[[#Headers],[Category]], 0, 2)</f>
        <v>VIC</v>
      </c>
      <c r="G104" s="29" t="str" cm="1">
        <f t="array" ref="G104">Common_InputFunctions.Utility_DisplayArrayInTable(Scope3_SourceData.Scope3_Feed_Data(), Table_SourceData_Scope3_Feed[[#Headers],[Category]], 0, 2)</f>
        <v>kg</v>
      </c>
      <c r="H104" s="29" cm="1">
        <f t="array" ref="H104">Common_InputFunctions.Utility_DisplayArrayInTable(Scope3_SourceData.Scope3_Feed_Data(), Table_SourceData_Scope3_Feed[[#Headers],[Category]], 0, 2)</f>
        <v>0.159</v>
      </c>
      <c r="I104" s="29" t="str" cm="1">
        <f t="array" ref="I104">Common_InputFunctions.Utility_DisplayArrayInTable(Scope3_SourceData.Scope3_Feed_Data(), Table_SourceData_Scope3_Feed[[#Headers],[Category]], 0, 2)</f>
        <v>at market</v>
      </c>
      <c r="K104" s="29" t="str">
        <f>Table_SourceData_Scope3_Feed[[#This Row],[Product]]</f>
        <v>Maize grain</v>
      </c>
      <c r="L104" s="29" t="str">
        <f>Table_SourceData_Scope3_Feed[[#This Row],[Region of origin]]</f>
        <v>VIC</v>
      </c>
    </row>
    <row r="105" spans="1:16" ht="20.100000000000001" customHeight="1" x14ac:dyDescent="0.25">
      <c r="A105"/>
      <c r="D105" s="29" t="str" cm="1">
        <f t="array" ref="D105">Common_InputFunctions.Utility_DisplayArrayInTable(Scope3_SourceData.Scope3_Feed_Data(), Table_SourceData_Scope3_Feed[[#Headers],[Category]], 0, 2)</f>
        <v>Grain</v>
      </c>
      <c r="E105" s="29" t="str" cm="1">
        <f t="array" ref="E105">Common_InputFunctions.Utility_DisplayArrayInTable(Scope3_SourceData.Scope3_Feed_Data(), Table_SourceData_Scope3_Feed[[#Headers],[Category]], 0, 2)</f>
        <v>Maize grain</v>
      </c>
      <c r="F105" s="29" t="str" cm="1">
        <f t="array" ref="F105">Common_InputFunctions.Utility_DisplayArrayInTable(Scope3_SourceData.Scope3_Feed_Data(), Table_SourceData_Scope3_Feed[[#Headers],[Category]], 0, 2)</f>
        <v>WA</v>
      </c>
      <c r="G105" s="29" t="str" cm="1">
        <f t="array" ref="G105">Common_InputFunctions.Utility_DisplayArrayInTable(Scope3_SourceData.Scope3_Feed_Data(), Table_SourceData_Scope3_Feed[[#Headers],[Category]], 0, 2)</f>
        <v>kg</v>
      </c>
      <c r="H105" s="29" cm="1">
        <f t="array" ref="H105">Common_InputFunctions.Utility_DisplayArrayInTable(Scope3_SourceData.Scope3_Feed_Data(), Table_SourceData_Scope3_Feed[[#Headers],[Category]], 0, 2)</f>
        <v>0.28499999999999998</v>
      </c>
      <c r="I105" s="29" t="str" cm="1">
        <f t="array" ref="I105">Common_InputFunctions.Utility_DisplayArrayInTable(Scope3_SourceData.Scope3_Feed_Data(), Table_SourceData_Scope3_Feed[[#Headers],[Category]], 0, 2)</f>
        <v>at market</v>
      </c>
      <c r="K105" s="29" t="str">
        <f>Table_SourceData_Scope3_Feed[[#This Row],[Product]]</f>
        <v>Maize grain</v>
      </c>
      <c r="L105" s="29" t="str">
        <f>Table_SourceData_Scope3_Feed[[#This Row],[Region of origin]]</f>
        <v>WA</v>
      </c>
      <c r="N105" s="29" t="s">
        <v>138</v>
      </c>
      <c r="O105" s="29" t="s">
        <v>1264</v>
      </c>
      <c r="P105" s="1" t="str">
        <f>"Table_ProductRegions_" &amp; SUBSTITUTE(SUBSTITUTE(SUBSTITUTE(SUBSTITUTE(N106, " ", ""), ",", ""), "(", ""), ")", "")</f>
        <v>Table_ProductRegions_Sorghumgrain</v>
      </c>
    </row>
    <row r="106" spans="1:16" ht="20.100000000000001" customHeight="1" x14ac:dyDescent="0.25">
      <c r="A106"/>
      <c r="D106" s="29" t="str" cm="1">
        <f t="array" ref="D106">Common_InputFunctions.Utility_DisplayArrayInTable(Scope3_SourceData.Scope3_Feed_Data(), Table_SourceData_Scope3_Feed[[#Headers],[Category]], 0, 2)</f>
        <v>Grain</v>
      </c>
      <c r="E106" s="29" t="str" cm="1">
        <f t="array" ref="E106">Common_InputFunctions.Utility_DisplayArrayInTable(Scope3_SourceData.Scope3_Feed_Data(), Table_SourceData_Scope3_Feed[[#Headers],[Category]], 0, 2)</f>
        <v>Sorghum grain</v>
      </c>
      <c r="F106" s="29" t="str" cm="1">
        <f t="array" ref="F106">Common_InputFunctions.Utility_DisplayArrayInTable(Scope3_SourceData.Scope3_Feed_Data(), Table_SourceData_Scope3_Feed[[#Headers],[Category]], 0, 2)</f>
        <v>Australia</v>
      </c>
      <c r="G106" s="29" t="str" cm="1">
        <f t="array" ref="G106">Common_InputFunctions.Utility_DisplayArrayInTable(Scope3_SourceData.Scope3_Feed_Data(), Table_SourceData_Scope3_Feed[[#Headers],[Category]], 0, 2)</f>
        <v>kg</v>
      </c>
      <c r="H106" s="29" cm="1">
        <f t="array" ref="H106">Common_InputFunctions.Utility_DisplayArrayInTable(Scope3_SourceData.Scope3_Feed_Data(), Table_SourceData_Scope3_Feed[[#Headers],[Category]], 0, 2)</f>
        <v>0.23200000000000001</v>
      </c>
      <c r="I106" s="29" t="str" cm="1">
        <f t="array" ref="I106">Common_InputFunctions.Utility_DisplayArrayInTable(Scope3_SourceData.Scope3_Feed_Data(), Table_SourceData_Scope3_Feed[[#Headers],[Category]], 0, 2)</f>
        <v>at market</v>
      </c>
      <c r="N106" s="29" t="str">
        <f>Table_SourceData_Scope3_Feed[[#This Row],[Product]]</f>
        <v>Sorghum grain</v>
      </c>
      <c r="O106" s="29" t="str">
        <f>Table_SourceData_Scope3_Feed[[#This Row],[Region of origin]]</f>
        <v>Australia</v>
      </c>
    </row>
    <row r="107" spans="1:16" ht="20.100000000000001" customHeight="1" x14ac:dyDescent="0.25">
      <c r="A107"/>
      <c r="D107" s="29" t="str" cm="1">
        <f t="array" ref="D107">Common_InputFunctions.Utility_DisplayArrayInTable(Scope3_SourceData.Scope3_Feed_Data(), Table_SourceData_Scope3_Feed[[#Headers],[Category]], 0, 2)</f>
        <v>Grain</v>
      </c>
      <c r="E107" s="29" t="str" cm="1">
        <f t="array" ref="E107">Common_InputFunctions.Utility_DisplayArrayInTable(Scope3_SourceData.Scope3_Feed_Data(), Table_SourceData_Scope3_Feed[[#Headers],[Category]], 0, 2)</f>
        <v>Sorghum grain</v>
      </c>
      <c r="F107" s="29" t="str" cm="1">
        <f t="array" ref="F107">Common_InputFunctions.Utility_DisplayArrayInTable(Scope3_SourceData.Scope3_Feed_Data(), Table_SourceData_Scope3_Feed[[#Headers],[Category]], 0, 2)</f>
        <v>NSW</v>
      </c>
      <c r="G107" s="29" t="str" cm="1">
        <f t="array" ref="G107">Common_InputFunctions.Utility_DisplayArrayInTable(Scope3_SourceData.Scope3_Feed_Data(), Table_SourceData_Scope3_Feed[[#Headers],[Category]], 0, 2)</f>
        <v>kg</v>
      </c>
      <c r="H107" s="29" cm="1">
        <f t="array" ref="H107">Common_InputFunctions.Utility_DisplayArrayInTable(Scope3_SourceData.Scope3_Feed_Data(), Table_SourceData_Scope3_Feed[[#Headers],[Category]], 0, 2)</f>
        <v>0.23200000000000001</v>
      </c>
      <c r="I107" s="29" t="str" cm="1">
        <f t="array" ref="I107">Common_InputFunctions.Utility_DisplayArrayInTable(Scope3_SourceData.Scope3_Feed_Data(), Table_SourceData_Scope3_Feed[[#Headers],[Category]], 0, 2)</f>
        <v>at market</v>
      </c>
      <c r="N107" s="29" t="str">
        <f>Table_SourceData_Scope3_Feed[[#This Row],[Product]]</f>
        <v>Sorghum grain</v>
      </c>
      <c r="O107" s="29" t="str">
        <f>Table_SourceData_Scope3_Feed[[#This Row],[Region of origin]]</f>
        <v>NSW</v>
      </c>
    </row>
    <row r="108" spans="1:16" ht="20.100000000000001" customHeight="1" x14ac:dyDescent="0.25">
      <c r="A108"/>
      <c r="D108" s="29" t="str" cm="1">
        <f t="array" ref="D108">Common_InputFunctions.Utility_DisplayArrayInTable(Scope3_SourceData.Scope3_Feed_Data(), Table_SourceData_Scope3_Feed[[#Headers],[Category]], 0, 2)</f>
        <v>Grain</v>
      </c>
      <c r="E108" s="29" t="str" cm="1">
        <f t="array" ref="E108">Common_InputFunctions.Utility_DisplayArrayInTable(Scope3_SourceData.Scope3_Feed_Data(), Table_SourceData_Scope3_Feed[[#Headers],[Category]], 0, 2)</f>
        <v>Sorghum grain</v>
      </c>
      <c r="F108" s="29" t="str" cm="1">
        <f t="array" ref="F108">Common_InputFunctions.Utility_DisplayArrayInTable(Scope3_SourceData.Scope3_Feed_Data(), Table_SourceData_Scope3_Feed[[#Headers],[Category]], 0, 2)</f>
        <v>QLD</v>
      </c>
      <c r="G108" s="29" t="str" cm="1">
        <f t="array" ref="G108">Common_InputFunctions.Utility_DisplayArrayInTable(Scope3_SourceData.Scope3_Feed_Data(), Table_SourceData_Scope3_Feed[[#Headers],[Category]], 0, 2)</f>
        <v>kg</v>
      </c>
      <c r="H108" s="29" cm="1">
        <f t="array" ref="H108">Common_InputFunctions.Utility_DisplayArrayInTable(Scope3_SourceData.Scope3_Feed_Data(), Table_SourceData_Scope3_Feed[[#Headers],[Category]], 0, 2)</f>
        <v>0.23100000000000001</v>
      </c>
      <c r="I108" s="29" t="str" cm="1">
        <f t="array" ref="I108">Common_InputFunctions.Utility_DisplayArrayInTable(Scope3_SourceData.Scope3_Feed_Data(), Table_SourceData_Scope3_Feed[[#Headers],[Category]], 0, 2)</f>
        <v>at market</v>
      </c>
      <c r="N108" s="29" t="str">
        <f>Table_SourceData_Scope3_Feed[[#This Row],[Product]]</f>
        <v>Sorghum grain</v>
      </c>
      <c r="O108" s="29" t="str">
        <f>Table_SourceData_Scope3_Feed[[#This Row],[Region of origin]]</f>
        <v>QLD</v>
      </c>
    </row>
    <row r="109" spans="1:16" ht="20.100000000000001" customHeight="1" x14ac:dyDescent="0.25">
      <c r="A109"/>
      <c r="D109" s="29" t="str" cm="1">
        <f t="array" ref="D109">Common_InputFunctions.Utility_DisplayArrayInTable(Scope3_SourceData.Scope3_Feed_Data(), Table_SourceData_Scope3_Feed[[#Headers],[Category]], 0, 2)</f>
        <v>Grain</v>
      </c>
      <c r="E109" s="29" t="str" cm="1">
        <f t="array" ref="E109">Common_InputFunctions.Utility_DisplayArrayInTable(Scope3_SourceData.Scope3_Feed_Data(), Table_SourceData_Scope3_Feed[[#Headers],[Category]], 0, 2)</f>
        <v>Sorghum grain</v>
      </c>
      <c r="F109" s="29" t="str" cm="1">
        <f t="array" ref="F109">Common_InputFunctions.Utility_DisplayArrayInTable(Scope3_SourceData.Scope3_Feed_Data(), Table_SourceData_Scope3_Feed[[#Headers],[Category]], 0, 2)</f>
        <v>SA</v>
      </c>
      <c r="G109" s="29" t="str" cm="1">
        <f t="array" ref="G109">Common_InputFunctions.Utility_DisplayArrayInTable(Scope3_SourceData.Scope3_Feed_Data(), Table_SourceData_Scope3_Feed[[#Headers],[Category]], 0, 2)</f>
        <v>kg</v>
      </c>
      <c r="H109" s="29" cm="1">
        <f t="array" ref="H109">Common_InputFunctions.Utility_DisplayArrayInTable(Scope3_SourceData.Scope3_Feed_Data(), Table_SourceData_Scope3_Feed[[#Headers],[Category]], 0, 2)</f>
        <v>0.218</v>
      </c>
      <c r="I109" s="29" t="str" cm="1">
        <f t="array" ref="I109">Common_InputFunctions.Utility_DisplayArrayInTable(Scope3_SourceData.Scope3_Feed_Data(), Table_SourceData_Scope3_Feed[[#Headers],[Category]], 0, 2)</f>
        <v>at market</v>
      </c>
      <c r="N109" s="29" t="str">
        <f>Table_SourceData_Scope3_Feed[[#This Row],[Product]]</f>
        <v>Sorghum grain</v>
      </c>
      <c r="O109" s="29" t="str">
        <f>Table_SourceData_Scope3_Feed[[#This Row],[Region of origin]]</f>
        <v>SA</v>
      </c>
    </row>
    <row r="110" spans="1:16" ht="20.100000000000001" customHeight="1" x14ac:dyDescent="0.25">
      <c r="A110"/>
      <c r="D110" s="29" t="str" cm="1">
        <f t="array" ref="D110">Common_InputFunctions.Utility_DisplayArrayInTable(Scope3_SourceData.Scope3_Feed_Data(), Table_SourceData_Scope3_Feed[[#Headers],[Category]], 0, 2)</f>
        <v>Grain</v>
      </c>
      <c r="E110" s="29" t="str" cm="1">
        <f t="array" ref="E110">Common_InputFunctions.Utility_DisplayArrayInTable(Scope3_SourceData.Scope3_Feed_Data(), Table_SourceData_Scope3_Feed[[#Headers],[Category]], 0, 2)</f>
        <v>Sorghum grain</v>
      </c>
      <c r="F110" s="29" t="str" cm="1">
        <f t="array" ref="F110">Common_InputFunctions.Utility_DisplayArrayInTable(Scope3_SourceData.Scope3_Feed_Data(), Table_SourceData_Scope3_Feed[[#Headers],[Category]], 0, 2)</f>
        <v>VIC</v>
      </c>
      <c r="G110" s="29" t="str" cm="1">
        <f t="array" ref="G110">Common_InputFunctions.Utility_DisplayArrayInTable(Scope3_SourceData.Scope3_Feed_Data(), Table_SourceData_Scope3_Feed[[#Headers],[Category]], 0, 2)</f>
        <v>kg</v>
      </c>
      <c r="H110" s="29" cm="1">
        <f t="array" ref="H110">Common_InputFunctions.Utility_DisplayArrayInTable(Scope3_SourceData.Scope3_Feed_Data(), Table_SourceData_Scope3_Feed[[#Headers],[Category]], 0, 2)</f>
        <v>0.246</v>
      </c>
      <c r="I110" s="29" t="str" cm="1">
        <f t="array" ref="I110">Common_InputFunctions.Utility_DisplayArrayInTable(Scope3_SourceData.Scope3_Feed_Data(), Table_SourceData_Scope3_Feed[[#Headers],[Category]], 0, 2)</f>
        <v>at market</v>
      </c>
      <c r="K110" s="29" t="s">
        <v>138</v>
      </c>
      <c r="L110" s="29" t="s">
        <v>1264</v>
      </c>
      <c r="M110" s="1" t="str">
        <f>"Table_ProductRegions_" &amp; SUBSTITUTE(SUBSTITUTE(SUBSTITUTE(SUBSTITUTE(K111, " ", ""), ",", ""), "(", ""), ")", "")</f>
        <v>Table_ProductRegions_Wheatgrain</v>
      </c>
      <c r="N110" s="29" t="str">
        <f>Table_SourceData_Scope3_Feed[[#This Row],[Product]]</f>
        <v>Sorghum grain</v>
      </c>
      <c r="O110" s="29" t="str">
        <f>Table_SourceData_Scope3_Feed[[#This Row],[Region of origin]]</f>
        <v>VIC</v>
      </c>
    </row>
    <row r="111" spans="1:16" ht="20.100000000000001" customHeight="1" x14ac:dyDescent="0.25">
      <c r="A111"/>
      <c r="D111" s="29" t="str" cm="1">
        <f t="array" ref="D111">Common_InputFunctions.Utility_DisplayArrayInTable(Scope3_SourceData.Scope3_Feed_Data(), Table_SourceData_Scope3_Feed[[#Headers],[Category]], 0, 2)</f>
        <v>Grain</v>
      </c>
      <c r="E111" s="29" t="str" cm="1">
        <f t="array" ref="E111">Common_InputFunctions.Utility_DisplayArrayInTable(Scope3_SourceData.Scope3_Feed_Data(), Table_SourceData_Scope3_Feed[[#Headers],[Category]], 0, 2)</f>
        <v>Wheat grain</v>
      </c>
      <c r="F111" s="29" t="str" cm="1">
        <f t="array" ref="F111">Common_InputFunctions.Utility_DisplayArrayInTable(Scope3_SourceData.Scope3_Feed_Data(), Table_SourceData_Scope3_Feed[[#Headers],[Category]], 0, 2)</f>
        <v>Australia</v>
      </c>
      <c r="G111" s="29" t="str" cm="1">
        <f t="array" ref="G111">Common_InputFunctions.Utility_DisplayArrayInTable(Scope3_SourceData.Scope3_Feed_Data(), Table_SourceData_Scope3_Feed[[#Headers],[Category]], 0, 2)</f>
        <v>kg</v>
      </c>
      <c r="H111" s="29" cm="1">
        <f t="array" ref="H111">Common_InputFunctions.Utility_DisplayArrayInTable(Scope3_SourceData.Scope3_Feed_Data(), Table_SourceData_Scope3_Feed[[#Headers],[Category]], 0, 2)</f>
        <v>0.26800000000000002</v>
      </c>
      <c r="I111" s="29" t="str" cm="1">
        <f t="array" ref="I111">Common_InputFunctions.Utility_DisplayArrayInTable(Scope3_SourceData.Scope3_Feed_Data(), Table_SourceData_Scope3_Feed[[#Headers],[Category]], 0, 2)</f>
        <v>at market</v>
      </c>
      <c r="K111" s="29" t="str">
        <f>Table_SourceData_Scope3_Feed[[#This Row],[Product]]</f>
        <v>Wheat grain</v>
      </c>
      <c r="L111" s="29" t="str">
        <f>Table_SourceData_Scope3_Feed[[#This Row],[Region of origin]]</f>
        <v>Australia</v>
      </c>
    </row>
    <row r="112" spans="1:16" ht="20.100000000000001" customHeight="1" x14ac:dyDescent="0.25">
      <c r="A112"/>
      <c r="D112" s="29" t="str" cm="1">
        <f t="array" ref="D112">Common_InputFunctions.Utility_DisplayArrayInTable(Scope3_SourceData.Scope3_Feed_Data(), Table_SourceData_Scope3_Feed[[#Headers],[Category]], 0, 2)</f>
        <v>Grain</v>
      </c>
      <c r="E112" s="29" t="str" cm="1">
        <f t="array" ref="E112">Common_InputFunctions.Utility_DisplayArrayInTable(Scope3_SourceData.Scope3_Feed_Data(), Table_SourceData_Scope3_Feed[[#Headers],[Category]], 0, 2)</f>
        <v>Wheat grain</v>
      </c>
      <c r="F112" s="29" t="str" cm="1">
        <f t="array" ref="F112">Common_InputFunctions.Utility_DisplayArrayInTable(Scope3_SourceData.Scope3_Feed_Data(), Table_SourceData_Scope3_Feed[[#Headers],[Category]], 0, 2)</f>
        <v>NSW</v>
      </c>
      <c r="G112" s="29" t="str" cm="1">
        <f t="array" ref="G112">Common_InputFunctions.Utility_DisplayArrayInTable(Scope3_SourceData.Scope3_Feed_Data(), Table_SourceData_Scope3_Feed[[#Headers],[Category]], 0, 2)</f>
        <v>kg</v>
      </c>
      <c r="H112" s="29" cm="1">
        <f t="array" ref="H112">Common_InputFunctions.Utility_DisplayArrayInTable(Scope3_SourceData.Scope3_Feed_Data(), Table_SourceData_Scope3_Feed[[#Headers],[Category]], 0, 2)</f>
        <v>0.28199999999999997</v>
      </c>
      <c r="I112" s="29" t="str" cm="1">
        <f t="array" ref="I112">Common_InputFunctions.Utility_DisplayArrayInTable(Scope3_SourceData.Scope3_Feed_Data(), Table_SourceData_Scope3_Feed[[#Headers],[Category]], 0, 2)</f>
        <v>at market</v>
      </c>
      <c r="K112" s="29" t="str">
        <f>Table_SourceData_Scope3_Feed[[#This Row],[Product]]</f>
        <v>Wheat grain</v>
      </c>
      <c r="L112" s="29" t="str">
        <f>Table_SourceData_Scope3_Feed[[#This Row],[Region of origin]]</f>
        <v>NSW</v>
      </c>
    </row>
    <row r="113" spans="1:16" ht="20.100000000000001" customHeight="1" x14ac:dyDescent="0.25">
      <c r="A113"/>
      <c r="D113" s="29" t="str" cm="1">
        <f t="array" ref="D113">Common_InputFunctions.Utility_DisplayArrayInTable(Scope3_SourceData.Scope3_Feed_Data(), Table_SourceData_Scope3_Feed[[#Headers],[Category]], 0, 2)</f>
        <v>Grain</v>
      </c>
      <c r="E113" s="29" t="str" cm="1">
        <f t="array" ref="E113">Common_InputFunctions.Utility_DisplayArrayInTable(Scope3_SourceData.Scope3_Feed_Data(), Table_SourceData_Scope3_Feed[[#Headers],[Category]], 0, 2)</f>
        <v>Wheat grain</v>
      </c>
      <c r="F113" s="29" t="str" cm="1">
        <f t="array" ref="F113">Common_InputFunctions.Utility_DisplayArrayInTable(Scope3_SourceData.Scope3_Feed_Data(), Table_SourceData_Scope3_Feed[[#Headers],[Category]], 0, 2)</f>
        <v>NT</v>
      </c>
      <c r="G113" s="29" t="str" cm="1">
        <f t="array" ref="G113">Common_InputFunctions.Utility_DisplayArrayInTable(Scope3_SourceData.Scope3_Feed_Data(), Table_SourceData_Scope3_Feed[[#Headers],[Category]], 0, 2)</f>
        <v>kg</v>
      </c>
      <c r="H113" s="29" cm="1">
        <f t="array" ref="H113">Common_InputFunctions.Utility_DisplayArrayInTable(Scope3_SourceData.Scope3_Feed_Data(), Table_SourceData_Scope3_Feed[[#Headers],[Category]], 0, 2)</f>
        <v>0.38500000000000001</v>
      </c>
      <c r="I113" s="29" t="str" cm="1">
        <f t="array" ref="I113">Common_InputFunctions.Utility_DisplayArrayInTable(Scope3_SourceData.Scope3_Feed_Data(), Table_SourceData_Scope3_Feed[[#Headers],[Category]], 0, 2)</f>
        <v>at market</v>
      </c>
      <c r="K113" s="29" t="str">
        <f>Table_SourceData_Scope3_Feed[[#This Row],[Product]]</f>
        <v>Wheat grain</v>
      </c>
      <c r="L113" s="29" t="str">
        <f>Table_SourceData_Scope3_Feed[[#This Row],[Region of origin]]</f>
        <v>NT</v>
      </c>
    </row>
    <row r="114" spans="1:16" ht="20.100000000000001" customHeight="1" x14ac:dyDescent="0.25">
      <c r="A114"/>
      <c r="D114" s="29" t="str" cm="1">
        <f t="array" ref="D114">Common_InputFunctions.Utility_DisplayArrayInTable(Scope3_SourceData.Scope3_Feed_Data(), Table_SourceData_Scope3_Feed[[#Headers],[Category]], 0, 2)</f>
        <v>Grain</v>
      </c>
      <c r="E114" s="29" t="str" cm="1">
        <f t="array" ref="E114">Common_InputFunctions.Utility_DisplayArrayInTable(Scope3_SourceData.Scope3_Feed_Data(), Table_SourceData_Scope3_Feed[[#Headers],[Category]], 0, 2)</f>
        <v>Wheat grain</v>
      </c>
      <c r="F114" s="29" t="str" cm="1">
        <f t="array" ref="F114">Common_InputFunctions.Utility_DisplayArrayInTable(Scope3_SourceData.Scope3_Feed_Data(), Table_SourceData_Scope3_Feed[[#Headers],[Category]], 0, 2)</f>
        <v>QLD</v>
      </c>
      <c r="G114" s="29" t="str" cm="1">
        <f t="array" ref="G114">Common_InputFunctions.Utility_DisplayArrayInTable(Scope3_SourceData.Scope3_Feed_Data(), Table_SourceData_Scope3_Feed[[#Headers],[Category]], 0, 2)</f>
        <v>kg</v>
      </c>
      <c r="H114" s="29" cm="1">
        <f t="array" ref="H114">Common_InputFunctions.Utility_DisplayArrayInTable(Scope3_SourceData.Scope3_Feed_Data(), Table_SourceData_Scope3_Feed[[#Headers],[Category]], 0, 2)</f>
        <v>0.29599999999999999</v>
      </c>
      <c r="I114" s="29" t="str" cm="1">
        <f t="array" ref="I114">Common_InputFunctions.Utility_DisplayArrayInTable(Scope3_SourceData.Scope3_Feed_Data(), Table_SourceData_Scope3_Feed[[#Headers],[Category]], 0, 2)</f>
        <v>at market</v>
      </c>
      <c r="K114" s="29" t="str">
        <f>Table_SourceData_Scope3_Feed[[#This Row],[Product]]</f>
        <v>Wheat grain</v>
      </c>
      <c r="L114" s="29" t="str">
        <f>Table_SourceData_Scope3_Feed[[#This Row],[Region of origin]]</f>
        <v>QLD</v>
      </c>
    </row>
    <row r="115" spans="1:16" ht="20.100000000000001" customHeight="1" x14ac:dyDescent="0.25">
      <c r="A115"/>
      <c r="D115" s="29" t="str" cm="1">
        <f t="array" ref="D115">Common_InputFunctions.Utility_DisplayArrayInTable(Scope3_SourceData.Scope3_Feed_Data(), Table_SourceData_Scope3_Feed[[#Headers],[Category]], 0, 2)</f>
        <v>Grain</v>
      </c>
      <c r="E115" s="29" t="str" cm="1">
        <f t="array" ref="E115">Common_InputFunctions.Utility_DisplayArrayInTable(Scope3_SourceData.Scope3_Feed_Data(), Table_SourceData_Scope3_Feed[[#Headers],[Category]], 0, 2)</f>
        <v>Wheat grain</v>
      </c>
      <c r="F115" s="29" t="str" cm="1">
        <f t="array" ref="F115">Common_InputFunctions.Utility_DisplayArrayInTable(Scope3_SourceData.Scope3_Feed_Data(), Table_SourceData_Scope3_Feed[[#Headers],[Category]], 0, 2)</f>
        <v>SA</v>
      </c>
      <c r="G115" s="29" t="str" cm="1">
        <f t="array" ref="G115">Common_InputFunctions.Utility_DisplayArrayInTable(Scope3_SourceData.Scope3_Feed_Data(), Table_SourceData_Scope3_Feed[[#Headers],[Category]], 0, 2)</f>
        <v>kg</v>
      </c>
      <c r="H115" s="29" cm="1">
        <f t="array" ref="H115">Common_InputFunctions.Utility_DisplayArrayInTable(Scope3_SourceData.Scope3_Feed_Data(), Table_SourceData_Scope3_Feed[[#Headers],[Category]], 0, 2)</f>
        <v>0.24099999999999999</v>
      </c>
      <c r="I115" s="29" t="str" cm="1">
        <f t="array" ref="I115">Common_InputFunctions.Utility_DisplayArrayInTable(Scope3_SourceData.Scope3_Feed_Data(), Table_SourceData_Scope3_Feed[[#Headers],[Category]], 0, 2)</f>
        <v>at market</v>
      </c>
      <c r="K115" s="29" t="str">
        <f>Table_SourceData_Scope3_Feed[[#This Row],[Product]]</f>
        <v>Wheat grain</v>
      </c>
      <c r="L115" s="29" t="str">
        <f>Table_SourceData_Scope3_Feed[[#This Row],[Region of origin]]</f>
        <v>SA</v>
      </c>
    </row>
    <row r="116" spans="1:16" ht="20.100000000000001" customHeight="1" x14ac:dyDescent="0.25">
      <c r="A116"/>
      <c r="D116" s="29" t="str" cm="1">
        <f t="array" ref="D116">Common_InputFunctions.Utility_DisplayArrayInTable(Scope3_SourceData.Scope3_Feed_Data(), Table_SourceData_Scope3_Feed[[#Headers],[Category]], 0, 2)</f>
        <v>Grain</v>
      </c>
      <c r="E116" s="29" t="str" cm="1">
        <f t="array" ref="E116">Common_InputFunctions.Utility_DisplayArrayInTable(Scope3_SourceData.Scope3_Feed_Data(), Table_SourceData_Scope3_Feed[[#Headers],[Category]], 0, 2)</f>
        <v>Wheat grain</v>
      </c>
      <c r="F116" s="29" t="str" cm="1">
        <f t="array" ref="F116">Common_InputFunctions.Utility_DisplayArrayInTable(Scope3_SourceData.Scope3_Feed_Data(), Table_SourceData_Scope3_Feed[[#Headers],[Category]], 0, 2)</f>
        <v>TAS</v>
      </c>
      <c r="G116" s="29" t="str" cm="1">
        <f t="array" ref="G116">Common_InputFunctions.Utility_DisplayArrayInTable(Scope3_SourceData.Scope3_Feed_Data(), Table_SourceData_Scope3_Feed[[#Headers],[Category]], 0, 2)</f>
        <v>kg</v>
      </c>
      <c r="H116" s="29" cm="1">
        <f t="array" ref="H116">Common_InputFunctions.Utility_DisplayArrayInTable(Scope3_SourceData.Scope3_Feed_Data(), Table_SourceData_Scope3_Feed[[#Headers],[Category]], 0, 2)</f>
        <v>0.33800000000000002</v>
      </c>
      <c r="I116" s="29" t="str" cm="1">
        <f t="array" ref="I116">Common_InputFunctions.Utility_DisplayArrayInTable(Scope3_SourceData.Scope3_Feed_Data(), Table_SourceData_Scope3_Feed[[#Headers],[Category]], 0, 2)</f>
        <v>at market</v>
      </c>
      <c r="K116" s="29" t="str">
        <f>Table_SourceData_Scope3_Feed[[#This Row],[Product]]</f>
        <v>Wheat grain</v>
      </c>
      <c r="L116" s="29" t="str">
        <f>Table_SourceData_Scope3_Feed[[#This Row],[Region of origin]]</f>
        <v>TAS</v>
      </c>
    </row>
    <row r="117" spans="1:16" ht="20.100000000000001" customHeight="1" x14ac:dyDescent="0.25">
      <c r="A117"/>
      <c r="D117" s="29" t="str" cm="1">
        <f t="array" ref="D117">Common_InputFunctions.Utility_DisplayArrayInTable(Scope3_SourceData.Scope3_Feed_Data(), Table_SourceData_Scope3_Feed[[#Headers],[Category]], 0, 2)</f>
        <v>Grain</v>
      </c>
      <c r="E117" s="29" t="str" cm="1">
        <f t="array" ref="E117">Common_InputFunctions.Utility_DisplayArrayInTable(Scope3_SourceData.Scope3_Feed_Data(), Table_SourceData_Scope3_Feed[[#Headers],[Category]], 0, 2)</f>
        <v>Wheat grain</v>
      </c>
      <c r="F117" s="29" t="str" cm="1">
        <f t="array" ref="F117">Common_InputFunctions.Utility_DisplayArrayInTable(Scope3_SourceData.Scope3_Feed_Data(), Table_SourceData_Scope3_Feed[[#Headers],[Category]], 0, 2)</f>
        <v>VIC</v>
      </c>
      <c r="G117" s="29" t="str" cm="1">
        <f t="array" ref="G117">Common_InputFunctions.Utility_DisplayArrayInTable(Scope3_SourceData.Scope3_Feed_Data(), Table_SourceData_Scope3_Feed[[#Headers],[Category]], 0, 2)</f>
        <v>kg</v>
      </c>
      <c r="H117" s="29" cm="1">
        <f t="array" ref="H117">Common_InputFunctions.Utility_DisplayArrayInTable(Scope3_SourceData.Scope3_Feed_Data(), Table_SourceData_Scope3_Feed[[#Headers],[Category]], 0, 2)</f>
        <v>0.26600000000000001</v>
      </c>
      <c r="I117" s="29" t="str" cm="1">
        <f t="array" ref="I117">Common_InputFunctions.Utility_DisplayArrayInTable(Scope3_SourceData.Scope3_Feed_Data(), Table_SourceData_Scope3_Feed[[#Headers],[Category]], 0, 2)</f>
        <v>at market</v>
      </c>
      <c r="K117" s="29" t="str">
        <f>Table_SourceData_Scope3_Feed[[#This Row],[Product]]</f>
        <v>Wheat grain</v>
      </c>
      <c r="L117" s="29" t="str">
        <f>Table_SourceData_Scope3_Feed[[#This Row],[Region of origin]]</f>
        <v>VIC</v>
      </c>
    </row>
    <row r="118" spans="1:16" ht="20.100000000000001" customHeight="1" x14ac:dyDescent="0.25">
      <c r="A118"/>
      <c r="D118" s="29" t="str" cm="1">
        <f t="array" ref="D118">Common_InputFunctions.Utility_DisplayArrayInTable(Scope3_SourceData.Scope3_Feed_Data(), Table_SourceData_Scope3_Feed[[#Headers],[Category]], 0, 2)</f>
        <v>Grain</v>
      </c>
      <c r="E118" s="29" t="str" cm="1">
        <f t="array" ref="E118">Common_InputFunctions.Utility_DisplayArrayInTable(Scope3_SourceData.Scope3_Feed_Data(), Table_SourceData_Scope3_Feed[[#Headers],[Category]], 0, 2)</f>
        <v>Wheat grain</v>
      </c>
      <c r="F118" s="29" t="str" cm="1">
        <f t="array" ref="F118">Common_InputFunctions.Utility_DisplayArrayInTable(Scope3_SourceData.Scope3_Feed_Data(), Table_SourceData_Scope3_Feed[[#Headers],[Category]], 0, 2)</f>
        <v>WA</v>
      </c>
      <c r="G118" s="29" t="str" cm="1">
        <f t="array" ref="G118">Common_InputFunctions.Utility_DisplayArrayInTable(Scope3_SourceData.Scope3_Feed_Data(), Table_SourceData_Scope3_Feed[[#Headers],[Category]], 0, 2)</f>
        <v>kg</v>
      </c>
      <c r="H118" s="29" cm="1">
        <f t="array" ref="H118">Common_InputFunctions.Utility_DisplayArrayInTable(Scope3_SourceData.Scope3_Feed_Data(), Table_SourceData_Scope3_Feed[[#Headers],[Category]], 0, 2)</f>
        <v>0.26100000000000001</v>
      </c>
      <c r="I118" s="29" t="str" cm="1">
        <f t="array" ref="I118">Common_InputFunctions.Utility_DisplayArrayInTable(Scope3_SourceData.Scope3_Feed_Data(), Table_SourceData_Scope3_Feed[[#Headers],[Category]], 0, 2)</f>
        <v>at market</v>
      </c>
      <c r="K118" s="29" t="str">
        <f>Table_SourceData_Scope3_Feed[[#This Row],[Product]]</f>
        <v>Wheat grain</v>
      </c>
      <c r="L118" s="29" t="str">
        <f>Table_SourceData_Scope3_Feed[[#This Row],[Region of origin]]</f>
        <v>WA</v>
      </c>
      <c r="N118" s="29" t="s">
        <v>138</v>
      </c>
      <c r="O118" s="29" t="s">
        <v>1264</v>
      </c>
      <c r="P118" s="1" t="str">
        <f>"Table_ProductRegions_" &amp; SUBSTITUTE(SUBSTITUTE(SUBSTITUTE(SUBSTITUTE(N119, " ", ""), ",", ""), "(", ""), ")", "")</f>
        <v>Table_ProductRegions_Cerealhay</v>
      </c>
    </row>
    <row r="119" spans="1:16" ht="20.100000000000001" customHeight="1" x14ac:dyDescent="0.25">
      <c r="A119"/>
      <c r="D119" s="29" t="str" cm="1">
        <f t="array" ref="D119">Common_InputFunctions.Utility_DisplayArrayInTable(Scope3_SourceData.Scope3_Feed_Data(), Table_SourceData_Scope3_Feed[[#Headers],[Category]], 0, 2)</f>
        <v>Hay</v>
      </c>
      <c r="E119" s="29" t="str" cm="1">
        <f t="array" ref="E119">Common_InputFunctions.Utility_DisplayArrayInTable(Scope3_SourceData.Scope3_Feed_Data(), Table_SourceData_Scope3_Feed[[#Headers],[Category]], 0, 2)</f>
        <v>Cereal hay</v>
      </c>
      <c r="F119" s="29" t="str" cm="1">
        <f t="array" ref="F119">Common_InputFunctions.Utility_DisplayArrayInTable(Scope3_SourceData.Scope3_Feed_Data(), Table_SourceData_Scope3_Feed[[#Headers],[Category]], 0, 2)</f>
        <v>Australia</v>
      </c>
      <c r="G119" s="29" t="str" cm="1">
        <f t="array" ref="G119">Common_InputFunctions.Utility_DisplayArrayInTable(Scope3_SourceData.Scope3_Feed_Data(), Table_SourceData_Scope3_Feed[[#Headers],[Category]], 0, 2)</f>
        <v>kg</v>
      </c>
      <c r="H119" s="29" cm="1">
        <f t="array" ref="H119">Common_InputFunctions.Utility_DisplayArrayInTable(Scope3_SourceData.Scope3_Feed_Data(), Table_SourceData_Scope3_Feed[[#Headers],[Category]], 0, 2)</f>
        <v>0.11700000000000001</v>
      </c>
      <c r="I119" s="29" t="str" cm="1">
        <f t="array" ref="I119">Common_InputFunctions.Utility_DisplayArrayInTable(Scope3_SourceData.Scope3_Feed_Data(), Table_SourceData_Scope3_Feed[[#Headers],[Category]], 0, 2)</f>
        <v>at market</v>
      </c>
      <c r="N119" s="29" t="str">
        <f>Table_SourceData_Scope3_Feed[[#This Row],[Product]]</f>
        <v>Cereal hay</v>
      </c>
      <c r="O119" s="29" t="str">
        <f>Table_SourceData_Scope3_Feed[[#This Row],[Region of origin]]</f>
        <v>Australia</v>
      </c>
    </row>
    <row r="120" spans="1:16" ht="20.100000000000001" customHeight="1" x14ac:dyDescent="0.25">
      <c r="A120"/>
      <c r="D120" s="29" t="str" cm="1">
        <f t="array" ref="D120">Common_InputFunctions.Utility_DisplayArrayInTable(Scope3_SourceData.Scope3_Feed_Data(), Table_SourceData_Scope3_Feed[[#Headers],[Category]], 0, 2)</f>
        <v>Hay</v>
      </c>
      <c r="E120" s="29" t="str" cm="1">
        <f t="array" ref="E120">Common_InputFunctions.Utility_DisplayArrayInTable(Scope3_SourceData.Scope3_Feed_Data(), Table_SourceData_Scope3_Feed[[#Headers],[Category]], 0, 2)</f>
        <v>Cereal hay</v>
      </c>
      <c r="F120" s="29" t="str" cm="1">
        <f t="array" ref="F120">Common_InputFunctions.Utility_DisplayArrayInTable(Scope3_SourceData.Scope3_Feed_Data(), Table_SourceData_Scope3_Feed[[#Headers],[Category]], 0, 2)</f>
        <v>NSW</v>
      </c>
      <c r="G120" s="29" t="str" cm="1">
        <f t="array" ref="G120">Common_InputFunctions.Utility_DisplayArrayInTable(Scope3_SourceData.Scope3_Feed_Data(), Table_SourceData_Scope3_Feed[[#Headers],[Category]], 0, 2)</f>
        <v>kg</v>
      </c>
      <c r="H120" s="29" cm="1">
        <f t="array" ref="H120">Common_InputFunctions.Utility_DisplayArrayInTable(Scope3_SourceData.Scope3_Feed_Data(), Table_SourceData_Scope3_Feed[[#Headers],[Category]], 0, 2)</f>
        <v>0.11600000000000001</v>
      </c>
      <c r="I120" s="29" t="str" cm="1">
        <f t="array" ref="I120">Common_InputFunctions.Utility_DisplayArrayInTable(Scope3_SourceData.Scope3_Feed_Data(), Table_SourceData_Scope3_Feed[[#Headers],[Category]], 0, 2)</f>
        <v>at market</v>
      </c>
      <c r="N120" s="29" t="str">
        <f>Table_SourceData_Scope3_Feed[[#This Row],[Product]]</f>
        <v>Cereal hay</v>
      </c>
      <c r="O120" s="29" t="str">
        <f>Table_SourceData_Scope3_Feed[[#This Row],[Region of origin]]</f>
        <v>NSW</v>
      </c>
    </row>
    <row r="121" spans="1:16" ht="20.100000000000001" customHeight="1" x14ac:dyDescent="0.25">
      <c r="A121"/>
      <c r="D121" s="29" t="str" cm="1">
        <f t="array" ref="D121">Common_InputFunctions.Utility_DisplayArrayInTable(Scope3_SourceData.Scope3_Feed_Data(), Table_SourceData_Scope3_Feed[[#Headers],[Category]], 0, 2)</f>
        <v>Hay</v>
      </c>
      <c r="E121" s="29" t="str" cm="1">
        <f t="array" ref="E121">Common_InputFunctions.Utility_DisplayArrayInTable(Scope3_SourceData.Scope3_Feed_Data(), Table_SourceData_Scope3_Feed[[#Headers],[Category]], 0, 2)</f>
        <v>Cereal hay</v>
      </c>
      <c r="F121" s="29" t="str" cm="1">
        <f t="array" ref="F121">Common_InputFunctions.Utility_DisplayArrayInTable(Scope3_SourceData.Scope3_Feed_Data(), Table_SourceData_Scope3_Feed[[#Headers],[Category]], 0, 2)</f>
        <v>QLD</v>
      </c>
      <c r="G121" s="29" t="str" cm="1">
        <f t="array" ref="G121">Common_InputFunctions.Utility_DisplayArrayInTable(Scope3_SourceData.Scope3_Feed_Data(), Table_SourceData_Scope3_Feed[[#Headers],[Category]], 0, 2)</f>
        <v>kg</v>
      </c>
      <c r="H121" s="29" cm="1">
        <f t="array" ref="H121">Common_InputFunctions.Utility_DisplayArrayInTable(Scope3_SourceData.Scope3_Feed_Data(), Table_SourceData_Scope3_Feed[[#Headers],[Category]], 0, 2)</f>
        <v>0.11799999999999999</v>
      </c>
      <c r="I121" s="29" t="str" cm="1">
        <f t="array" ref="I121">Common_InputFunctions.Utility_DisplayArrayInTable(Scope3_SourceData.Scope3_Feed_Data(), Table_SourceData_Scope3_Feed[[#Headers],[Category]], 0, 2)</f>
        <v>at market</v>
      </c>
      <c r="N121" s="29" t="str">
        <f>Table_SourceData_Scope3_Feed[[#This Row],[Product]]</f>
        <v>Cereal hay</v>
      </c>
      <c r="O121" s="29" t="str">
        <f>Table_SourceData_Scope3_Feed[[#This Row],[Region of origin]]</f>
        <v>QLD</v>
      </c>
    </row>
    <row r="122" spans="1:16" ht="20.100000000000001" customHeight="1" x14ac:dyDescent="0.25">
      <c r="A122"/>
      <c r="D122" s="29" t="str" cm="1">
        <f t="array" ref="D122">Common_InputFunctions.Utility_DisplayArrayInTable(Scope3_SourceData.Scope3_Feed_Data(), Table_SourceData_Scope3_Feed[[#Headers],[Category]], 0, 2)</f>
        <v>Hay</v>
      </c>
      <c r="E122" s="29" t="str" cm="1">
        <f t="array" ref="E122">Common_InputFunctions.Utility_DisplayArrayInTable(Scope3_SourceData.Scope3_Feed_Data(), Table_SourceData_Scope3_Feed[[#Headers],[Category]], 0, 2)</f>
        <v>Cereal hay</v>
      </c>
      <c r="F122" s="29" t="str" cm="1">
        <f t="array" ref="F122">Common_InputFunctions.Utility_DisplayArrayInTable(Scope3_SourceData.Scope3_Feed_Data(), Table_SourceData_Scope3_Feed[[#Headers],[Category]], 0, 2)</f>
        <v>SA</v>
      </c>
      <c r="G122" s="29" t="str" cm="1">
        <f t="array" ref="G122">Common_InputFunctions.Utility_DisplayArrayInTable(Scope3_SourceData.Scope3_Feed_Data(), Table_SourceData_Scope3_Feed[[#Headers],[Category]], 0, 2)</f>
        <v>kg</v>
      </c>
      <c r="H122" s="29" cm="1">
        <f t="array" ref="H122">Common_InputFunctions.Utility_DisplayArrayInTable(Scope3_SourceData.Scope3_Feed_Data(), Table_SourceData_Scope3_Feed[[#Headers],[Category]], 0, 2)</f>
        <v>0.111</v>
      </c>
      <c r="I122" s="29" t="str" cm="1">
        <f t="array" ref="I122">Common_InputFunctions.Utility_DisplayArrayInTable(Scope3_SourceData.Scope3_Feed_Data(), Table_SourceData_Scope3_Feed[[#Headers],[Category]], 0, 2)</f>
        <v>at market</v>
      </c>
      <c r="N122" s="29" t="str">
        <f>Table_SourceData_Scope3_Feed[[#This Row],[Product]]</f>
        <v>Cereal hay</v>
      </c>
      <c r="O122" s="29" t="str">
        <f>Table_SourceData_Scope3_Feed[[#This Row],[Region of origin]]</f>
        <v>SA</v>
      </c>
    </row>
    <row r="123" spans="1:16" ht="20.100000000000001" customHeight="1" x14ac:dyDescent="0.25">
      <c r="A123"/>
      <c r="D123" s="29" t="str" cm="1">
        <f t="array" ref="D123">Common_InputFunctions.Utility_DisplayArrayInTable(Scope3_SourceData.Scope3_Feed_Data(), Table_SourceData_Scope3_Feed[[#Headers],[Category]], 0, 2)</f>
        <v>Hay</v>
      </c>
      <c r="E123" s="29" t="str" cm="1">
        <f t="array" ref="E123">Common_InputFunctions.Utility_DisplayArrayInTable(Scope3_SourceData.Scope3_Feed_Data(), Table_SourceData_Scope3_Feed[[#Headers],[Category]], 0, 2)</f>
        <v>Cereal hay</v>
      </c>
      <c r="F123" s="29" t="str" cm="1">
        <f t="array" ref="F123">Common_InputFunctions.Utility_DisplayArrayInTable(Scope3_SourceData.Scope3_Feed_Data(), Table_SourceData_Scope3_Feed[[#Headers],[Category]], 0, 2)</f>
        <v>TAS</v>
      </c>
      <c r="G123" s="29" t="str" cm="1">
        <f t="array" ref="G123">Common_InputFunctions.Utility_DisplayArrayInTable(Scope3_SourceData.Scope3_Feed_Data(), Table_SourceData_Scope3_Feed[[#Headers],[Category]], 0, 2)</f>
        <v>kg</v>
      </c>
      <c r="H123" s="29" cm="1">
        <f t="array" ref="H123">Common_InputFunctions.Utility_DisplayArrayInTable(Scope3_SourceData.Scope3_Feed_Data(), Table_SourceData_Scope3_Feed[[#Headers],[Category]], 0, 2)</f>
        <v>0.13900000000000001</v>
      </c>
      <c r="I123" s="29" t="str" cm="1">
        <f t="array" ref="I123">Common_InputFunctions.Utility_DisplayArrayInTable(Scope3_SourceData.Scope3_Feed_Data(), Table_SourceData_Scope3_Feed[[#Headers],[Category]], 0, 2)</f>
        <v>at market</v>
      </c>
      <c r="N123" s="29" t="str">
        <f>Table_SourceData_Scope3_Feed[[#This Row],[Product]]</f>
        <v>Cereal hay</v>
      </c>
      <c r="O123" s="29" t="str">
        <f>Table_SourceData_Scope3_Feed[[#This Row],[Region of origin]]</f>
        <v>TAS</v>
      </c>
    </row>
    <row r="124" spans="1:16" ht="20.100000000000001" customHeight="1" x14ac:dyDescent="0.25">
      <c r="A124"/>
      <c r="D124" s="29" t="str" cm="1">
        <f t="array" ref="D124">Common_InputFunctions.Utility_DisplayArrayInTable(Scope3_SourceData.Scope3_Feed_Data(), Table_SourceData_Scope3_Feed[[#Headers],[Category]], 0, 2)</f>
        <v>Hay</v>
      </c>
      <c r="E124" s="29" t="str" cm="1">
        <f t="array" ref="E124">Common_InputFunctions.Utility_DisplayArrayInTable(Scope3_SourceData.Scope3_Feed_Data(), Table_SourceData_Scope3_Feed[[#Headers],[Category]], 0, 2)</f>
        <v>Cereal hay</v>
      </c>
      <c r="F124" s="29" t="str" cm="1">
        <f t="array" ref="F124">Common_InputFunctions.Utility_DisplayArrayInTable(Scope3_SourceData.Scope3_Feed_Data(), Table_SourceData_Scope3_Feed[[#Headers],[Category]], 0, 2)</f>
        <v>VIC</v>
      </c>
      <c r="G124" s="29" t="str" cm="1">
        <f t="array" ref="G124">Common_InputFunctions.Utility_DisplayArrayInTable(Scope3_SourceData.Scope3_Feed_Data(), Table_SourceData_Scope3_Feed[[#Headers],[Category]], 0, 2)</f>
        <v>kg</v>
      </c>
      <c r="H124" s="29" cm="1">
        <f t="array" ref="H124">Common_InputFunctions.Utility_DisplayArrayInTable(Scope3_SourceData.Scope3_Feed_Data(), Table_SourceData_Scope3_Feed[[#Headers],[Category]], 0, 2)</f>
        <v>0.11600000000000001</v>
      </c>
      <c r="I124" s="29" t="str" cm="1">
        <f t="array" ref="I124">Common_InputFunctions.Utility_DisplayArrayInTable(Scope3_SourceData.Scope3_Feed_Data(), Table_SourceData_Scope3_Feed[[#Headers],[Category]], 0, 2)</f>
        <v>at market</v>
      </c>
      <c r="N124" s="29" t="str">
        <f>Table_SourceData_Scope3_Feed[[#This Row],[Product]]</f>
        <v>Cereal hay</v>
      </c>
      <c r="O124" s="29" t="str">
        <f>Table_SourceData_Scope3_Feed[[#This Row],[Region of origin]]</f>
        <v>VIC</v>
      </c>
    </row>
    <row r="125" spans="1:16" ht="20.100000000000001" customHeight="1" x14ac:dyDescent="0.25">
      <c r="A125"/>
      <c r="D125" s="29" t="str" cm="1">
        <f t="array" ref="D125">Common_InputFunctions.Utility_DisplayArrayInTable(Scope3_SourceData.Scope3_Feed_Data(), Table_SourceData_Scope3_Feed[[#Headers],[Category]], 0, 2)</f>
        <v>Hay</v>
      </c>
      <c r="E125" s="29" t="str" cm="1">
        <f t="array" ref="E125">Common_InputFunctions.Utility_DisplayArrayInTable(Scope3_SourceData.Scope3_Feed_Data(), Table_SourceData_Scope3_Feed[[#Headers],[Category]], 0, 2)</f>
        <v>Cereal hay</v>
      </c>
      <c r="F125" s="29" t="str" cm="1">
        <f t="array" ref="F125">Common_InputFunctions.Utility_DisplayArrayInTable(Scope3_SourceData.Scope3_Feed_Data(), Table_SourceData_Scope3_Feed[[#Headers],[Category]], 0, 2)</f>
        <v>WA</v>
      </c>
      <c r="G125" s="29" t="str" cm="1">
        <f t="array" ref="G125">Common_InputFunctions.Utility_DisplayArrayInTable(Scope3_SourceData.Scope3_Feed_Data(), Table_SourceData_Scope3_Feed[[#Headers],[Category]], 0, 2)</f>
        <v>kg</v>
      </c>
      <c r="H125" s="29" cm="1">
        <f t="array" ref="H125">Common_InputFunctions.Utility_DisplayArrayInTable(Scope3_SourceData.Scope3_Feed_Data(), Table_SourceData_Scope3_Feed[[#Headers],[Category]], 0, 2)</f>
        <v>0.122</v>
      </c>
      <c r="I125" s="29" t="str" cm="1">
        <f t="array" ref="I125">Common_InputFunctions.Utility_DisplayArrayInTable(Scope3_SourceData.Scope3_Feed_Data(), Table_SourceData_Scope3_Feed[[#Headers],[Category]], 0, 2)</f>
        <v>at market</v>
      </c>
      <c r="K125" s="29" t="s">
        <v>138</v>
      </c>
      <c r="L125" s="29" t="s">
        <v>1264</v>
      </c>
      <c r="M125" s="1" t="str">
        <f>"Table_ProductRegions_" &amp; SUBSTITUTE(SUBSTITUTE(SUBSTITUTE(SUBSTITUTE(K126, " ", ""), ",", ""), "(", ""), ")", "")</f>
        <v>Table_ProductRegions_Cerealsilage</v>
      </c>
      <c r="N125" s="29" t="str">
        <f>Table_SourceData_Scope3_Feed[[#This Row],[Product]]</f>
        <v>Cereal hay</v>
      </c>
      <c r="O125" s="29" t="str">
        <f>Table_SourceData_Scope3_Feed[[#This Row],[Region of origin]]</f>
        <v>WA</v>
      </c>
    </row>
    <row r="126" spans="1:16" ht="20.100000000000001" customHeight="1" x14ac:dyDescent="0.25">
      <c r="A126"/>
      <c r="D126" s="29" t="str" cm="1">
        <f t="array" ref="D126">Common_InputFunctions.Utility_DisplayArrayInTable(Scope3_SourceData.Scope3_Feed_Data(), Table_SourceData_Scope3_Feed[[#Headers],[Category]], 0, 2)</f>
        <v>Hay</v>
      </c>
      <c r="E126" s="29" t="str" cm="1">
        <f t="array" ref="E126">Common_InputFunctions.Utility_DisplayArrayInTable(Scope3_SourceData.Scope3_Feed_Data(), Table_SourceData_Scope3_Feed[[#Headers],[Category]], 0, 2)</f>
        <v>Cereal silage</v>
      </c>
      <c r="F126" s="29" t="str" cm="1">
        <f t="array" ref="F126">Common_InputFunctions.Utility_DisplayArrayInTable(Scope3_SourceData.Scope3_Feed_Data(), Table_SourceData_Scope3_Feed[[#Headers],[Category]], 0, 2)</f>
        <v>Australia</v>
      </c>
      <c r="G126" s="29" t="str" cm="1">
        <f t="array" ref="G126">Common_InputFunctions.Utility_DisplayArrayInTable(Scope3_SourceData.Scope3_Feed_Data(), Table_SourceData_Scope3_Feed[[#Headers],[Category]], 0, 2)</f>
        <v>kg</v>
      </c>
      <c r="H126" s="29" cm="1">
        <f t="array" ref="H126">Common_InputFunctions.Utility_DisplayArrayInTable(Scope3_SourceData.Scope3_Feed_Data(), Table_SourceData_Scope3_Feed[[#Headers],[Category]], 0, 2)</f>
        <v>7.4399999999999994E-2</v>
      </c>
      <c r="I126" s="29" t="str" cm="1">
        <f t="array" ref="I126">Common_InputFunctions.Utility_DisplayArrayInTable(Scope3_SourceData.Scope3_Feed_Data(), Table_SourceData_Scope3_Feed[[#Headers],[Category]], 0, 2)</f>
        <v>at market</v>
      </c>
      <c r="K126" s="29" t="str">
        <f>Table_SourceData_Scope3_Feed[[#This Row],[Product]]</f>
        <v>Cereal silage</v>
      </c>
      <c r="L126" s="29" t="str">
        <f>Table_SourceData_Scope3_Feed[[#This Row],[Region of origin]]</f>
        <v>Australia</v>
      </c>
    </row>
    <row r="127" spans="1:16" ht="20.100000000000001" customHeight="1" x14ac:dyDescent="0.25">
      <c r="A127"/>
      <c r="D127" s="29" t="str" cm="1">
        <f t="array" ref="D127">Common_InputFunctions.Utility_DisplayArrayInTable(Scope3_SourceData.Scope3_Feed_Data(), Table_SourceData_Scope3_Feed[[#Headers],[Category]], 0, 2)</f>
        <v>Hay</v>
      </c>
      <c r="E127" s="29" t="str" cm="1">
        <f t="array" ref="E127">Common_InputFunctions.Utility_DisplayArrayInTable(Scope3_SourceData.Scope3_Feed_Data(), Table_SourceData_Scope3_Feed[[#Headers],[Category]], 0, 2)</f>
        <v>Cereal silage</v>
      </c>
      <c r="F127" s="29" t="str" cm="1">
        <f t="array" ref="F127">Common_InputFunctions.Utility_DisplayArrayInTable(Scope3_SourceData.Scope3_Feed_Data(), Table_SourceData_Scope3_Feed[[#Headers],[Category]], 0, 2)</f>
        <v>NSW</v>
      </c>
      <c r="G127" s="29" t="str" cm="1">
        <f t="array" ref="G127">Common_InputFunctions.Utility_DisplayArrayInTable(Scope3_SourceData.Scope3_Feed_Data(), Table_SourceData_Scope3_Feed[[#Headers],[Category]], 0, 2)</f>
        <v>kg</v>
      </c>
      <c r="H127" s="29" cm="1">
        <f t="array" ref="H127">Common_InputFunctions.Utility_DisplayArrayInTable(Scope3_SourceData.Scope3_Feed_Data(), Table_SourceData_Scope3_Feed[[#Headers],[Category]], 0, 2)</f>
        <v>7.3899999999999993E-2</v>
      </c>
      <c r="I127" s="29" t="str" cm="1">
        <f t="array" ref="I127">Common_InputFunctions.Utility_DisplayArrayInTable(Scope3_SourceData.Scope3_Feed_Data(), Table_SourceData_Scope3_Feed[[#Headers],[Category]], 0, 2)</f>
        <v>at market</v>
      </c>
      <c r="K127" s="29" t="str">
        <f>Table_SourceData_Scope3_Feed[[#This Row],[Product]]</f>
        <v>Cereal silage</v>
      </c>
      <c r="L127" s="29" t="str">
        <f>Table_SourceData_Scope3_Feed[[#This Row],[Region of origin]]</f>
        <v>NSW</v>
      </c>
    </row>
    <row r="128" spans="1:16" ht="20.100000000000001" customHeight="1" x14ac:dyDescent="0.25">
      <c r="A128"/>
      <c r="D128" s="29" t="str" cm="1">
        <f t="array" ref="D128">Common_InputFunctions.Utility_DisplayArrayInTable(Scope3_SourceData.Scope3_Feed_Data(), Table_SourceData_Scope3_Feed[[#Headers],[Category]], 0, 2)</f>
        <v>Hay</v>
      </c>
      <c r="E128" s="29" t="str" cm="1">
        <f t="array" ref="E128">Common_InputFunctions.Utility_DisplayArrayInTable(Scope3_SourceData.Scope3_Feed_Data(), Table_SourceData_Scope3_Feed[[#Headers],[Category]], 0, 2)</f>
        <v>Cereal silage</v>
      </c>
      <c r="F128" s="29" t="str" cm="1">
        <f t="array" ref="F128">Common_InputFunctions.Utility_DisplayArrayInTable(Scope3_SourceData.Scope3_Feed_Data(), Table_SourceData_Scope3_Feed[[#Headers],[Category]], 0, 2)</f>
        <v>QLD</v>
      </c>
      <c r="G128" s="29" t="str" cm="1">
        <f t="array" ref="G128">Common_InputFunctions.Utility_DisplayArrayInTable(Scope3_SourceData.Scope3_Feed_Data(), Table_SourceData_Scope3_Feed[[#Headers],[Category]], 0, 2)</f>
        <v>kg</v>
      </c>
      <c r="H128" s="29" cm="1">
        <f t="array" ref="H128">Common_InputFunctions.Utility_DisplayArrayInTable(Scope3_SourceData.Scope3_Feed_Data(), Table_SourceData_Scope3_Feed[[#Headers],[Category]], 0, 2)</f>
        <v>7.9000000000000001E-2</v>
      </c>
      <c r="I128" s="29" t="str" cm="1">
        <f t="array" ref="I128">Common_InputFunctions.Utility_DisplayArrayInTable(Scope3_SourceData.Scope3_Feed_Data(), Table_SourceData_Scope3_Feed[[#Headers],[Category]], 0, 2)</f>
        <v>at market</v>
      </c>
      <c r="K128" s="29" t="str">
        <f>Table_SourceData_Scope3_Feed[[#This Row],[Product]]</f>
        <v>Cereal silage</v>
      </c>
      <c r="L128" s="29" t="str">
        <f>Table_SourceData_Scope3_Feed[[#This Row],[Region of origin]]</f>
        <v>QLD</v>
      </c>
    </row>
    <row r="129" spans="1:16" ht="20.100000000000001" customHeight="1" x14ac:dyDescent="0.25">
      <c r="A129"/>
      <c r="D129" s="29" t="str" cm="1">
        <f t="array" ref="D129">Common_InputFunctions.Utility_DisplayArrayInTable(Scope3_SourceData.Scope3_Feed_Data(), Table_SourceData_Scope3_Feed[[#Headers],[Category]], 0, 2)</f>
        <v>Hay</v>
      </c>
      <c r="E129" s="29" t="str" cm="1">
        <f t="array" ref="E129">Common_InputFunctions.Utility_DisplayArrayInTable(Scope3_SourceData.Scope3_Feed_Data(), Table_SourceData_Scope3_Feed[[#Headers],[Category]], 0, 2)</f>
        <v>Cereal silage</v>
      </c>
      <c r="F129" s="29" t="str" cm="1">
        <f t="array" ref="F129">Common_InputFunctions.Utility_DisplayArrayInTable(Scope3_SourceData.Scope3_Feed_Data(), Table_SourceData_Scope3_Feed[[#Headers],[Category]], 0, 2)</f>
        <v>SA</v>
      </c>
      <c r="G129" s="29" t="str" cm="1">
        <f t="array" ref="G129">Common_InputFunctions.Utility_DisplayArrayInTable(Scope3_SourceData.Scope3_Feed_Data(), Table_SourceData_Scope3_Feed[[#Headers],[Category]], 0, 2)</f>
        <v>kg</v>
      </c>
      <c r="H129" s="29" cm="1">
        <f t="array" ref="H129">Common_InputFunctions.Utility_DisplayArrayInTable(Scope3_SourceData.Scope3_Feed_Data(), Table_SourceData_Scope3_Feed[[#Headers],[Category]], 0, 2)</f>
        <v>7.0599999999999996E-2</v>
      </c>
      <c r="I129" s="29" t="str" cm="1">
        <f t="array" ref="I129">Common_InputFunctions.Utility_DisplayArrayInTable(Scope3_SourceData.Scope3_Feed_Data(), Table_SourceData_Scope3_Feed[[#Headers],[Category]], 0, 2)</f>
        <v>at market</v>
      </c>
      <c r="K129" s="29" t="str">
        <f>Table_SourceData_Scope3_Feed[[#This Row],[Product]]</f>
        <v>Cereal silage</v>
      </c>
      <c r="L129" s="29" t="str">
        <f>Table_SourceData_Scope3_Feed[[#This Row],[Region of origin]]</f>
        <v>SA</v>
      </c>
    </row>
    <row r="130" spans="1:16" ht="20.100000000000001" customHeight="1" x14ac:dyDescent="0.25">
      <c r="A130"/>
      <c r="D130" s="29" t="str" cm="1">
        <f t="array" ref="D130">Common_InputFunctions.Utility_DisplayArrayInTable(Scope3_SourceData.Scope3_Feed_Data(), Table_SourceData_Scope3_Feed[[#Headers],[Category]], 0, 2)</f>
        <v>Hay</v>
      </c>
      <c r="E130" s="29" t="str" cm="1">
        <f t="array" ref="E130">Common_InputFunctions.Utility_DisplayArrayInTable(Scope3_SourceData.Scope3_Feed_Data(), Table_SourceData_Scope3_Feed[[#Headers],[Category]], 0, 2)</f>
        <v>Cereal silage</v>
      </c>
      <c r="F130" s="29" t="str" cm="1">
        <f t="array" ref="F130">Common_InputFunctions.Utility_DisplayArrayInTable(Scope3_SourceData.Scope3_Feed_Data(), Table_SourceData_Scope3_Feed[[#Headers],[Category]], 0, 2)</f>
        <v>TAS</v>
      </c>
      <c r="G130" s="29" t="str" cm="1">
        <f t="array" ref="G130">Common_InputFunctions.Utility_DisplayArrayInTable(Scope3_SourceData.Scope3_Feed_Data(), Table_SourceData_Scope3_Feed[[#Headers],[Category]], 0, 2)</f>
        <v>kg</v>
      </c>
      <c r="H130" s="29" cm="1">
        <f t="array" ref="H130">Common_InputFunctions.Utility_DisplayArrayInTable(Scope3_SourceData.Scope3_Feed_Data(), Table_SourceData_Scope3_Feed[[#Headers],[Category]], 0, 2)</f>
        <v>8.0799999999999997E-2</v>
      </c>
      <c r="I130" s="29" t="str" cm="1">
        <f t="array" ref="I130">Common_InputFunctions.Utility_DisplayArrayInTable(Scope3_SourceData.Scope3_Feed_Data(), Table_SourceData_Scope3_Feed[[#Headers],[Category]], 0, 2)</f>
        <v>at market</v>
      </c>
      <c r="K130" s="29" t="str">
        <f>Table_SourceData_Scope3_Feed[[#This Row],[Product]]</f>
        <v>Cereal silage</v>
      </c>
      <c r="L130" s="29" t="str">
        <f>Table_SourceData_Scope3_Feed[[#This Row],[Region of origin]]</f>
        <v>TAS</v>
      </c>
    </row>
    <row r="131" spans="1:16" ht="20.100000000000001" customHeight="1" x14ac:dyDescent="0.25">
      <c r="A131"/>
      <c r="D131" s="29" t="str" cm="1">
        <f t="array" ref="D131">Common_InputFunctions.Utility_DisplayArrayInTable(Scope3_SourceData.Scope3_Feed_Data(), Table_SourceData_Scope3_Feed[[#Headers],[Category]], 0, 2)</f>
        <v>Hay</v>
      </c>
      <c r="E131" s="29" t="str" cm="1">
        <f t="array" ref="E131">Common_InputFunctions.Utility_DisplayArrayInTable(Scope3_SourceData.Scope3_Feed_Data(), Table_SourceData_Scope3_Feed[[#Headers],[Category]], 0, 2)</f>
        <v>Cereal silage</v>
      </c>
      <c r="F131" s="29" t="str" cm="1">
        <f t="array" ref="F131">Common_InputFunctions.Utility_DisplayArrayInTable(Scope3_SourceData.Scope3_Feed_Data(), Table_SourceData_Scope3_Feed[[#Headers],[Category]], 0, 2)</f>
        <v>VIC</v>
      </c>
      <c r="G131" s="29" t="str" cm="1">
        <f t="array" ref="G131">Common_InputFunctions.Utility_DisplayArrayInTable(Scope3_SourceData.Scope3_Feed_Data(), Table_SourceData_Scope3_Feed[[#Headers],[Category]], 0, 2)</f>
        <v>kg</v>
      </c>
      <c r="H131" s="29" cm="1">
        <f t="array" ref="H131">Common_InputFunctions.Utility_DisplayArrayInTable(Scope3_SourceData.Scope3_Feed_Data(), Table_SourceData_Scope3_Feed[[#Headers],[Category]], 0, 2)</f>
        <v>7.3599999999999999E-2</v>
      </c>
      <c r="I131" s="29" t="str" cm="1">
        <f t="array" ref="I131">Common_InputFunctions.Utility_DisplayArrayInTable(Scope3_SourceData.Scope3_Feed_Data(), Table_SourceData_Scope3_Feed[[#Headers],[Category]], 0, 2)</f>
        <v>at market</v>
      </c>
      <c r="K131" s="29" t="str">
        <f>Table_SourceData_Scope3_Feed[[#This Row],[Product]]</f>
        <v>Cereal silage</v>
      </c>
      <c r="L131" s="29" t="str">
        <f>Table_SourceData_Scope3_Feed[[#This Row],[Region of origin]]</f>
        <v>VIC</v>
      </c>
      <c r="N131" s="29" t="s">
        <v>138</v>
      </c>
      <c r="O131" s="29" t="s">
        <v>1264</v>
      </c>
      <c r="P131" s="1" t="str">
        <f>"Table_ProductRegions_" &amp; SUBSTITUTE(SUBSTITUTE(SUBSTITUTE(SUBSTITUTE(N132, " ", ""), ",", ""), "(", ""), ")", "")</f>
        <v>Table_ProductRegions_Lucernehay</v>
      </c>
    </row>
    <row r="132" spans="1:16" ht="20.100000000000001" customHeight="1" x14ac:dyDescent="0.25">
      <c r="A132"/>
      <c r="D132" s="29" t="str" cm="1">
        <f t="array" ref="D132">Common_InputFunctions.Utility_DisplayArrayInTable(Scope3_SourceData.Scope3_Feed_Data(), Table_SourceData_Scope3_Feed[[#Headers],[Category]], 0, 2)</f>
        <v>Hay</v>
      </c>
      <c r="E132" s="29" t="str" cm="1">
        <f t="array" ref="E132">Common_InputFunctions.Utility_DisplayArrayInTable(Scope3_SourceData.Scope3_Feed_Data(), Table_SourceData_Scope3_Feed[[#Headers],[Category]], 0, 2)</f>
        <v>Lucerne hay</v>
      </c>
      <c r="F132" s="29" t="str" cm="1">
        <f t="array" ref="F132">Common_InputFunctions.Utility_DisplayArrayInTable(Scope3_SourceData.Scope3_Feed_Data(), Table_SourceData_Scope3_Feed[[#Headers],[Category]], 0, 2)</f>
        <v>Australia</v>
      </c>
      <c r="G132" s="29" t="str" cm="1">
        <f t="array" ref="G132">Common_InputFunctions.Utility_DisplayArrayInTable(Scope3_SourceData.Scope3_Feed_Data(), Table_SourceData_Scope3_Feed[[#Headers],[Category]], 0, 2)</f>
        <v>kg</v>
      </c>
      <c r="H132" s="29" cm="1">
        <f t="array" ref="H132">Common_InputFunctions.Utility_DisplayArrayInTable(Scope3_SourceData.Scope3_Feed_Data(), Table_SourceData_Scope3_Feed[[#Headers],[Category]], 0, 2)</f>
        <v>0.11700000000000001</v>
      </c>
      <c r="I132" s="29" t="str" cm="1">
        <f t="array" ref="I132">Common_InputFunctions.Utility_DisplayArrayInTable(Scope3_SourceData.Scope3_Feed_Data(), Table_SourceData_Scope3_Feed[[#Headers],[Category]], 0, 2)</f>
        <v>at market</v>
      </c>
      <c r="N132" s="29" t="str">
        <f>Table_SourceData_Scope3_Feed[[#This Row],[Product]]</f>
        <v>Lucerne hay</v>
      </c>
      <c r="O132" s="29" t="str">
        <f>Table_SourceData_Scope3_Feed[[#This Row],[Region of origin]]</f>
        <v>Australia</v>
      </c>
    </row>
    <row r="133" spans="1:16" ht="20.100000000000001" customHeight="1" x14ac:dyDescent="0.25">
      <c r="A133"/>
      <c r="D133" s="29" t="str" cm="1">
        <f t="array" ref="D133">Common_InputFunctions.Utility_DisplayArrayInTable(Scope3_SourceData.Scope3_Feed_Data(), Table_SourceData_Scope3_Feed[[#Headers],[Category]], 0, 2)</f>
        <v>Hay</v>
      </c>
      <c r="E133" s="29" t="str" cm="1">
        <f t="array" ref="E133">Common_InputFunctions.Utility_DisplayArrayInTable(Scope3_SourceData.Scope3_Feed_Data(), Table_SourceData_Scope3_Feed[[#Headers],[Category]], 0, 2)</f>
        <v>Lucerne hay</v>
      </c>
      <c r="F133" s="29" t="str" cm="1">
        <f t="array" ref="F133">Common_InputFunctions.Utility_DisplayArrayInTable(Scope3_SourceData.Scope3_Feed_Data(), Table_SourceData_Scope3_Feed[[#Headers],[Category]], 0, 2)</f>
        <v>NSW</v>
      </c>
      <c r="G133" s="29" t="str" cm="1">
        <f t="array" ref="G133">Common_InputFunctions.Utility_DisplayArrayInTable(Scope3_SourceData.Scope3_Feed_Data(), Table_SourceData_Scope3_Feed[[#Headers],[Category]], 0, 2)</f>
        <v>kg</v>
      </c>
      <c r="H133" s="29" cm="1">
        <f t="array" ref="H133">Common_InputFunctions.Utility_DisplayArrayInTable(Scope3_SourceData.Scope3_Feed_Data(), Table_SourceData_Scope3_Feed[[#Headers],[Category]], 0, 2)</f>
        <v>0.113</v>
      </c>
      <c r="I133" s="29" t="str" cm="1">
        <f t="array" ref="I133">Common_InputFunctions.Utility_DisplayArrayInTable(Scope3_SourceData.Scope3_Feed_Data(), Table_SourceData_Scope3_Feed[[#Headers],[Category]], 0, 2)</f>
        <v>at market</v>
      </c>
      <c r="N133" s="29" t="str">
        <f>Table_SourceData_Scope3_Feed[[#This Row],[Product]]</f>
        <v>Lucerne hay</v>
      </c>
      <c r="O133" s="29" t="str">
        <f>Table_SourceData_Scope3_Feed[[#This Row],[Region of origin]]</f>
        <v>NSW</v>
      </c>
    </row>
    <row r="134" spans="1:16" ht="20.100000000000001" customHeight="1" x14ac:dyDescent="0.25">
      <c r="A134"/>
      <c r="D134" s="29" t="str" cm="1">
        <f t="array" ref="D134">Common_InputFunctions.Utility_DisplayArrayInTable(Scope3_SourceData.Scope3_Feed_Data(), Table_SourceData_Scope3_Feed[[#Headers],[Category]], 0, 2)</f>
        <v>Hay</v>
      </c>
      <c r="E134" s="29" t="str" cm="1">
        <f t="array" ref="E134">Common_InputFunctions.Utility_DisplayArrayInTable(Scope3_SourceData.Scope3_Feed_Data(), Table_SourceData_Scope3_Feed[[#Headers],[Category]], 0, 2)</f>
        <v>Lucerne hay</v>
      </c>
      <c r="F134" s="29" t="str" cm="1">
        <f t="array" ref="F134">Common_InputFunctions.Utility_DisplayArrayInTable(Scope3_SourceData.Scope3_Feed_Data(), Table_SourceData_Scope3_Feed[[#Headers],[Category]], 0, 2)</f>
        <v>QLD</v>
      </c>
      <c r="G134" s="29" t="str" cm="1">
        <f t="array" ref="G134">Common_InputFunctions.Utility_DisplayArrayInTable(Scope3_SourceData.Scope3_Feed_Data(), Table_SourceData_Scope3_Feed[[#Headers],[Category]], 0, 2)</f>
        <v>kg</v>
      </c>
      <c r="H134" s="29" cm="1">
        <f t="array" ref="H134">Common_InputFunctions.Utility_DisplayArrayInTable(Scope3_SourceData.Scope3_Feed_Data(), Table_SourceData_Scope3_Feed[[#Headers],[Category]], 0, 2)</f>
        <v>0.14299999999999999</v>
      </c>
      <c r="I134" s="29" t="str" cm="1">
        <f t="array" ref="I134">Common_InputFunctions.Utility_DisplayArrayInTable(Scope3_SourceData.Scope3_Feed_Data(), Table_SourceData_Scope3_Feed[[#Headers],[Category]], 0, 2)</f>
        <v>at market</v>
      </c>
      <c r="N134" s="29" t="str">
        <f>Table_SourceData_Scope3_Feed[[#This Row],[Product]]</f>
        <v>Lucerne hay</v>
      </c>
      <c r="O134" s="29" t="str">
        <f>Table_SourceData_Scope3_Feed[[#This Row],[Region of origin]]</f>
        <v>QLD</v>
      </c>
    </row>
    <row r="135" spans="1:16" ht="20.100000000000001" customHeight="1" x14ac:dyDescent="0.25">
      <c r="A135"/>
      <c r="D135" s="29" t="str" cm="1">
        <f t="array" ref="D135">Common_InputFunctions.Utility_DisplayArrayInTable(Scope3_SourceData.Scope3_Feed_Data(), Table_SourceData_Scope3_Feed[[#Headers],[Category]], 0, 2)</f>
        <v>Hay</v>
      </c>
      <c r="E135" s="29" t="str" cm="1">
        <f t="array" ref="E135">Common_InputFunctions.Utility_DisplayArrayInTable(Scope3_SourceData.Scope3_Feed_Data(), Table_SourceData_Scope3_Feed[[#Headers],[Category]], 0, 2)</f>
        <v>Lucerne hay</v>
      </c>
      <c r="F135" s="29" t="str" cm="1">
        <f t="array" ref="F135">Common_InputFunctions.Utility_DisplayArrayInTable(Scope3_SourceData.Scope3_Feed_Data(), Table_SourceData_Scope3_Feed[[#Headers],[Category]], 0, 2)</f>
        <v>SA</v>
      </c>
      <c r="G135" s="29" t="str" cm="1">
        <f t="array" ref="G135">Common_InputFunctions.Utility_DisplayArrayInTable(Scope3_SourceData.Scope3_Feed_Data(), Table_SourceData_Scope3_Feed[[#Headers],[Category]], 0, 2)</f>
        <v>kg</v>
      </c>
      <c r="H135" s="29" cm="1">
        <f t="array" ref="H135">Common_InputFunctions.Utility_DisplayArrayInTable(Scope3_SourceData.Scope3_Feed_Data(), Table_SourceData_Scope3_Feed[[#Headers],[Category]], 0, 2)</f>
        <v>0.106</v>
      </c>
      <c r="I135" s="29" t="str" cm="1">
        <f t="array" ref="I135">Common_InputFunctions.Utility_DisplayArrayInTable(Scope3_SourceData.Scope3_Feed_Data(), Table_SourceData_Scope3_Feed[[#Headers],[Category]], 0, 2)</f>
        <v>at market</v>
      </c>
      <c r="N135" s="29" t="str">
        <f>Table_SourceData_Scope3_Feed[[#This Row],[Product]]</f>
        <v>Lucerne hay</v>
      </c>
      <c r="O135" s="29" t="str">
        <f>Table_SourceData_Scope3_Feed[[#This Row],[Region of origin]]</f>
        <v>SA</v>
      </c>
    </row>
    <row r="136" spans="1:16" ht="20.100000000000001" customHeight="1" x14ac:dyDescent="0.25">
      <c r="A136"/>
      <c r="D136" s="29" t="str" cm="1">
        <f t="array" ref="D136">Common_InputFunctions.Utility_DisplayArrayInTable(Scope3_SourceData.Scope3_Feed_Data(), Table_SourceData_Scope3_Feed[[#Headers],[Category]], 0, 2)</f>
        <v>Hay</v>
      </c>
      <c r="E136" s="29" t="str" cm="1">
        <f t="array" ref="E136">Common_InputFunctions.Utility_DisplayArrayInTable(Scope3_SourceData.Scope3_Feed_Data(), Table_SourceData_Scope3_Feed[[#Headers],[Category]], 0, 2)</f>
        <v>Lucerne hay</v>
      </c>
      <c r="F136" s="29" t="str" cm="1">
        <f t="array" ref="F136">Common_InputFunctions.Utility_DisplayArrayInTable(Scope3_SourceData.Scope3_Feed_Data(), Table_SourceData_Scope3_Feed[[#Headers],[Category]], 0, 2)</f>
        <v>TAS</v>
      </c>
      <c r="G136" s="29" t="str" cm="1">
        <f t="array" ref="G136">Common_InputFunctions.Utility_DisplayArrayInTable(Scope3_SourceData.Scope3_Feed_Data(), Table_SourceData_Scope3_Feed[[#Headers],[Category]], 0, 2)</f>
        <v>kg</v>
      </c>
      <c r="H136" s="29" cm="1">
        <f t="array" ref="H136">Common_InputFunctions.Utility_DisplayArrayInTable(Scope3_SourceData.Scope3_Feed_Data(), Table_SourceData_Scope3_Feed[[#Headers],[Category]], 0, 2)</f>
        <v>0.113</v>
      </c>
      <c r="I136" s="29" t="str" cm="1">
        <f t="array" ref="I136">Common_InputFunctions.Utility_DisplayArrayInTable(Scope3_SourceData.Scope3_Feed_Data(), Table_SourceData_Scope3_Feed[[#Headers],[Category]], 0, 2)</f>
        <v>at market</v>
      </c>
      <c r="N136" s="29" t="str">
        <f>Table_SourceData_Scope3_Feed[[#This Row],[Product]]</f>
        <v>Lucerne hay</v>
      </c>
      <c r="O136" s="29" t="str">
        <f>Table_SourceData_Scope3_Feed[[#This Row],[Region of origin]]</f>
        <v>TAS</v>
      </c>
    </row>
    <row r="137" spans="1:16" ht="20.100000000000001" customHeight="1" x14ac:dyDescent="0.25">
      <c r="A137"/>
      <c r="D137" s="29" t="str" cm="1">
        <f t="array" ref="D137">Common_InputFunctions.Utility_DisplayArrayInTable(Scope3_SourceData.Scope3_Feed_Data(), Table_SourceData_Scope3_Feed[[#Headers],[Category]], 0, 2)</f>
        <v>Hay</v>
      </c>
      <c r="E137" s="29" t="str" cm="1">
        <f t="array" ref="E137">Common_InputFunctions.Utility_DisplayArrayInTable(Scope3_SourceData.Scope3_Feed_Data(), Table_SourceData_Scope3_Feed[[#Headers],[Category]], 0, 2)</f>
        <v>Lucerne hay</v>
      </c>
      <c r="F137" s="29" t="str" cm="1">
        <f t="array" ref="F137">Common_InputFunctions.Utility_DisplayArrayInTable(Scope3_SourceData.Scope3_Feed_Data(), Table_SourceData_Scope3_Feed[[#Headers],[Category]], 0, 2)</f>
        <v>VIC</v>
      </c>
      <c r="G137" s="29" t="str" cm="1">
        <f t="array" ref="G137">Common_InputFunctions.Utility_DisplayArrayInTable(Scope3_SourceData.Scope3_Feed_Data(), Table_SourceData_Scope3_Feed[[#Headers],[Category]], 0, 2)</f>
        <v>kg</v>
      </c>
      <c r="H137" s="29" cm="1">
        <f t="array" ref="H137">Common_InputFunctions.Utility_DisplayArrayInTable(Scope3_SourceData.Scope3_Feed_Data(), Table_SourceData_Scope3_Feed[[#Headers],[Category]], 0, 2)</f>
        <v>0.106</v>
      </c>
      <c r="I137" s="29" t="str" cm="1">
        <f t="array" ref="I137">Common_InputFunctions.Utility_DisplayArrayInTable(Scope3_SourceData.Scope3_Feed_Data(), Table_SourceData_Scope3_Feed[[#Headers],[Category]], 0, 2)</f>
        <v>at market</v>
      </c>
      <c r="N137" s="29" t="str">
        <f>Table_SourceData_Scope3_Feed[[#This Row],[Product]]</f>
        <v>Lucerne hay</v>
      </c>
      <c r="O137" s="29" t="str">
        <f>Table_SourceData_Scope3_Feed[[#This Row],[Region of origin]]</f>
        <v>VIC</v>
      </c>
    </row>
    <row r="138" spans="1:16" ht="20.100000000000001" customHeight="1" x14ac:dyDescent="0.25">
      <c r="A138"/>
      <c r="D138" s="29" t="str" cm="1">
        <f t="array" ref="D138">Common_InputFunctions.Utility_DisplayArrayInTable(Scope3_SourceData.Scope3_Feed_Data(), Table_SourceData_Scope3_Feed[[#Headers],[Category]], 0, 2)</f>
        <v>Hay</v>
      </c>
      <c r="E138" s="29" t="str" cm="1">
        <f t="array" ref="E138">Common_InputFunctions.Utility_DisplayArrayInTable(Scope3_SourceData.Scope3_Feed_Data(), Table_SourceData_Scope3_Feed[[#Headers],[Category]], 0, 2)</f>
        <v>Maize silage</v>
      </c>
      <c r="F138" s="29" t="str" cm="1">
        <f t="array" ref="F138">Common_InputFunctions.Utility_DisplayArrayInTable(Scope3_SourceData.Scope3_Feed_Data(), Table_SourceData_Scope3_Feed[[#Headers],[Category]], 0, 2)</f>
        <v>VIC</v>
      </c>
      <c r="G138" s="29" t="str" cm="1">
        <f t="array" ref="G138">Common_InputFunctions.Utility_DisplayArrayInTable(Scope3_SourceData.Scope3_Feed_Data(), Table_SourceData_Scope3_Feed[[#Headers],[Category]], 0, 2)</f>
        <v>kg</v>
      </c>
      <c r="H138" s="29" cm="1">
        <f t="array" ref="H138">Common_InputFunctions.Utility_DisplayArrayInTable(Scope3_SourceData.Scope3_Feed_Data(), Table_SourceData_Scope3_Feed[[#Headers],[Category]], 0, 2)</f>
        <v>0.16300000000000001</v>
      </c>
      <c r="I138" s="29" t="str" cm="1">
        <f t="array" ref="I138">Common_InputFunctions.Utility_DisplayArrayInTable(Scope3_SourceData.Scope3_Feed_Data(), Table_SourceData_Scope3_Feed[[#Headers],[Category]], 0, 2)</f>
        <v>at market</v>
      </c>
      <c r="K138" s="29" t="s">
        <v>138</v>
      </c>
      <c r="L138" s="29" t="s">
        <v>1264</v>
      </c>
      <c r="M138" s="1" t="str">
        <f>"Table_ProductRegions_" &amp; SUBSTITUTE(SUBSTITUTE(SUBSTITUTE(SUBSTITUTE(K139, " ", ""), ",", ""), "(", ""), ")", "")</f>
        <v>Table_ProductRegions_Oatenhay</v>
      </c>
      <c r="N138" s="29" t="str">
        <f>Table_SourceData_Scope3_Feed[[#This Row],[Product]]</f>
        <v>Maize silage</v>
      </c>
      <c r="O138" s="29" t="str">
        <f>Table_SourceData_Scope3_Feed[[#This Row],[Region of origin]]</f>
        <v>VIC</v>
      </c>
    </row>
    <row r="139" spans="1:16" ht="20.100000000000001" customHeight="1" x14ac:dyDescent="0.25">
      <c r="A139"/>
      <c r="D139" s="29" t="str" cm="1">
        <f t="array" ref="D139">Common_InputFunctions.Utility_DisplayArrayInTable(Scope3_SourceData.Scope3_Feed_Data(), Table_SourceData_Scope3_Feed[[#Headers],[Category]], 0, 2)</f>
        <v>Hay</v>
      </c>
      <c r="E139" s="29" t="str" cm="1">
        <f t="array" ref="E139">Common_InputFunctions.Utility_DisplayArrayInTable(Scope3_SourceData.Scope3_Feed_Data(), Table_SourceData_Scope3_Feed[[#Headers],[Category]], 0, 2)</f>
        <v>Oaten hay</v>
      </c>
      <c r="F139" s="29" t="str" cm="1">
        <f t="array" ref="F139">Common_InputFunctions.Utility_DisplayArrayInTable(Scope3_SourceData.Scope3_Feed_Data(), Table_SourceData_Scope3_Feed[[#Headers],[Category]], 0, 2)</f>
        <v>Australia</v>
      </c>
      <c r="G139" s="29" t="str" cm="1">
        <f t="array" ref="G139">Common_InputFunctions.Utility_DisplayArrayInTable(Scope3_SourceData.Scope3_Feed_Data(), Table_SourceData_Scope3_Feed[[#Headers],[Category]], 0, 2)</f>
        <v>kg</v>
      </c>
      <c r="H139" s="29" cm="1">
        <f t="array" ref="H139">Common_InputFunctions.Utility_DisplayArrayInTable(Scope3_SourceData.Scope3_Feed_Data(), Table_SourceData_Scope3_Feed[[#Headers],[Category]], 0, 2)</f>
        <v>0.12</v>
      </c>
      <c r="I139" s="29" t="str" cm="1">
        <f t="array" ref="I139">Common_InputFunctions.Utility_DisplayArrayInTable(Scope3_SourceData.Scope3_Feed_Data(), Table_SourceData_Scope3_Feed[[#Headers],[Category]], 0, 2)</f>
        <v>at market</v>
      </c>
      <c r="K139" s="29" t="str">
        <f>Table_SourceData_Scope3_Feed[[#This Row],[Product]]</f>
        <v>Oaten hay</v>
      </c>
      <c r="L139" s="29" t="str">
        <f>Table_SourceData_Scope3_Feed[[#This Row],[Region of origin]]</f>
        <v>Australia</v>
      </c>
    </row>
    <row r="140" spans="1:16" ht="20.100000000000001" customHeight="1" x14ac:dyDescent="0.25">
      <c r="A140"/>
      <c r="D140" s="29" t="str" cm="1">
        <f t="array" ref="D140">Common_InputFunctions.Utility_DisplayArrayInTable(Scope3_SourceData.Scope3_Feed_Data(), Table_SourceData_Scope3_Feed[[#Headers],[Category]], 0, 2)</f>
        <v>Hay</v>
      </c>
      <c r="E140" s="29" t="str" cm="1">
        <f t="array" ref="E140">Common_InputFunctions.Utility_DisplayArrayInTable(Scope3_SourceData.Scope3_Feed_Data(), Table_SourceData_Scope3_Feed[[#Headers],[Category]], 0, 2)</f>
        <v>Oaten hay</v>
      </c>
      <c r="F140" s="29" t="str" cm="1">
        <f t="array" ref="F140">Common_InputFunctions.Utility_DisplayArrayInTable(Scope3_SourceData.Scope3_Feed_Data(), Table_SourceData_Scope3_Feed[[#Headers],[Category]], 0, 2)</f>
        <v>NSW</v>
      </c>
      <c r="G140" s="29" t="str" cm="1">
        <f t="array" ref="G140">Common_InputFunctions.Utility_DisplayArrayInTable(Scope3_SourceData.Scope3_Feed_Data(), Table_SourceData_Scope3_Feed[[#Headers],[Category]], 0, 2)</f>
        <v>kg</v>
      </c>
      <c r="H140" s="29" cm="1">
        <f t="array" ref="H140">Common_InputFunctions.Utility_DisplayArrayInTable(Scope3_SourceData.Scope3_Feed_Data(), Table_SourceData_Scope3_Feed[[#Headers],[Category]], 0, 2)</f>
        <v>0.11899999999999999</v>
      </c>
      <c r="I140" s="29" t="str" cm="1">
        <f t="array" ref="I140">Common_InputFunctions.Utility_DisplayArrayInTable(Scope3_SourceData.Scope3_Feed_Data(), Table_SourceData_Scope3_Feed[[#Headers],[Category]], 0, 2)</f>
        <v>at market</v>
      </c>
      <c r="K140" s="29" t="str">
        <f>Table_SourceData_Scope3_Feed[[#This Row],[Product]]</f>
        <v>Oaten hay</v>
      </c>
      <c r="L140" s="29" t="str">
        <f>Table_SourceData_Scope3_Feed[[#This Row],[Region of origin]]</f>
        <v>NSW</v>
      </c>
    </row>
    <row r="141" spans="1:16" ht="20.100000000000001" customHeight="1" x14ac:dyDescent="0.25">
      <c r="A141"/>
      <c r="D141" s="29" t="str" cm="1">
        <f t="array" ref="D141">Common_InputFunctions.Utility_DisplayArrayInTable(Scope3_SourceData.Scope3_Feed_Data(), Table_SourceData_Scope3_Feed[[#Headers],[Category]], 0, 2)</f>
        <v>Hay</v>
      </c>
      <c r="E141" s="29" t="str" cm="1">
        <f t="array" ref="E141">Common_InputFunctions.Utility_DisplayArrayInTable(Scope3_SourceData.Scope3_Feed_Data(), Table_SourceData_Scope3_Feed[[#Headers],[Category]], 0, 2)</f>
        <v>Oaten hay</v>
      </c>
      <c r="F141" s="29" t="str" cm="1">
        <f t="array" ref="F141">Common_InputFunctions.Utility_DisplayArrayInTable(Scope3_SourceData.Scope3_Feed_Data(), Table_SourceData_Scope3_Feed[[#Headers],[Category]], 0, 2)</f>
        <v>QLD</v>
      </c>
      <c r="G141" s="29" t="str" cm="1">
        <f t="array" ref="G141">Common_InputFunctions.Utility_DisplayArrayInTable(Scope3_SourceData.Scope3_Feed_Data(), Table_SourceData_Scope3_Feed[[#Headers],[Category]], 0, 2)</f>
        <v>kg</v>
      </c>
      <c r="H141" s="29" cm="1">
        <f t="array" ref="H141">Common_InputFunctions.Utility_DisplayArrayInTable(Scope3_SourceData.Scope3_Feed_Data(), Table_SourceData_Scope3_Feed[[#Headers],[Category]], 0, 2)</f>
        <v>0.11700000000000001</v>
      </c>
      <c r="I141" s="29" t="str" cm="1">
        <f t="array" ref="I141">Common_InputFunctions.Utility_DisplayArrayInTable(Scope3_SourceData.Scope3_Feed_Data(), Table_SourceData_Scope3_Feed[[#Headers],[Category]], 0, 2)</f>
        <v>at market</v>
      </c>
      <c r="K141" s="29" t="str">
        <f>Table_SourceData_Scope3_Feed[[#This Row],[Product]]</f>
        <v>Oaten hay</v>
      </c>
      <c r="L141" s="29" t="str">
        <f>Table_SourceData_Scope3_Feed[[#This Row],[Region of origin]]</f>
        <v>QLD</v>
      </c>
    </row>
    <row r="142" spans="1:16" ht="20.100000000000001" customHeight="1" x14ac:dyDescent="0.25">
      <c r="A142"/>
      <c r="D142" s="29" t="str" cm="1">
        <f t="array" ref="D142">Common_InputFunctions.Utility_DisplayArrayInTable(Scope3_SourceData.Scope3_Feed_Data(), Table_SourceData_Scope3_Feed[[#Headers],[Category]], 0, 2)</f>
        <v>Hay</v>
      </c>
      <c r="E142" s="29" t="str" cm="1">
        <f t="array" ref="E142">Common_InputFunctions.Utility_DisplayArrayInTable(Scope3_SourceData.Scope3_Feed_Data(), Table_SourceData_Scope3_Feed[[#Headers],[Category]], 0, 2)</f>
        <v>Oaten hay</v>
      </c>
      <c r="F142" s="29" t="str" cm="1">
        <f t="array" ref="F142">Common_InputFunctions.Utility_DisplayArrayInTable(Scope3_SourceData.Scope3_Feed_Data(), Table_SourceData_Scope3_Feed[[#Headers],[Category]], 0, 2)</f>
        <v>SA</v>
      </c>
      <c r="G142" s="29" t="str" cm="1">
        <f t="array" ref="G142">Common_InputFunctions.Utility_DisplayArrayInTable(Scope3_SourceData.Scope3_Feed_Data(), Table_SourceData_Scope3_Feed[[#Headers],[Category]], 0, 2)</f>
        <v>kg</v>
      </c>
      <c r="H142" s="29" cm="1">
        <f t="array" ref="H142">Common_InputFunctions.Utility_DisplayArrayInTable(Scope3_SourceData.Scope3_Feed_Data(), Table_SourceData_Scope3_Feed[[#Headers],[Category]], 0, 2)</f>
        <v>0.114</v>
      </c>
      <c r="I142" s="29" t="str" cm="1">
        <f t="array" ref="I142">Common_InputFunctions.Utility_DisplayArrayInTable(Scope3_SourceData.Scope3_Feed_Data(), Table_SourceData_Scope3_Feed[[#Headers],[Category]], 0, 2)</f>
        <v>at market</v>
      </c>
      <c r="K142" s="29" t="str">
        <f>Table_SourceData_Scope3_Feed[[#This Row],[Product]]</f>
        <v>Oaten hay</v>
      </c>
      <c r="L142" s="29" t="str">
        <f>Table_SourceData_Scope3_Feed[[#This Row],[Region of origin]]</f>
        <v>SA</v>
      </c>
    </row>
    <row r="143" spans="1:16" ht="20.100000000000001" customHeight="1" x14ac:dyDescent="0.25">
      <c r="A143"/>
      <c r="D143" s="29" t="str" cm="1">
        <f t="array" ref="D143">Common_InputFunctions.Utility_DisplayArrayInTable(Scope3_SourceData.Scope3_Feed_Data(), Table_SourceData_Scope3_Feed[[#Headers],[Category]], 0, 2)</f>
        <v>Hay</v>
      </c>
      <c r="E143" s="29" t="str" cm="1">
        <f t="array" ref="E143">Common_InputFunctions.Utility_DisplayArrayInTable(Scope3_SourceData.Scope3_Feed_Data(), Table_SourceData_Scope3_Feed[[#Headers],[Category]], 0, 2)</f>
        <v>Oaten hay</v>
      </c>
      <c r="F143" s="29" t="str" cm="1">
        <f t="array" ref="F143">Common_InputFunctions.Utility_DisplayArrayInTable(Scope3_SourceData.Scope3_Feed_Data(), Table_SourceData_Scope3_Feed[[#Headers],[Category]], 0, 2)</f>
        <v>VIC</v>
      </c>
      <c r="G143" s="29" t="str" cm="1">
        <f t="array" ref="G143">Common_InputFunctions.Utility_DisplayArrayInTable(Scope3_SourceData.Scope3_Feed_Data(), Table_SourceData_Scope3_Feed[[#Headers],[Category]], 0, 2)</f>
        <v>kg</v>
      </c>
      <c r="H143" s="29" cm="1">
        <f t="array" ref="H143">Common_InputFunctions.Utility_DisplayArrayInTable(Scope3_SourceData.Scope3_Feed_Data(), Table_SourceData_Scope3_Feed[[#Headers],[Category]], 0, 2)</f>
        <v>0.11799999999999999</v>
      </c>
      <c r="I143" s="29" t="str" cm="1">
        <f t="array" ref="I143">Common_InputFunctions.Utility_DisplayArrayInTable(Scope3_SourceData.Scope3_Feed_Data(), Table_SourceData_Scope3_Feed[[#Headers],[Category]], 0, 2)</f>
        <v>at market</v>
      </c>
      <c r="K143" s="29" t="str">
        <f>Table_SourceData_Scope3_Feed[[#This Row],[Product]]</f>
        <v>Oaten hay</v>
      </c>
      <c r="L143" s="29" t="str">
        <f>Table_SourceData_Scope3_Feed[[#This Row],[Region of origin]]</f>
        <v>VIC</v>
      </c>
    </row>
    <row r="144" spans="1:16" ht="20.100000000000001" customHeight="1" x14ac:dyDescent="0.25">
      <c r="A144"/>
      <c r="D144" s="29" t="str" cm="1">
        <f t="array" ref="D144">Common_InputFunctions.Utility_DisplayArrayInTable(Scope3_SourceData.Scope3_Feed_Data(), Table_SourceData_Scope3_Feed[[#Headers],[Category]], 0, 2)</f>
        <v>Hay</v>
      </c>
      <c r="E144" s="29" t="str" cm="1">
        <f t="array" ref="E144">Common_InputFunctions.Utility_DisplayArrayInTable(Scope3_SourceData.Scope3_Feed_Data(), Table_SourceData_Scope3_Feed[[#Headers],[Category]], 0, 2)</f>
        <v>Oaten hay</v>
      </c>
      <c r="F144" s="29" t="str" cm="1">
        <f t="array" ref="F144">Common_InputFunctions.Utility_DisplayArrayInTable(Scope3_SourceData.Scope3_Feed_Data(), Table_SourceData_Scope3_Feed[[#Headers],[Category]], 0, 2)</f>
        <v>WA</v>
      </c>
      <c r="G144" s="29" t="str" cm="1">
        <f t="array" ref="G144">Common_InputFunctions.Utility_DisplayArrayInTable(Scope3_SourceData.Scope3_Feed_Data(), Table_SourceData_Scope3_Feed[[#Headers],[Category]], 0, 2)</f>
        <v>kg</v>
      </c>
      <c r="H144" s="29" cm="1">
        <f t="array" ref="H144">Common_InputFunctions.Utility_DisplayArrayInTable(Scope3_SourceData.Scope3_Feed_Data(), Table_SourceData_Scope3_Feed[[#Headers],[Category]], 0, 2)</f>
        <v>0.124</v>
      </c>
      <c r="I144" s="29" t="str" cm="1">
        <f t="array" ref="I144">Common_InputFunctions.Utility_DisplayArrayInTable(Scope3_SourceData.Scope3_Feed_Data(), Table_SourceData_Scope3_Feed[[#Headers],[Category]], 0, 2)</f>
        <v>at market</v>
      </c>
      <c r="K144" s="29" t="str">
        <f>Table_SourceData_Scope3_Feed[[#This Row],[Product]]</f>
        <v>Oaten hay</v>
      </c>
      <c r="L144" s="29" t="str">
        <f>Table_SourceData_Scope3_Feed[[#This Row],[Region of origin]]</f>
        <v>WA</v>
      </c>
      <c r="N144" s="29" t="s">
        <v>138</v>
      </c>
      <c r="O144" s="29" t="s">
        <v>1264</v>
      </c>
      <c r="P144" s="1" t="str">
        <f>"Table_ProductRegions_" &amp; SUBSTITUTE(SUBSTITUTE(SUBSTITUTE(SUBSTITUTE(N145, " ", ""), ",", ""), "(", ""), ")", "")</f>
        <v>Table_ProductRegions_Pasturehay</v>
      </c>
    </row>
    <row r="145" spans="1:16" ht="20.100000000000001" customHeight="1" x14ac:dyDescent="0.25">
      <c r="A145"/>
      <c r="D145" s="29" t="str" cm="1">
        <f t="array" ref="D145">Common_InputFunctions.Utility_DisplayArrayInTable(Scope3_SourceData.Scope3_Feed_Data(), Table_SourceData_Scope3_Feed[[#Headers],[Category]], 0, 2)</f>
        <v>Hay</v>
      </c>
      <c r="E145" s="29" t="str" cm="1">
        <f t="array" ref="E145">Common_InputFunctions.Utility_DisplayArrayInTable(Scope3_SourceData.Scope3_Feed_Data(), Table_SourceData_Scope3_Feed[[#Headers],[Category]], 0, 2)</f>
        <v>Pasture hay</v>
      </c>
      <c r="F145" s="29" t="str" cm="1">
        <f t="array" ref="F145">Common_InputFunctions.Utility_DisplayArrayInTable(Scope3_SourceData.Scope3_Feed_Data(), Table_SourceData_Scope3_Feed[[#Headers],[Category]], 0, 2)</f>
        <v>Australia</v>
      </c>
      <c r="G145" s="29" t="str" cm="1">
        <f t="array" ref="G145">Common_InputFunctions.Utility_DisplayArrayInTable(Scope3_SourceData.Scope3_Feed_Data(), Table_SourceData_Scope3_Feed[[#Headers],[Category]], 0, 2)</f>
        <v>kg</v>
      </c>
      <c r="H145" s="29" cm="1">
        <f t="array" ref="H145">Common_InputFunctions.Utility_DisplayArrayInTable(Scope3_SourceData.Scope3_Feed_Data(), Table_SourceData_Scope3_Feed[[#Headers],[Category]], 0, 2)</f>
        <v>0.33900000000000002</v>
      </c>
      <c r="I145" s="29" t="str" cm="1">
        <f t="array" ref="I145">Common_InputFunctions.Utility_DisplayArrayInTable(Scope3_SourceData.Scope3_Feed_Data(), Table_SourceData_Scope3_Feed[[#Headers],[Category]], 0, 2)</f>
        <v>at market</v>
      </c>
      <c r="N145" s="29" t="str">
        <f>Table_SourceData_Scope3_Feed[[#This Row],[Product]]</f>
        <v>Pasture hay</v>
      </c>
      <c r="O145" s="29" t="str">
        <f>Table_SourceData_Scope3_Feed[[#This Row],[Region of origin]]</f>
        <v>Australia</v>
      </c>
    </row>
    <row r="146" spans="1:16" ht="20.100000000000001" customHeight="1" x14ac:dyDescent="0.25">
      <c r="A146"/>
      <c r="D146" s="29" t="str" cm="1">
        <f t="array" ref="D146">Common_InputFunctions.Utility_DisplayArrayInTable(Scope3_SourceData.Scope3_Feed_Data(), Table_SourceData_Scope3_Feed[[#Headers],[Category]], 0, 2)</f>
        <v>Hay</v>
      </c>
      <c r="E146" s="29" t="str" cm="1">
        <f t="array" ref="E146">Common_InputFunctions.Utility_DisplayArrayInTable(Scope3_SourceData.Scope3_Feed_Data(), Table_SourceData_Scope3_Feed[[#Headers],[Category]], 0, 2)</f>
        <v>Pasture hay</v>
      </c>
      <c r="F146" s="29" t="str" cm="1">
        <f t="array" ref="F146">Common_InputFunctions.Utility_DisplayArrayInTable(Scope3_SourceData.Scope3_Feed_Data(), Table_SourceData_Scope3_Feed[[#Headers],[Category]], 0, 2)</f>
        <v>NSW</v>
      </c>
      <c r="G146" s="29" t="str" cm="1">
        <f t="array" ref="G146">Common_InputFunctions.Utility_DisplayArrayInTable(Scope3_SourceData.Scope3_Feed_Data(), Table_SourceData_Scope3_Feed[[#Headers],[Category]], 0, 2)</f>
        <v>kg</v>
      </c>
      <c r="H146" s="29" cm="1">
        <f t="array" ref="H146">Common_InputFunctions.Utility_DisplayArrayInTable(Scope3_SourceData.Scope3_Feed_Data(), Table_SourceData_Scope3_Feed[[#Headers],[Category]], 0, 2)</f>
        <v>0.311</v>
      </c>
      <c r="I146" s="29" t="str" cm="1">
        <f t="array" ref="I146">Common_InputFunctions.Utility_DisplayArrayInTable(Scope3_SourceData.Scope3_Feed_Data(), Table_SourceData_Scope3_Feed[[#Headers],[Category]], 0, 2)</f>
        <v>at market</v>
      </c>
      <c r="N146" s="29" t="str">
        <f>Table_SourceData_Scope3_Feed[[#This Row],[Product]]</f>
        <v>Pasture hay</v>
      </c>
      <c r="O146" s="29" t="str">
        <f>Table_SourceData_Scope3_Feed[[#This Row],[Region of origin]]</f>
        <v>NSW</v>
      </c>
    </row>
    <row r="147" spans="1:16" ht="20.100000000000001" customHeight="1" x14ac:dyDescent="0.25">
      <c r="A147"/>
      <c r="D147" s="29" t="str" cm="1">
        <f t="array" ref="D147">Common_InputFunctions.Utility_DisplayArrayInTable(Scope3_SourceData.Scope3_Feed_Data(), Table_SourceData_Scope3_Feed[[#Headers],[Category]], 0, 2)</f>
        <v>Hay</v>
      </c>
      <c r="E147" s="29" t="str" cm="1">
        <f t="array" ref="E147">Common_InputFunctions.Utility_DisplayArrayInTable(Scope3_SourceData.Scope3_Feed_Data(), Table_SourceData_Scope3_Feed[[#Headers],[Category]], 0, 2)</f>
        <v>Pasture hay</v>
      </c>
      <c r="F147" s="29" t="str" cm="1">
        <f t="array" ref="F147">Common_InputFunctions.Utility_DisplayArrayInTable(Scope3_SourceData.Scope3_Feed_Data(), Table_SourceData_Scope3_Feed[[#Headers],[Category]], 0, 2)</f>
        <v>QLD</v>
      </c>
      <c r="G147" s="29" t="str" cm="1">
        <f t="array" ref="G147">Common_InputFunctions.Utility_DisplayArrayInTable(Scope3_SourceData.Scope3_Feed_Data(), Table_SourceData_Scope3_Feed[[#Headers],[Category]], 0, 2)</f>
        <v>kg</v>
      </c>
      <c r="H147" s="29" cm="1">
        <f t="array" ref="H147">Common_InputFunctions.Utility_DisplayArrayInTable(Scope3_SourceData.Scope3_Feed_Data(), Table_SourceData_Scope3_Feed[[#Headers],[Category]], 0, 2)</f>
        <v>0.254</v>
      </c>
      <c r="I147" s="29" t="str" cm="1">
        <f t="array" ref="I147">Common_InputFunctions.Utility_DisplayArrayInTable(Scope3_SourceData.Scope3_Feed_Data(), Table_SourceData_Scope3_Feed[[#Headers],[Category]], 0, 2)</f>
        <v>at market</v>
      </c>
      <c r="N147" s="29" t="str">
        <f>Table_SourceData_Scope3_Feed[[#This Row],[Product]]</f>
        <v>Pasture hay</v>
      </c>
      <c r="O147" s="29" t="str">
        <f>Table_SourceData_Scope3_Feed[[#This Row],[Region of origin]]</f>
        <v>QLD</v>
      </c>
    </row>
    <row r="148" spans="1:16" ht="20.100000000000001" customHeight="1" x14ac:dyDescent="0.25">
      <c r="A148"/>
      <c r="D148" s="29" t="str" cm="1">
        <f t="array" ref="D148">Common_InputFunctions.Utility_DisplayArrayInTable(Scope3_SourceData.Scope3_Feed_Data(), Table_SourceData_Scope3_Feed[[#Headers],[Category]], 0, 2)</f>
        <v>Hay</v>
      </c>
      <c r="E148" s="29" t="str" cm="1">
        <f t="array" ref="E148">Common_InputFunctions.Utility_DisplayArrayInTable(Scope3_SourceData.Scope3_Feed_Data(), Table_SourceData_Scope3_Feed[[#Headers],[Category]], 0, 2)</f>
        <v>Pasture hay</v>
      </c>
      <c r="F148" s="29" t="str" cm="1">
        <f t="array" ref="F148">Common_InputFunctions.Utility_DisplayArrayInTable(Scope3_SourceData.Scope3_Feed_Data(), Table_SourceData_Scope3_Feed[[#Headers],[Category]], 0, 2)</f>
        <v>SA</v>
      </c>
      <c r="G148" s="29" t="str" cm="1">
        <f t="array" ref="G148">Common_InputFunctions.Utility_DisplayArrayInTable(Scope3_SourceData.Scope3_Feed_Data(), Table_SourceData_Scope3_Feed[[#Headers],[Category]], 0, 2)</f>
        <v>kg</v>
      </c>
      <c r="H148" s="29" cm="1">
        <f t="array" ref="H148">Common_InputFunctions.Utility_DisplayArrayInTable(Scope3_SourceData.Scope3_Feed_Data(), Table_SourceData_Scope3_Feed[[#Headers],[Category]], 0, 2)</f>
        <v>0.313</v>
      </c>
      <c r="I148" s="29" t="str" cm="1">
        <f t="array" ref="I148">Common_InputFunctions.Utility_DisplayArrayInTable(Scope3_SourceData.Scope3_Feed_Data(), Table_SourceData_Scope3_Feed[[#Headers],[Category]], 0, 2)</f>
        <v>at market</v>
      </c>
      <c r="N148" s="29" t="str">
        <f>Table_SourceData_Scope3_Feed[[#This Row],[Product]]</f>
        <v>Pasture hay</v>
      </c>
      <c r="O148" s="29" t="str">
        <f>Table_SourceData_Scope3_Feed[[#This Row],[Region of origin]]</f>
        <v>SA</v>
      </c>
    </row>
    <row r="149" spans="1:16" ht="20.100000000000001" customHeight="1" x14ac:dyDescent="0.25">
      <c r="A149"/>
      <c r="D149" s="29" t="str" cm="1">
        <f t="array" ref="D149">Common_InputFunctions.Utility_DisplayArrayInTable(Scope3_SourceData.Scope3_Feed_Data(), Table_SourceData_Scope3_Feed[[#Headers],[Category]], 0, 2)</f>
        <v>Hay</v>
      </c>
      <c r="E149" s="29" t="str" cm="1">
        <f t="array" ref="E149">Common_InputFunctions.Utility_DisplayArrayInTable(Scope3_SourceData.Scope3_Feed_Data(), Table_SourceData_Scope3_Feed[[#Headers],[Category]], 0, 2)</f>
        <v>Pasture hay</v>
      </c>
      <c r="F149" s="29" t="str" cm="1">
        <f t="array" ref="F149">Common_InputFunctions.Utility_DisplayArrayInTable(Scope3_SourceData.Scope3_Feed_Data(), Table_SourceData_Scope3_Feed[[#Headers],[Category]], 0, 2)</f>
        <v>TAS</v>
      </c>
      <c r="G149" s="29" t="str" cm="1">
        <f t="array" ref="G149">Common_InputFunctions.Utility_DisplayArrayInTable(Scope3_SourceData.Scope3_Feed_Data(), Table_SourceData_Scope3_Feed[[#Headers],[Category]], 0, 2)</f>
        <v>kg</v>
      </c>
      <c r="H149" s="29" cm="1">
        <f t="array" ref="H149">Common_InputFunctions.Utility_DisplayArrayInTable(Scope3_SourceData.Scope3_Feed_Data(), Table_SourceData_Scope3_Feed[[#Headers],[Category]], 0, 2)</f>
        <v>0.39800000000000002</v>
      </c>
      <c r="I149" s="29" t="str" cm="1">
        <f t="array" ref="I149">Common_InputFunctions.Utility_DisplayArrayInTable(Scope3_SourceData.Scope3_Feed_Data(), Table_SourceData_Scope3_Feed[[#Headers],[Category]], 0, 2)</f>
        <v>at market</v>
      </c>
      <c r="N149" s="29" t="str">
        <f>Table_SourceData_Scope3_Feed[[#This Row],[Product]]</f>
        <v>Pasture hay</v>
      </c>
      <c r="O149" s="29" t="str">
        <f>Table_SourceData_Scope3_Feed[[#This Row],[Region of origin]]</f>
        <v>TAS</v>
      </c>
    </row>
    <row r="150" spans="1:16" ht="20.100000000000001" customHeight="1" x14ac:dyDescent="0.25">
      <c r="A150"/>
      <c r="D150" s="29" t="str" cm="1">
        <f t="array" ref="D150">Common_InputFunctions.Utility_DisplayArrayInTable(Scope3_SourceData.Scope3_Feed_Data(), Table_SourceData_Scope3_Feed[[#Headers],[Category]], 0, 2)</f>
        <v>Hay</v>
      </c>
      <c r="E150" s="29" t="str" cm="1">
        <f t="array" ref="E150">Common_InputFunctions.Utility_DisplayArrayInTable(Scope3_SourceData.Scope3_Feed_Data(), Table_SourceData_Scope3_Feed[[#Headers],[Category]], 0, 2)</f>
        <v>Pasture hay</v>
      </c>
      <c r="F150" s="29" t="str" cm="1">
        <f t="array" ref="F150">Common_InputFunctions.Utility_DisplayArrayInTable(Scope3_SourceData.Scope3_Feed_Data(), Table_SourceData_Scope3_Feed[[#Headers],[Category]], 0, 2)</f>
        <v>VIC</v>
      </c>
      <c r="G150" s="29" t="str" cm="1">
        <f t="array" ref="G150">Common_InputFunctions.Utility_DisplayArrayInTable(Scope3_SourceData.Scope3_Feed_Data(), Table_SourceData_Scope3_Feed[[#Headers],[Category]], 0, 2)</f>
        <v>kg</v>
      </c>
      <c r="H150" s="29" cm="1">
        <f t="array" ref="H150">Common_InputFunctions.Utility_DisplayArrayInTable(Scope3_SourceData.Scope3_Feed_Data(), Table_SourceData_Scope3_Feed[[#Headers],[Category]], 0, 2)</f>
        <v>0.34499999999999997</v>
      </c>
      <c r="I150" s="29" t="str" cm="1">
        <f t="array" ref="I150">Common_InputFunctions.Utility_DisplayArrayInTable(Scope3_SourceData.Scope3_Feed_Data(), Table_SourceData_Scope3_Feed[[#Headers],[Category]], 0, 2)</f>
        <v>at market</v>
      </c>
      <c r="N150" s="29" t="str">
        <f>Table_SourceData_Scope3_Feed[[#This Row],[Product]]</f>
        <v>Pasture hay</v>
      </c>
      <c r="O150" s="29" t="str">
        <f>Table_SourceData_Scope3_Feed[[#This Row],[Region of origin]]</f>
        <v>VIC</v>
      </c>
    </row>
    <row r="151" spans="1:16" ht="20.100000000000001" customHeight="1" x14ac:dyDescent="0.25">
      <c r="A151"/>
      <c r="D151" s="29" t="str" cm="1">
        <f t="array" ref="D151">Common_InputFunctions.Utility_DisplayArrayInTable(Scope3_SourceData.Scope3_Feed_Data(), Table_SourceData_Scope3_Feed[[#Headers],[Category]], 0, 2)</f>
        <v>Hay</v>
      </c>
      <c r="E151" s="29" t="str" cm="1">
        <f t="array" ref="E151">Common_InputFunctions.Utility_DisplayArrayInTable(Scope3_SourceData.Scope3_Feed_Data(), Table_SourceData_Scope3_Feed[[#Headers],[Category]], 0, 2)</f>
        <v>Pasture hay</v>
      </c>
      <c r="F151" s="29" t="str" cm="1">
        <f t="array" ref="F151">Common_InputFunctions.Utility_DisplayArrayInTable(Scope3_SourceData.Scope3_Feed_Data(), Table_SourceData_Scope3_Feed[[#Headers],[Category]], 0, 2)</f>
        <v>WA</v>
      </c>
      <c r="G151" s="29" t="str" cm="1">
        <f t="array" ref="G151">Common_InputFunctions.Utility_DisplayArrayInTable(Scope3_SourceData.Scope3_Feed_Data(), Table_SourceData_Scope3_Feed[[#Headers],[Category]], 0, 2)</f>
        <v>kg</v>
      </c>
      <c r="H151" s="29" cm="1">
        <f t="array" ref="H151">Common_InputFunctions.Utility_DisplayArrayInTable(Scope3_SourceData.Scope3_Feed_Data(), Table_SourceData_Scope3_Feed[[#Headers],[Category]], 0, 2)</f>
        <v>0.36799999999999999</v>
      </c>
      <c r="I151" s="29" t="str" cm="1">
        <f t="array" ref="I151">Common_InputFunctions.Utility_DisplayArrayInTable(Scope3_SourceData.Scope3_Feed_Data(), Table_SourceData_Scope3_Feed[[#Headers],[Category]], 0, 2)</f>
        <v>at market</v>
      </c>
      <c r="K151" s="280" t="s">
        <v>138</v>
      </c>
      <c r="L151" s="280" t="s">
        <v>1264</v>
      </c>
      <c r="M151" s="1" t="str">
        <f>"Table_ProductRegions_" &amp; SUBSTITUTE(SUBSTITUTE(SUBSTITUTE(SUBSTITUTE(K152, " ", ""), ",", ""), "(", ""), ")", "")</f>
        <v>Table_ProductRegions_Canolameal</v>
      </c>
      <c r="N151" s="29" t="str">
        <f>Table_SourceData_Scope3_Feed[[#This Row],[Product]]</f>
        <v>Pasture hay</v>
      </c>
      <c r="O151" s="29" t="str">
        <f>Table_SourceData_Scope3_Feed[[#This Row],[Region of origin]]</f>
        <v>WA</v>
      </c>
    </row>
    <row r="152" spans="1:16" ht="20.100000000000001" customHeight="1" x14ac:dyDescent="0.25">
      <c r="A152"/>
      <c r="D152" s="29" t="str" cm="1">
        <f t="array" ref="D152">Common_InputFunctions.Utility_DisplayArrayInTable(Scope3_SourceData.Scope3_Feed_Data(), Table_SourceData_Scope3_Feed[[#Headers],[Category]], 0, 2)</f>
        <v>Meal</v>
      </c>
      <c r="E152" s="29" t="str" cm="1">
        <f t="array" ref="E152">Common_InputFunctions.Utility_DisplayArrayInTable(Scope3_SourceData.Scope3_Feed_Data(), Table_SourceData_Scope3_Feed[[#Headers],[Category]], 0, 2)</f>
        <v>Canola meal</v>
      </c>
      <c r="F152" s="29" t="str" cm="1">
        <f t="array" ref="F152">Common_InputFunctions.Utility_DisplayArrayInTable(Scope3_SourceData.Scope3_Feed_Data(), Table_SourceData_Scope3_Feed[[#Headers],[Category]], 0, 2)</f>
        <v>Australia</v>
      </c>
      <c r="G152" s="29" t="str" cm="1">
        <f t="array" ref="G152">Common_InputFunctions.Utility_DisplayArrayInTable(Scope3_SourceData.Scope3_Feed_Data(), Table_SourceData_Scope3_Feed[[#Headers],[Category]], 0, 2)</f>
        <v>kg</v>
      </c>
      <c r="H152" s="29" cm="1">
        <f t="array" ref="H152">Common_InputFunctions.Utility_DisplayArrayInTable(Scope3_SourceData.Scope3_Feed_Data(), Table_SourceData_Scope3_Feed[[#Headers],[Category]], 0, 2)</f>
        <v>0.24399999999999999</v>
      </c>
      <c r="I152" s="29"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29" t="s">
        <v>138</v>
      </c>
      <c r="O152" s="29" t="s">
        <v>1264</v>
      </c>
      <c r="P152" s="1" t="str">
        <f>"Table_ProductRegions_" &amp; SUBSTITUTE(SUBSTITUTE(SUBSTITUTE(SUBSTITUTE(N153, " ", ""), ",", ""), "(", ""), ")", "")</f>
        <v>Table_ProductRegions_Meatmeal</v>
      </c>
    </row>
    <row r="153" spans="1:16" ht="20.100000000000001" customHeight="1" x14ac:dyDescent="0.25">
      <c r="A153"/>
      <c r="D153" s="29" t="str" cm="1">
        <f t="array" ref="D153">Common_InputFunctions.Utility_DisplayArrayInTable(Scope3_SourceData.Scope3_Feed_Data(), Table_SourceData_Scope3_Feed[[#Headers],[Category]], 0, 2)</f>
        <v>Meal</v>
      </c>
      <c r="E153" s="29" t="str" cm="1">
        <f t="array" ref="E153">Common_InputFunctions.Utility_DisplayArrayInTable(Scope3_SourceData.Scope3_Feed_Data(), Table_SourceData_Scope3_Feed[[#Headers],[Category]], 0, 2)</f>
        <v>Meat meal</v>
      </c>
      <c r="F153" s="29" t="str" cm="1">
        <f t="array" ref="F153">Common_InputFunctions.Utility_DisplayArrayInTable(Scope3_SourceData.Scope3_Feed_Data(), Table_SourceData_Scope3_Feed[[#Headers],[Category]], 0, 2)</f>
        <v>Australia</v>
      </c>
      <c r="G153" s="29" t="str" cm="1">
        <f t="array" ref="G153">Common_InputFunctions.Utility_DisplayArrayInTable(Scope3_SourceData.Scope3_Feed_Data(), Table_SourceData_Scope3_Feed[[#Headers],[Category]], 0, 2)</f>
        <v>kg</v>
      </c>
      <c r="H153" s="29" cm="1">
        <f t="array" ref="H153">Common_InputFunctions.Utility_DisplayArrayInTable(Scope3_SourceData.Scope3_Feed_Data(), Table_SourceData_Scope3_Feed[[#Headers],[Category]], 0, 2)</f>
        <v>0.40799999999999997</v>
      </c>
      <c r="I153" s="29" t="str" cm="1">
        <f t="array" ref="I153">Common_InputFunctions.Utility_DisplayArrayInTable(Scope3_SourceData.Scope3_Feed_Data(), Table_SourceData_Scope3_Feed[[#Headers],[Category]], 0, 2)</f>
        <v>at market</v>
      </c>
      <c r="K153" s="29" t="s">
        <v>138</v>
      </c>
      <c r="L153" s="29" t="s">
        <v>1264</v>
      </c>
      <c r="M153" s="1" t="str">
        <f>"Table_ProductRegions_" &amp; SUBSTITUTE(SUBSTITUTE(SUBSTITUTE(SUBSTITUTE(K154, " ", ""), ",", ""), "(", ""), ")", "")</f>
        <v>Table_ProductRegions_Soybeanmeal</v>
      </c>
      <c r="N153" s="29" t="str">
        <f>Table_SourceData_Scope3_Feed[[#This Row],[Product]]</f>
        <v>Meat meal</v>
      </c>
      <c r="O153" s="29" t="str">
        <f>Table_SourceData_Scope3_Feed[[#This Row],[Region of origin]]</f>
        <v>Australia</v>
      </c>
    </row>
    <row r="154" spans="1:16" ht="20.100000000000001" customHeight="1" x14ac:dyDescent="0.25">
      <c r="A154"/>
      <c r="D154" s="29" t="str" cm="1">
        <f t="array" ref="D154">Common_InputFunctions.Utility_DisplayArrayInTable(Scope3_SourceData.Scope3_Feed_Data(), Table_SourceData_Scope3_Feed[[#Headers],[Category]], 0, 2)</f>
        <v>Meal</v>
      </c>
      <c r="E154" s="29" t="str" cm="1">
        <f t="array" ref="E154">Common_InputFunctions.Utility_DisplayArrayInTable(Scope3_SourceData.Scope3_Feed_Data(), Table_SourceData_Scope3_Feed[[#Headers],[Category]], 0, 2)</f>
        <v>Soybean meal</v>
      </c>
      <c r="F154" s="29" t="str" cm="1">
        <f t="array" ref="F154">Common_InputFunctions.Utility_DisplayArrayInTable(Scope3_SourceData.Scope3_Feed_Data(), Table_SourceData_Scope3_Feed[[#Headers],[Category]], 0, 2)</f>
        <v>Brazil</v>
      </c>
      <c r="G154" s="29" t="str" cm="1">
        <f t="array" ref="G154">Common_InputFunctions.Utility_DisplayArrayInTable(Scope3_SourceData.Scope3_Feed_Data(), Table_SourceData_Scope3_Feed[[#Headers],[Category]], 0, 2)</f>
        <v>kg</v>
      </c>
      <c r="H154" s="29" cm="1">
        <f t="array" ref="H154">Common_InputFunctions.Utility_DisplayArrayInTable(Scope3_SourceData.Scope3_Feed_Data(), Table_SourceData_Scope3_Feed[[#Headers],[Category]], 0, 2)</f>
        <v>0.42599999999999999</v>
      </c>
      <c r="I154" s="29" t="str" cm="1">
        <f t="array" ref="I154">Common_InputFunctions.Utility_DisplayArrayInTable(Scope3_SourceData.Scope3_Feed_Data(), Table_SourceData_Scope3_Feed[[#Headers],[Category]], 0, 2)</f>
        <v>at market</v>
      </c>
      <c r="K154" s="29" t="str">
        <f>Table_SourceData_Scope3_Feed[[#This Row],[Product]]</f>
        <v>Soybean meal</v>
      </c>
      <c r="L154" s="29" t="str">
        <f>Table_SourceData_Scope3_Feed[[#This Row],[Region of origin]]</f>
        <v>Brazil</v>
      </c>
      <c r="N154" s="29" t="s">
        <v>138</v>
      </c>
      <c r="O154" s="29" t="s">
        <v>1264</v>
      </c>
      <c r="P154" s="1" t="str">
        <f>"Table_ProductRegions_" &amp; SUBSTITUTE(SUBSTITUTE(SUBSTITUTE(SUBSTITUTE(N155, " ", ""), ",", ""), "(", ""), ")", "")</f>
        <v>Table_ProductRegions_Wheatbran</v>
      </c>
    </row>
    <row r="155" spans="1:16" ht="20.100000000000001" customHeight="1" x14ac:dyDescent="0.25">
      <c r="A155"/>
      <c r="D155" s="29" t="str" cm="1">
        <f t="array" ref="D155">Common_InputFunctions.Utility_DisplayArrayInTable(Scope3_SourceData.Scope3_Feed_Data(), Table_SourceData_Scope3_Feed[[#Headers],[Category]], 0, 2)</f>
        <v>Meal</v>
      </c>
      <c r="E155" s="29" t="str" cm="1">
        <f t="array" ref="E155">Common_InputFunctions.Utility_DisplayArrayInTable(Scope3_SourceData.Scope3_Feed_Data(), Table_SourceData_Scope3_Feed[[#Headers],[Category]], 0, 2)</f>
        <v>Wheat bran</v>
      </c>
      <c r="F155" s="29" t="str" cm="1">
        <f t="array" ref="F155">Common_InputFunctions.Utility_DisplayArrayInTable(Scope3_SourceData.Scope3_Feed_Data(), Table_SourceData_Scope3_Feed[[#Headers],[Category]], 0, 2)</f>
        <v>Australia</v>
      </c>
      <c r="G155" s="29" t="str" cm="1">
        <f t="array" ref="G155">Common_InputFunctions.Utility_DisplayArrayInTable(Scope3_SourceData.Scope3_Feed_Data(), Table_SourceData_Scope3_Feed[[#Headers],[Category]], 0, 2)</f>
        <v>kg</v>
      </c>
      <c r="H155" s="29" cm="1">
        <f t="array" ref="H155">Common_InputFunctions.Utility_DisplayArrayInTable(Scope3_SourceData.Scope3_Feed_Data(), Table_SourceData_Scope3_Feed[[#Headers],[Category]], 0, 2)</f>
        <v>0.19600000000000001</v>
      </c>
      <c r="I155" s="29" t="str" cm="1">
        <f t="array" ref="I155">Common_InputFunctions.Utility_DisplayArrayInTable(Scope3_SourceData.Scope3_Feed_Data(), Table_SourceData_Scope3_Feed[[#Headers],[Category]], 0, 2)</f>
        <v>at market</v>
      </c>
      <c r="K155" s="29" t="s">
        <v>138</v>
      </c>
      <c r="L155" s="29" t="s">
        <v>1264</v>
      </c>
      <c r="M155" s="1" t="str">
        <f>"Table_ProductRegions_" &amp; SUBSTITUTE(SUBSTITUTE(SUBSTITUTE(SUBSTITUTE(K156, " ", ""), ",", ""), "(", ""), ")", "")</f>
        <v>Table_ProductRegions_Bentonite</v>
      </c>
      <c r="N155" s="29" t="str">
        <f>Table_SourceData_Scope3_Feed[[#This Row],[Product]]</f>
        <v>Wheat bran</v>
      </c>
      <c r="O155" s="29"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29" t="str">
        <f>Table_SourceData_Scope3_Feed[[#This Row],[Product]]</f>
        <v>Bentonite</v>
      </c>
      <c r="L156" s="29" t="str">
        <f>Table_SourceData_Scope3_Feed[[#This Row],[Region of origin]]</f>
        <v>Australia</v>
      </c>
      <c r="N156" s="29" t="s">
        <v>138</v>
      </c>
      <c r="O156" s="29" t="s">
        <v>1264</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29" t="s">
        <v>138</v>
      </c>
      <c r="L157" s="29" t="s">
        <v>1264</v>
      </c>
      <c r="M157" s="1" t="str">
        <f>"Table_ProductRegions_" &amp; SUBSTITUTE(SUBSTITUTE(SUBSTITUTE(SUBSTITUTE(K158, " ", ""), ",", ""), "(", ""), ")", "")</f>
        <v>Table_ProductRegions_Cottonseed</v>
      </c>
      <c r="N157" s="29" t="str">
        <f>Table_SourceData_Scope3_Feed[[#This Row],[Product]]</f>
        <v>Canola oil</v>
      </c>
      <c r="O157" s="29"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29" t="str">
        <f>Table_SourceData_Scope3_Feed[[#This Row],[Product]]</f>
        <v>Cotton seed</v>
      </c>
      <c r="L158" s="29" t="str">
        <f>Table_SourceData_Scope3_Feed[[#This Row],[Region of origin]]</f>
        <v>Australia</v>
      </c>
      <c r="N158" s="29" t="s">
        <v>138</v>
      </c>
      <c r="O158" s="29" t="s">
        <v>1264</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29" t="str">
        <f>Table_SourceData_Scope3_Feed[[#This Row],[Product]]</f>
        <v>Molasses</v>
      </c>
      <c r="O159" s="29" t="str">
        <f>Table_SourceData_Scope3_Feed[[#This Row],[Region of origin]]</f>
        <v>QLD</v>
      </c>
    </row>
    <row r="160" spans="1:16" ht="20.100000000000001" customHeight="1" x14ac:dyDescent="0.25">
      <c r="A160"/>
    </row>
    <row r="161" spans="4:13" ht="20.100000000000001" customHeight="1" x14ac:dyDescent="0.25">
      <c r="D161" s="29" t="s">
        <v>1259</v>
      </c>
      <c r="E161" s="29" t="s">
        <v>138</v>
      </c>
      <c r="F161" s="29" t="s">
        <v>1260</v>
      </c>
      <c r="G161" s="29" t="s">
        <v>1261</v>
      </c>
      <c r="H161" s="29" t="s">
        <v>1262</v>
      </c>
      <c r="I161" s="29" t="s">
        <v>1263</v>
      </c>
    </row>
    <row r="162" spans="4:13" ht="20.100000000000001" customHeight="1" x14ac:dyDescent="0.25">
      <c r="D162" s="29" t="str" cm="1">
        <f t="array" ref="D162">Common_InputFunctions.Utility_DisplayArrayInTable(Scope3_SourceData.Scope3_Feed_Data(), Table_SourceData_Scope3_MixedRations[[#Headers],[Category]], -66, 2)</f>
        <v>Mixed rations</v>
      </c>
      <c r="E162" s="29" t="str" cm="1">
        <f t="array" ref="E162">Common_InputFunctions.Utility_DisplayArrayInTable(Scope3_SourceData.Scope3_Feed_Data(), Table_SourceData_Scope3_MixedRations[[#Headers],[Category]], -66, 2)</f>
        <v>Feed for chickens</v>
      </c>
      <c r="F162" s="29" t="str" cm="1">
        <f t="array" ref="F162">Common_InputFunctions.Utility_DisplayArrayInTable(Scope3_SourceData.Scope3_Feed_Data(), Table_SourceData_Scope3_MixedRations[[#Headers],[Category]], -66, 2)</f>
        <v>Australia</v>
      </c>
      <c r="G162" s="29" t="str" cm="1">
        <f t="array" ref="G162">Common_InputFunctions.Utility_DisplayArrayInTable(Scope3_SourceData.Scope3_Feed_Data(), Table_SourceData_Scope3_MixedRations[[#Headers],[Category]], -66, 2)</f>
        <v>kg</v>
      </c>
      <c r="H162" s="29" cm="1">
        <f t="array" ref="H162">Common_InputFunctions.Utility_DisplayArrayInTable(Scope3_SourceData.Scope3_Feed_Data(), Table_SourceData_Scope3_MixedRations[[#Headers],[Category]], -66, 2)</f>
        <v>0.59399999999999997</v>
      </c>
      <c r="I162" s="29" t="str" cm="1">
        <f t="array" ref="I162">Common_InputFunctions.Utility_DisplayArrayInTable(Scope3_SourceData.Scope3_Feed_Data(), Table_SourceData_Scope3_MixedRations[[#Headers],[Category]], -66, 2)</f>
        <v>at market</v>
      </c>
    </row>
    <row r="163" spans="4:13" ht="20.100000000000001" customHeight="1" x14ac:dyDescent="0.25">
      <c r="D163" s="29" t="str" cm="1">
        <f t="array" ref="D163">Common_InputFunctions.Utility_DisplayArrayInTable(Scope3_SourceData.Scope3_Feed_Data(), Table_SourceData_Scope3_MixedRations[[#Headers],[Category]], -66, 2)</f>
        <v>Mixed rations</v>
      </c>
      <c r="E163" s="29" t="str" cm="1">
        <f t="array" ref="E163">Common_InputFunctions.Utility_DisplayArrayInTable(Scope3_SourceData.Scope3_Feed_Data(), Table_SourceData_Scope3_MixedRations[[#Headers],[Category]], -66, 2)</f>
        <v>Feed for dairy calves</v>
      </c>
      <c r="F163" s="29" t="str" cm="1">
        <f t="array" ref="F163">Common_InputFunctions.Utility_DisplayArrayInTable(Scope3_SourceData.Scope3_Feed_Data(), Table_SourceData_Scope3_MixedRations[[#Headers],[Category]], -66, 2)</f>
        <v>Australia</v>
      </c>
      <c r="G163" s="29" t="str" cm="1">
        <f t="array" ref="G163">Common_InputFunctions.Utility_DisplayArrayInTable(Scope3_SourceData.Scope3_Feed_Data(), Table_SourceData_Scope3_MixedRations[[#Headers],[Category]], -66, 2)</f>
        <v>kg</v>
      </c>
      <c r="H163" s="29" cm="1">
        <f t="array" ref="H163">Common_InputFunctions.Utility_DisplayArrayInTable(Scope3_SourceData.Scope3_Feed_Data(), Table_SourceData_Scope3_MixedRations[[#Headers],[Category]], -66, 2)</f>
        <v>0.41899999999999998</v>
      </c>
      <c r="I163" s="29" t="str" cm="1">
        <f t="array" ref="I163">Common_InputFunctions.Utility_DisplayArrayInTable(Scope3_SourceData.Scope3_Feed_Data(), Table_SourceData_Scope3_MixedRations[[#Headers],[Category]], -66, 2)</f>
        <v>at market</v>
      </c>
    </row>
    <row r="164" spans="4:13" ht="20.100000000000001" customHeight="1" x14ac:dyDescent="0.25">
      <c r="D164" s="29" t="str" cm="1">
        <f t="array" ref="D164">Common_InputFunctions.Utility_DisplayArrayInTable(Scope3_SourceData.Scope3_Feed_Data(), Table_SourceData_Scope3_MixedRations[[#Headers],[Category]], -66, 2)</f>
        <v>Mixed rations</v>
      </c>
      <c r="E164" s="29" t="str" cm="1">
        <f t="array" ref="E164">Common_InputFunctions.Utility_DisplayArrayInTable(Scope3_SourceData.Scope3_Feed_Data(), Table_SourceData_Scope3_MixedRations[[#Headers],[Category]], -66, 2)</f>
        <v>Feed for dairy cows</v>
      </c>
      <c r="F164" s="29" t="str" cm="1">
        <f t="array" ref="F164">Common_InputFunctions.Utility_DisplayArrayInTable(Scope3_SourceData.Scope3_Feed_Data(), Table_SourceData_Scope3_MixedRations[[#Headers],[Category]], -66, 2)</f>
        <v>Australia</v>
      </c>
      <c r="G164" s="29" t="str" cm="1">
        <f t="array" ref="G164">Common_InputFunctions.Utility_DisplayArrayInTable(Scope3_SourceData.Scope3_Feed_Data(), Table_SourceData_Scope3_MixedRations[[#Headers],[Category]], -66, 2)</f>
        <v>kg</v>
      </c>
      <c r="H164" s="29" cm="1">
        <f t="array" ref="H164">Common_InputFunctions.Utility_DisplayArrayInTable(Scope3_SourceData.Scope3_Feed_Data(), Table_SourceData_Scope3_MixedRations[[#Headers],[Category]], -66, 2)</f>
        <v>0.33300000000000002</v>
      </c>
      <c r="I164" s="29" t="str" cm="1">
        <f t="array" ref="I164">Common_InputFunctions.Utility_DisplayArrayInTable(Scope3_SourceData.Scope3_Feed_Data(), Table_SourceData_Scope3_MixedRations[[#Headers],[Category]], -66, 2)</f>
        <v>at market</v>
      </c>
    </row>
    <row r="165" spans="4:13" ht="20.100000000000001" customHeight="1" x14ac:dyDescent="0.25">
      <c r="D165" s="29" t="str" cm="1">
        <f t="array" ref="D165">Common_InputFunctions.Utility_DisplayArrayInTable(Scope3_SourceData.Scope3_Feed_Data(), Table_SourceData_Scope3_MixedRations[[#Headers],[Category]], -66, 2)</f>
        <v>Mixed rations</v>
      </c>
      <c r="E165" s="29" t="str" cm="1">
        <f t="array" ref="E165">Common_InputFunctions.Utility_DisplayArrayInTable(Scope3_SourceData.Scope3_Feed_Data(), Table_SourceData_Scope3_MixedRations[[#Headers],[Category]], -66, 2)</f>
        <v>Feed for pigs</v>
      </c>
      <c r="F165" s="29" t="str" cm="1">
        <f t="array" ref="F165">Common_InputFunctions.Utility_DisplayArrayInTable(Scope3_SourceData.Scope3_Feed_Data(), Table_SourceData_Scope3_MixedRations[[#Headers],[Category]], -66, 2)</f>
        <v>Australia</v>
      </c>
      <c r="G165" s="29" t="str" cm="1">
        <f t="array" ref="G165">Common_InputFunctions.Utility_DisplayArrayInTable(Scope3_SourceData.Scope3_Feed_Data(), Table_SourceData_Scope3_MixedRations[[#Headers],[Category]], -66, 2)</f>
        <v>kg</v>
      </c>
      <c r="H165" s="29" cm="1">
        <f t="array" ref="H165">Common_InputFunctions.Utility_DisplayArrayInTable(Scope3_SourceData.Scope3_Feed_Data(), Table_SourceData_Scope3_MixedRations[[#Headers],[Category]], -66, 2)</f>
        <v>0.40300000000000002</v>
      </c>
      <c r="I165" s="29"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29" t="s">
        <v>1259</v>
      </c>
      <c r="E167" s="29" t="s">
        <v>138</v>
      </c>
      <c r="F167" s="29" t="s">
        <v>1260</v>
      </c>
      <c r="G167" s="29" t="s">
        <v>1261</v>
      </c>
      <c r="H167" s="29" t="s">
        <v>1262</v>
      </c>
      <c r="I167" s="29" t="s">
        <v>1263</v>
      </c>
    </row>
    <row r="168" spans="4:13" ht="20.100000000000001" customHeight="1" x14ac:dyDescent="0.25">
      <c r="D168" s="29" t="str" cm="1">
        <f t="array" ref="D168">Common_InputFunctions.Utility_DisplayArrayInTable(Scope3_SourceData.Scope3_Feed_Data(), Table_SourceData_Scope3_LickBlocks[[#Headers],[Category]], -73, 2)</f>
        <v>Other</v>
      </c>
      <c r="E168" s="29" t="str" cm="1">
        <f t="array" ref="E168">Common_InputFunctions.Utility_DisplayArrayInTable(Scope3_SourceData.Scope3_Feed_Data(), Table_SourceData_Scope3_LickBlocks[[#Headers],[Category]], -73, 2)</f>
        <v>Lick block, dry season mix</v>
      </c>
      <c r="F168" s="29" t="str" cm="1">
        <f t="array" ref="F168">Common_InputFunctions.Utility_DisplayArrayInTable(Scope3_SourceData.Scope3_Feed_Data(), Table_SourceData_Scope3_LickBlocks[[#Headers],[Category]], -73, 2)</f>
        <v>Australia</v>
      </c>
      <c r="G168" s="29" t="str" cm="1">
        <f t="array" ref="G168">Common_InputFunctions.Utility_DisplayArrayInTable(Scope3_SourceData.Scope3_Feed_Data(), Table_SourceData_Scope3_LickBlocks[[#Headers],[Category]], -73, 2)</f>
        <v>kg</v>
      </c>
      <c r="H168" s="29" cm="1">
        <f t="array" ref="H168">Common_InputFunctions.Utility_DisplayArrayInTable(Scope3_SourceData.Scope3_Feed_Data(), Table_SourceData_Scope3_LickBlocks[[#Headers],[Category]], -73, 2)</f>
        <v>0.88100000000000001</v>
      </c>
      <c r="I168" s="29" t="str" cm="1">
        <f t="array" ref="I168">Common_InputFunctions.Utility_DisplayArrayInTable(Scope3_SourceData.Scope3_Feed_Data(), Table_SourceData_Scope3_LickBlocks[[#Headers],[Category]], -73, 2)</f>
        <v>at market</v>
      </c>
    </row>
    <row r="169" spans="4:13" ht="20.100000000000001" customHeight="1" x14ac:dyDescent="0.25">
      <c r="D169" s="29" t="str" cm="1">
        <f t="array" ref="D169">Common_InputFunctions.Utility_DisplayArrayInTable(Scope3_SourceData.Scope3_Feed_Data(), Table_SourceData_Scope3_LickBlocks[[#Headers],[Category]], -73, 2)</f>
        <v>Other</v>
      </c>
      <c r="E169" s="29" t="str" cm="1">
        <f t="array" ref="E169">Common_InputFunctions.Utility_DisplayArrayInTable(Scope3_SourceData.Scope3_Feed_Data(), Table_SourceData_Scope3_LickBlocks[[#Headers],[Category]], -73, 2)</f>
        <v>Lick block, mineral</v>
      </c>
      <c r="F169" s="29" t="str" cm="1">
        <f t="array" ref="F169">Common_InputFunctions.Utility_DisplayArrayInTable(Scope3_SourceData.Scope3_Feed_Data(), Table_SourceData_Scope3_LickBlocks[[#Headers],[Category]], -73, 2)</f>
        <v>Australia</v>
      </c>
      <c r="G169" s="29" t="str" cm="1">
        <f t="array" ref="G169">Common_InputFunctions.Utility_DisplayArrayInTable(Scope3_SourceData.Scope3_Feed_Data(), Table_SourceData_Scope3_LickBlocks[[#Headers],[Category]], -73, 2)</f>
        <v>kg</v>
      </c>
      <c r="H169" s="29" cm="1">
        <f t="array" ref="H169">Common_InputFunctions.Utility_DisplayArrayInTable(Scope3_SourceData.Scope3_Feed_Data(), Table_SourceData_Scope3_LickBlocks[[#Headers],[Category]], -73, 2)</f>
        <v>0.67700000000000005</v>
      </c>
      <c r="I169" s="29" t="str" cm="1">
        <f t="array" ref="I169">Common_InputFunctions.Utility_DisplayArrayInTable(Scope3_SourceData.Scope3_Feed_Data(), Table_SourceData_Scope3_LickBlocks[[#Headers],[Category]], -73, 2)</f>
        <v>at market</v>
      </c>
    </row>
    <row r="170" spans="4:13" ht="20.100000000000001" customHeight="1" x14ac:dyDescent="0.25">
      <c r="D170" s="29" t="str" cm="1">
        <f t="array" ref="D170">Common_InputFunctions.Utility_DisplayArrayInTable(Scope3_SourceData.Scope3_Feed_Data(), Table_SourceData_Scope3_LickBlocks[[#Headers],[Category]], -73, 2)</f>
        <v>Other</v>
      </c>
      <c r="E170" s="29" t="str" cm="1">
        <f t="array" ref="E170">Common_InputFunctions.Utility_DisplayArrayInTable(Scope3_SourceData.Scope3_Feed_Data(), Table_SourceData_Scope3_LickBlocks[[#Headers],[Category]], -73, 2)</f>
        <v>Lick block, weaner</v>
      </c>
      <c r="F170" s="29" t="str" cm="1">
        <f t="array" ref="F170">Common_InputFunctions.Utility_DisplayArrayInTable(Scope3_SourceData.Scope3_Feed_Data(), Table_SourceData_Scope3_LickBlocks[[#Headers],[Category]], -73, 2)</f>
        <v>Australia</v>
      </c>
      <c r="G170" s="29" t="str" cm="1">
        <f t="array" ref="G170">Common_InputFunctions.Utility_DisplayArrayInTable(Scope3_SourceData.Scope3_Feed_Data(), Table_SourceData_Scope3_LickBlocks[[#Headers],[Category]], -73, 2)</f>
        <v>kg</v>
      </c>
      <c r="H170" s="29" cm="1">
        <f t="array" ref="H170">Common_InputFunctions.Utility_DisplayArrayInTable(Scope3_SourceData.Scope3_Feed_Data(), Table_SourceData_Scope3_LickBlocks[[#Headers],[Category]], -73, 2)</f>
        <v>0.23100000000000001</v>
      </c>
      <c r="I170" s="29"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1277</v>
      </c>
    </row>
    <row r="173" spans="4:13" ht="20.100000000000001" customHeight="1" x14ac:dyDescent="0.25">
      <c r="D173" s="29" t="s">
        <v>1259</v>
      </c>
      <c r="E173" s="29" t="s">
        <v>138</v>
      </c>
      <c r="F173" s="29" t="s">
        <v>1260</v>
      </c>
      <c r="G173" s="29" t="s">
        <v>675</v>
      </c>
      <c r="H173" s="29" t="s">
        <v>575</v>
      </c>
      <c r="I173" s="29" t="s">
        <v>576</v>
      </c>
      <c r="J173" s="29" t="s">
        <v>1278</v>
      </c>
      <c r="K173" s="29" t="s">
        <v>1261</v>
      </c>
      <c r="L173" s="29" t="s">
        <v>1262</v>
      </c>
      <c r="M173" s="29" t="s">
        <v>1263</v>
      </c>
    </row>
    <row r="174" spans="4:13" ht="20.100000000000001" customHeight="1" x14ac:dyDescent="0.25">
      <c r="D174" s="29" t="str" cm="1">
        <f t="array" ref="D174">Common_InputFunctions.Utility_DisplayArrayInTable(Scope3_SourceData.Scope3_InorganicFertilisers_Data(), Table_SourceData_Scope3_InorganicFertiliser[[#Headers],[Category]], 0, 2)</f>
        <v>Inorganic fertilisers</v>
      </c>
      <c r="E174" s="29" t="str" cm="1">
        <f t="array" ref="E174">Common_InputFunctions.Utility_DisplayArrayInTable(Scope3_SourceData.Scope3_InorganicFertilisers_Data(), Table_SourceData_Scope3_InorganicFertiliser[[#Headers],[Category]], 0, 2)</f>
        <v>Ammonia, AU market mix</v>
      </c>
      <c r="F174" s="29" t="str" cm="1">
        <f t="array" ref="F174">Common_InputFunctions.Utility_DisplayArrayInTable(Scope3_SourceData.Scope3_InorganicFertilisers_Data(), Table_SourceData_Scope3_InorganicFertiliser[[#Headers],[Category]], 0, 2)</f>
        <v>Global</v>
      </c>
      <c r="G174" s="29" t="str">
        <f>'Constants - Fertiliser'!$D$37</f>
        <v>Ammonia</v>
      </c>
      <c r="H174" s="29"/>
      <c r="I174" s="29" t="str">
        <f>'Constants - Fertiliser'!$V$20</f>
        <v>Global</v>
      </c>
      <c r="J174" s="29"/>
      <c r="K174" s="29" t="str" cm="1">
        <f t="array" ref="K174">Common_InputFunctions.Utility_DisplayArrayInTable(Scope3_SourceData.Scope3_InorganicFertilisers_Data(), Table_SourceData_Scope3_InorganicFertiliser[[#Headers],[Category]], 0, -2)</f>
        <v>kg</v>
      </c>
      <c r="L174" s="29" cm="1">
        <f t="array" ref="L174">Common_InputFunctions.Utility_DisplayArrayInTable(Scope3_SourceData.Scope3_InorganicFertilisers_Data(), Table_SourceData_Scope3_InorganicFertiliser[[#Headers],[Category]], 0, -2)</f>
        <v>2.3199999999999998</v>
      </c>
      <c r="M174" s="29"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29" t="str" cm="1">
        <f t="array" ref="D175">Common_InputFunctions.Utility_DisplayArrayInTable(Scope3_SourceData.Scope3_InorganicFertilisers_Data(), Table_SourceData_Scope3_InorganicFertiliser[[#Headers],[Category]], 0, 2)</f>
        <v>Inorganic fertilisers</v>
      </c>
      <c r="E175" s="29" t="str" cm="1">
        <f t="array" ref="E175">Common_InputFunctions.Utility_DisplayArrayInTable(Scope3_SourceData.Scope3_InorganicFertilisers_Data(), Table_SourceData_Scope3_InorganicFertiliser[[#Headers],[Category]], 0, 2)</f>
        <v>Ammonia, Canada</v>
      </c>
      <c r="F175" s="29" t="str" cm="1">
        <f t="array" ref="F175">Common_InputFunctions.Utility_DisplayArrayInTable(Scope3_SourceData.Scope3_InorganicFertilisers_Data(), Table_SourceData_Scope3_InorganicFertiliser[[#Headers],[Category]], 0, 2)</f>
        <v>Canada</v>
      </c>
      <c r="G175" s="29" t="str">
        <f>'Constants - Fertiliser'!$D$37</f>
        <v>Ammonia</v>
      </c>
      <c r="H175" s="29"/>
      <c r="I175" s="29" t="str">
        <f>'Constants - Fertiliser'!$V$21</f>
        <v>Canada</v>
      </c>
      <c r="J175" s="29"/>
      <c r="K175" s="29" t="str" cm="1">
        <f t="array" ref="K175">Common_InputFunctions.Utility_DisplayArrayInTable(Scope3_SourceData.Scope3_InorganicFertilisers_Data(), Table_SourceData_Scope3_InorganicFertiliser[[#Headers],[Category]], 0, -2)</f>
        <v>kg</v>
      </c>
      <c r="L175" s="29" cm="1">
        <f t="array" ref="L175">Common_InputFunctions.Utility_DisplayArrayInTable(Scope3_SourceData.Scope3_InorganicFertilisers_Data(), Table_SourceData_Scope3_InorganicFertiliser[[#Headers],[Category]], 0, -2)</f>
        <v>2.12</v>
      </c>
      <c r="M175" s="29"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29" t="str" cm="1">
        <f t="array" ref="D176">Common_InputFunctions.Utility_DisplayArrayInTable(Scope3_SourceData.Scope3_InorganicFertilisers_Data(), Table_SourceData_Scope3_InorganicFertiliser[[#Headers],[Category]], 0, 2)</f>
        <v>Inorganic fertilisers</v>
      </c>
      <c r="E176" s="29" t="str" cm="1">
        <f t="array" ref="E176">Common_InputFunctions.Utility_DisplayArrayInTable(Scope3_SourceData.Scope3_InorganicFertilisers_Data(), Table_SourceData_Scope3_InorganicFertiliser[[#Headers],[Category]], 0, 2)</f>
        <v>Ammonia, China</v>
      </c>
      <c r="F176" s="29" t="str" cm="1">
        <f t="array" ref="F176">Common_InputFunctions.Utility_DisplayArrayInTable(Scope3_SourceData.Scope3_InorganicFertilisers_Data(), Table_SourceData_Scope3_InorganicFertiliser[[#Headers],[Category]], 0, 2)</f>
        <v>China</v>
      </c>
      <c r="G176" s="29" t="str">
        <f>'Constants - Fertiliser'!$D$37</f>
        <v>Ammonia</v>
      </c>
      <c r="H176" s="29"/>
      <c r="I176" s="29" t="str">
        <f>'Constants - Fertiliser'!$V$22</f>
        <v>China</v>
      </c>
      <c r="J176" s="29"/>
      <c r="K176" s="29" t="str" cm="1">
        <f t="array" ref="K176">Common_InputFunctions.Utility_DisplayArrayInTable(Scope3_SourceData.Scope3_InorganicFertilisers_Data(), Table_SourceData_Scope3_InorganicFertiliser[[#Headers],[Category]], 0, -2)</f>
        <v>kg</v>
      </c>
      <c r="L176" s="29" cm="1">
        <f t="array" ref="L176">Common_InputFunctions.Utility_DisplayArrayInTable(Scope3_SourceData.Scope3_InorganicFertilisers_Data(), Table_SourceData_Scope3_InorganicFertiliser[[#Headers],[Category]], 0, -2)</f>
        <v>4.17</v>
      </c>
      <c r="M176" s="29"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29" t="str" cm="1">
        <f t="array" ref="D177">Common_InputFunctions.Utility_DisplayArrayInTable(Scope3_SourceData.Scope3_InorganicFertilisers_Data(), Table_SourceData_Scope3_InorganicFertiliser[[#Headers],[Category]], 0, 2)</f>
        <v>Inorganic fertilisers</v>
      </c>
      <c r="E177" s="29" t="str" cm="1">
        <f t="array" ref="E177">Common_InputFunctions.Utility_DisplayArrayInTable(Scope3_SourceData.Scope3_InorganicFertilisers_Data(), Table_SourceData_Scope3_InorganicFertiliser[[#Headers],[Category]], 0, 2)</f>
        <v>Ammonia, Yemen</v>
      </c>
      <c r="F177" s="29" t="str" cm="1">
        <f t="array" ref="F177">Common_InputFunctions.Utility_DisplayArrayInTable(Scope3_SourceData.Scope3_InorganicFertilisers_Data(), Table_SourceData_Scope3_InorganicFertiliser[[#Headers],[Category]], 0, 2)</f>
        <v>Yemen</v>
      </c>
      <c r="G177" s="29" t="str">
        <f>'Constants - Fertiliser'!$D$37</f>
        <v>Ammonia</v>
      </c>
      <c r="H177" s="29"/>
      <c r="I177" s="29" t="str">
        <f>'Constants - Fertiliser'!$V$23</f>
        <v>Yemen</v>
      </c>
      <c r="J177" s="29"/>
      <c r="K177" s="29" t="str" cm="1">
        <f t="array" ref="K177">Common_InputFunctions.Utility_DisplayArrayInTable(Scope3_SourceData.Scope3_InorganicFertilisers_Data(), Table_SourceData_Scope3_InorganicFertiliser[[#Headers],[Category]], 0, -2)</f>
        <v>kg</v>
      </c>
      <c r="L177" s="29" cm="1">
        <f t="array" ref="L177">Common_InputFunctions.Utility_DisplayArrayInTable(Scope3_SourceData.Scope3_InorganicFertilisers_Data(), Table_SourceData_Scope3_InorganicFertiliser[[#Headers],[Category]], 0, -2)</f>
        <v>2.2599999999999998</v>
      </c>
      <c r="M177" s="29"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29" t="str" cm="1">
        <f t="array" ref="D178">Common_InputFunctions.Utility_DisplayArrayInTable(Scope3_SourceData.Scope3_InorganicFertilisers_Data(), Table_SourceData_Scope3_InorganicFertiliser[[#Headers],[Category]], 0, 2)</f>
        <v>Inorganic fertilisers</v>
      </c>
      <c r="E178" s="29" t="str" cm="1">
        <f t="array" ref="E178">Common_InputFunctions.Utility_DisplayArrayInTable(Scope3_SourceData.Scope3_InorganicFertilisers_Data(), Table_SourceData_Scope3_InorganicFertiliser[[#Headers],[Category]], 0, 2)</f>
        <v>Ammonium nitrate, AU market mix</v>
      </c>
      <c r="F178" s="29" t="str" cm="1">
        <f t="array" ref="F178">Common_InputFunctions.Utility_DisplayArrayInTable(Scope3_SourceData.Scope3_InorganicFertilisers_Data(), Table_SourceData_Scope3_InorganicFertiliser[[#Headers],[Category]], 0, 2)</f>
        <v>Global</v>
      </c>
      <c r="G178" s="29" t="str">
        <f>'Constants - Fertiliser'!$D$25</f>
        <v>Ammonium nitrate (AN)</v>
      </c>
      <c r="H178" s="29"/>
      <c r="I178" s="29"/>
      <c r="J178" s="29"/>
      <c r="K178" s="29" t="str" cm="1">
        <f t="array" ref="K178">Common_InputFunctions.Utility_DisplayArrayInTable(Scope3_SourceData.Scope3_InorganicFertilisers_Data(), Table_SourceData_Scope3_InorganicFertiliser[[#Headers],[Category]], 0, -2)</f>
        <v>kg</v>
      </c>
      <c r="L178" s="29" cm="1">
        <f t="array" ref="L178">Common_InputFunctions.Utility_DisplayArrayInTable(Scope3_SourceData.Scope3_InorganicFertilisers_Data(), Table_SourceData_Scope3_InorganicFertiliser[[#Headers],[Category]], 0, -2)</f>
        <v>2.21</v>
      </c>
      <c r="M178" s="29"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29" t="str" cm="1">
        <f t="array" ref="D179">Common_InputFunctions.Utility_DisplayArrayInTable(Scope3_SourceData.Scope3_InorganicFertilisers_Data(), Table_SourceData_Scope3_InorganicFertiliser[[#Headers],[Category]], 0, 2)</f>
        <v>Inorganic fertilisers</v>
      </c>
      <c r="E179" s="29" t="str" cm="1">
        <f t="array" ref="E179">Common_InputFunctions.Utility_DisplayArrayInTable(Scope3_SourceData.Scope3_InorganicFertilisers_Data(), Table_SourceData_Scope3_InorganicFertiliser[[#Headers],[Category]], 0, 2)</f>
        <v>Calcium ammonium nitrate, AU market mix</v>
      </c>
      <c r="F179" s="29" t="str" cm="1">
        <f t="array" ref="F179">Common_InputFunctions.Utility_DisplayArrayInTable(Scope3_SourceData.Scope3_InorganicFertilisers_Data(), Table_SourceData_Scope3_InorganicFertiliser[[#Headers],[Category]], 0, 2)</f>
        <v>Global</v>
      </c>
      <c r="G179" s="29" t="str">
        <f>'Constants - Fertiliser'!$D$26</f>
        <v>Calcium ammonium nitrate (CAN)</v>
      </c>
      <c r="H179" s="29"/>
      <c r="I179" s="29"/>
      <c r="J179" s="29"/>
      <c r="K179" s="29" t="str" cm="1">
        <f t="array" ref="K179">Common_InputFunctions.Utility_DisplayArrayInTable(Scope3_SourceData.Scope3_InorganicFertilisers_Data(), Table_SourceData_Scope3_InorganicFertiliser[[#Headers],[Category]], 0, -2)</f>
        <v>kg</v>
      </c>
      <c r="L179" s="29" cm="1">
        <f t="array" ref="L179">Common_InputFunctions.Utility_DisplayArrayInTable(Scope3_SourceData.Scope3_InorganicFertilisers_Data(), Table_SourceData_Scope3_InorganicFertiliser[[#Headers],[Category]], 0, -2)</f>
        <v>1.1499999999999999</v>
      </c>
      <c r="M179" s="29"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29" t="str" cm="1">
        <f t="array" ref="D180">Common_InputFunctions.Utility_DisplayArrayInTable(Scope3_SourceData.Scope3_InorganicFertilisers_Data(), Table_SourceData_Scope3_InorganicFertiliser[[#Headers],[Category]], 0, 2)</f>
        <v>Inorganic fertilisers</v>
      </c>
      <c r="E180" s="29" t="str" cm="1">
        <f t="array" ref="E180">Common_InputFunctions.Utility_DisplayArrayInTable(Scope3_SourceData.Scope3_InorganicFertilisers_Data(), Table_SourceData_Scope3_InorganicFertiliser[[#Headers],[Category]], 0, 2)</f>
        <v>Calcium nitrate</v>
      </c>
      <c r="F180" s="29" t="str" cm="1">
        <f t="array" ref="F180">Common_InputFunctions.Utility_DisplayArrayInTable(Scope3_SourceData.Scope3_InorganicFertilisers_Data(), Table_SourceData_Scope3_InorganicFertiliser[[#Headers],[Category]], 0, 2)</f>
        <v>Global</v>
      </c>
      <c r="G180" s="29" t="str">
        <f>'Constants - Fertiliser'!$D$38</f>
        <v>Calcium nitrate</v>
      </c>
      <c r="H180" s="29"/>
      <c r="I180" s="29"/>
      <c r="J180" s="29"/>
      <c r="K180" s="29" t="str" cm="1">
        <f t="array" ref="K180">Common_InputFunctions.Utility_DisplayArrayInTable(Scope3_SourceData.Scope3_InorganicFertilisers_Data(), Table_SourceData_Scope3_InorganicFertiliser[[#Headers],[Category]], 0, -2)</f>
        <v>kg</v>
      </c>
      <c r="L180" s="29" cm="1">
        <f t="array" ref="L180">Common_InputFunctions.Utility_DisplayArrayInTable(Scope3_SourceData.Scope3_InorganicFertilisers_Data(), Table_SourceData_Scope3_InorganicFertiliser[[#Headers],[Category]], 0, -2)</f>
        <v>0.75</v>
      </c>
      <c r="M180" s="29"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29" t="str" cm="1">
        <f t="array" ref="D181">Common_InputFunctions.Utility_DisplayArrayInTable(Scope3_SourceData.Scope3_InorganicFertilisers_Data(), Table_SourceData_Scope3_InorganicFertiliser[[#Headers],[Category]], 0, 2)</f>
        <v>Inorganic fertilisers</v>
      </c>
      <c r="E181" s="29" t="str" cm="1">
        <f t="array" ref="E181">Common_InputFunctions.Utility_DisplayArrayInTable(Scope3_SourceData.Scope3_InorganicFertilisers_Data(), Table_SourceData_Scope3_InorganicFertiliser[[#Headers],[Category]], 0, 2)</f>
        <v>Diammonium phosphate, AU market mix</v>
      </c>
      <c r="F181" s="29" t="str" cm="1">
        <f t="array" ref="F181">Common_InputFunctions.Utility_DisplayArrayInTable(Scope3_SourceData.Scope3_InorganicFertilisers_Data(), Table_SourceData_Scope3_InorganicFertiliser[[#Headers],[Category]], 0, 2)</f>
        <v>Global</v>
      </c>
      <c r="G181" s="29" t="str">
        <f>'Constants - Fertiliser'!$D$21</f>
        <v>Diammonium phosphate (DAP)</v>
      </c>
      <c r="H181" s="29"/>
      <c r="I181" s="29"/>
      <c r="J181" s="29"/>
      <c r="K181" s="29" t="str" cm="1">
        <f t="array" ref="K181">Common_InputFunctions.Utility_DisplayArrayInTable(Scope3_SourceData.Scope3_InorganicFertilisers_Data(), Table_SourceData_Scope3_InorganicFertiliser[[#Headers],[Category]], 0, -2)</f>
        <v>kg</v>
      </c>
      <c r="L181" s="29" cm="1">
        <f t="array" ref="L181">Common_InputFunctions.Utility_DisplayArrayInTable(Scope3_SourceData.Scope3_InorganicFertilisers_Data(), Table_SourceData_Scope3_InorganicFertiliser[[#Headers],[Category]], 0, -2)</f>
        <v>1.34</v>
      </c>
      <c r="M181" s="29"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29" t="str" cm="1">
        <f t="array" ref="D182">Common_InputFunctions.Utility_DisplayArrayInTable(Scope3_SourceData.Scope3_InorganicFertilisers_Data(), Table_SourceData_Scope3_InorganicFertiliser[[#Headers],[Category]], 0, 2)</f>
        <v>Inorganic fertilisers</v>
      </c>
      <c r="E182" s="29" t="str" cm="1">
        <f t="array" ref="E182">Common_InputFunctions.Utility_DisplayArrayInTable(Scope3_SourceData.Scope3_InorganicFertilisers_Data(), Table_SourceData_Scope3_InorganicFertiliser[[#Headers],[Category]], 0, 2)</f>
        <v>Double superphosphate, AU market mix</v>
      </c>
      <c r="F182" s="29" t="str" cm="1">
        <f t="array" ref="F182">Common_InputFunctions.Utility_DisplayArrayInTable(Scope3_SourceData.Scope3_InorganicFertilisers_Data(), Table_SourceData_Scope3_InorganicFertiliser[[#Headers],[Category]], 0, 2)</f>
        <v>Global</v>
      </c>
      <c r="G182" s="29" t="str">
        <f>'Constants - Fertiliser'!$D$35</f>
        <v>Double superphosphate</v>
      </c>
      <c r="H182" s="29"/>
      <c r="I182" s="29"/>
      <c r="J182" s="29"/>
      <c r="K182" s="29" t="str" cm="1">
        <f t="array" ref="K182">Common_InputFunctions.Utility_DisplayArrayInTable(Scope3_SourceData.Scope3_InorganicFertilisers_Data(), Table_SourceData_Scope3_InorganicFertiliser[[#Headers],[Category]], 0, -2)</f>
        <v>kg</v>
      </c>
      <c r="L182" s="29" cm="1">
        <f t="array" ref="L182">Common_InputFunctions.Utility_DisplayArrayInTable(Scope3_SourceData.Scope3_InorganicFertilisers_Data(), Table_SourceData_Scope3_InorganicFertiliser[[#Headers],[Category]], 0, -2)</f>
        <v>0.39200000000000002</v>
      </c>
      <c r="M182" s="29"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29" t="str" cm="1">
        <f t="array" ref="D183">Common_InputFunctions.Utility_DisplayArrayInTable(Scope3_SourceData.Scope3_InorganicFertilisers_Data(), Table_SourceData_Scope3_InorganicFertiliser[[#Headers],[Category]], 0, 2)</f>
        <v>Inorganic fertilisers</v>
      </c>
      <c r="E183" s="29" t="str" cm="1">
        <f t="array" ref="E183">Common_InputFunctions.Utility_DisplayArrayInTable(Scope3_SourceData.Scope3_InorganicFertilisers_Data(), Table_SourceData_Scope3_InorganicFertiliser[[#Headers],[Category]], 0, 2)</f>
        <v>Monoammonium phosphate, AU market mix</v>
      </c>
      <c r="F183" s="29" t="str" cm="1">
        <f t="array" ref="F183">Common_InputFunctions.Utility_DisplayArrayInTable(Scope3_SourceData.Scope3_InorganicFertilisers_Data(), Table_SourceData_Scope3_InorganicFertiliser[[#Headers],[Category]], 0, 2)</f>
        <v>Global</v>
      </c>
      <c r="G183" s="29" t="str">
        <f>'Constants - Fertiliser'!$D$20</f>
        <v>Monoammonium phosphate (MAP)</v>
      </c>
      <c r="H183" s="29"/>
      <c r="I183" s="29"/>
      <c r="J183" s="29"/>
      <c r="K183" s="29" t="str" cm="1">
        <f t="array" ref="K183">Common_InputFunctions.Utility_DisplayArrayInTable(Scope3_SourceData.Scope3_InorganicFertilisers_Data(), Table_SourceData_Scope3_InorganicFertiliser[[#Headers],[Category]], 0, -2)</f>
        <v>kg</v>
      </c>
      <c r="L183" s="29" cm="1">
        <f t="array" ref="L183">Common_InputFunctions.Utility_DisplayArrayInTable(Scope3_SourceData.Scope3_InorganicFertilisers_Data(), Table_SourceData_Scope3_InorganicFertiliser[[#Headers],[Category]], 0, -2)</f>
        <v>0.82699999999999996</v>
      </c>
      <c r="M183" s="29"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29" t="str" cm="1">
        <f t="array" ref="D184">Common_InputFunctions.Utility_DisplayArrayInTable(Scope3_SourceData.Scope3_InorganicFertilisers_Data(), Table_SourceData_Scope3_InorganicFertiliser[[#Headers],[Category]], 0, 2)</f>
        <v>Inorganic fertilisers</v>
      </c>
      <c r="E184" s="29" t="str" cm="1">
        <f t="array" ref="E184">Common_InputFunctions.Utility_DisplayArrayInTable(Scope3_SourceData.Scope3_InorganicFertilisers_Data(), Table_SourceData_Scope3_InorganicFertiliser[[#Headers],[Category]], 0, 2)</f>
        <v>Muriate of potash, AU market mix</v>
      </c>
      <c r="F184" s="29" t="str" cm="1">
        <f t="array" ref="F184">Common_InputFunctions.Utility_DisplayArrayInTable(Scope3_SourceData.Scope3_InorganicFertilisers_Data(), Table_SourceData_Scope3_InorganicFertiliser[[#Headers],[Category]], 0, 2)</f>
        <v>Global</v>
      </c>
      <c r="G184" s="29" t="str">
        <f>'Constants - Fertiliser'!$D$34</f>
        <v>Muriate of potash (MOP)</v>
      </c>
      <c r="H184" s="29"/>
      <c r="I184" s="29"/>
      <c r="J184" s="29"/>
      <c r="K184" s="29" t="str" cm="1">
        <f t="array" ref="K184">Common_InputFunctions.Utility_DisplayArrayInTable(Scope3_SourceData.Scope3_InorganicFertilisers_Data(), Table_SourceData_Scope3_InorganicFertiliser[[#Headers],[Category]], 0, -2)</f>
        <v>kg</v>
      </c>
      <c r="L184" s="29" cm="1">
        <f t="array" ref="L184">Common_InputFunctions.Utility_DisplayArrayInTable(Scope3_SourceData.Scope3_InorganicFertilisers_Data(), Table_SourceData_Scope3_InorganicFertiliser[[#Headers],[Category]], 0, -2)</f>
        <v>0.54900000000000004</v>
      </c>
      <c r="M184" s="29"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29" t="str" cm="1">
        <f t="array" ref="D185">Common_InputFunctions.Utility_DisplayArrayInTable(Scope3_SourceData.Scope3_InorganicFertilisers_Data(), Table_SourceData_Scope3_InorganicFertiliser[[#Headers],[Category]], 0, 2)</f>
        <v>Inorganic fertilisers</v>
      </c>
      <c r="E185" s="29" t="str" cm="1">
        <f t="array" ref="E185">Common_InputFunctions.Utility_DisplayArrayInTable(Scope3_SourceData.Scope3_InorganicFertilisers_Data(), Table_SourceData_Scope3_InorganicFertiliser[[#Headers],[Category]], 0, 2)</f>
        <v>Nitrogen from ammonia, AU market mix</v>
      </c>
      <c r="F185" s="29" t="str" cm="1">
        <f t="array" ref="F185">Common_InputFunctions.Utility_DisplayArrayInTable(Scope3_SourceData.Scope3_InorganicFertilisers_Data(), Table_SourceData_Scope3_InorganicFertiliser[[#Headers],[Category]], 0, 2)</f>
        <v>Global</v>
      </c>
      <c r="G185" s="29" t="str">
        <f>'Constants - Fertiliser'!$D$27</f>
        <v>Nitrogen - Ammoniacal</v>
      </c>
      <c r="H185" s="29"/>
      <c r="I185" s="29"/>
      <c r="J185" s="29"/>
      <c r="K185" s="29" t="str" cm="1">
        <f t="array" ref="K185">Common_InputFunctions.Utility_DisplayArrayInTable(Scope3_SourceData.Scope3_InorganicFertilisers_Data(), Table_SourceData_Scope3_InorganicFertiliser[[#Headers],[Category]], 0, -2)</f>
        <v>kg N</v>
      </c>
      <c r="L185" s="29" cm="1">
        <f t="array" ref="L185">Common_InputFunctions.Utility_DisplayArrayInTable(Scope3_SourceData.Scope3_InorganicFertilisers_Data(), Table_SourceData_Scope3_InorganicFertiliser[[#Headers],[Category]], 0, -2)</f>
        <v>2.83</v>
      </c>
      <c r="M185" s="29" t="str" cm="1">
        <f t="array" ref="M185">Common_InputFunctions.Utility_DisplayArrayInTable(Scope3_SourceData.Scope3_InorganicFertilisers_Data(), Table_SourceData_Scope3_InorganicFertiliser[[#Headers],[Category]], 0, -2)</f>
        <v>at market</v>
      </c>
      <c r="N185" s="29"/>
      <c r="O185" s="29"/>
      <c r="P185" s="29"/>
    </row>
    <row r="186" spans="4:16" ht="20.100000000000001" customHeight="1" x14ac:dyDescent="0.25">
      <c r="D186" s="29" t="str" cm="1">
        <f t="array" ref="D186">Common_InputFunctions.Utility_DisplayArrayInTable(Scope3_SourceData.Scope3_InorganicFertilisers_Data(), Table_SourceData_Scope3_InorganicFertiliser[[#Headers],[Category]], 0, 2)</f>
        <v>Inorganic fertilisers</v>
      </c>
      <c r="E186" s="29" t="str" cm="1">
        <f t="array" ref="E186">Common_InputFunctions.Utility_DisplayArrayInTable(Scope3_SourceData.Scope3_InorganicFertilisers_Data(), Table_SourceData_Scope3_InorganicFertiliser[[#Headers],[Category]], 0, 2)</f>
        <v>Nitrogen from fertilizer, AU market mix</v>
      </c>
      <c r="F186" s="29" t="str" cm="1">
        <f t="array" ref="F186">Common_InputFunctions.Utility_DisplayArrayInTable(Scope3_SourceData.Scope3_InorganicFertilisers_Data(), Table_SourceData_Scope3_InorganicFertiliser[[#Headers],[Category]], 0, 2)</f>
        <v>Global</v>
      </c>
      <c r="G186" s="29" t="str">
        <f>'Constants - Fertiliser'!$D$29</f>
        <v>Nitrogen - Generic</v>
      </c>
      <c r="H186" s="29"/>
      <c r="I186" s="29"/>
      <c r="J186" s="29"/>
      <c r="K186" s="29" t="str" cm="1">
        <f t="array" ref="K186">Common_InputFunctions.Utility_DisplayArrayInTable(Scope3_SourceData.Scope3_InorganicFertilisers_Data(), Table_SourceData_Scope3_InorganicFertiliser[[#Headers],[Category]], 0, -2)</f>
        <v>kg N</v>
      </c>
      <c r="L186" s="29" cm="1">
        <f t="array" ref="L186">Common_InputFunctions.Utility_DisplayArrayInTable(Scope3_SourceData.Scope3_InorganicFertilisers_Data(), Table_SourceData_Scope3_InorganicFertiliser[[#Headers],[Category]], 0, -2)</f>
        <v>4.2</v>
      </c>
      <c r="M186" s="29" t="str" cm="1">
        <f t="array" ref="M186">Common_InputFunctions.Utility_DisplayArrayInTable(Scope3_SourceData.Scope3_InorganicFertilisers_Data(), Table_SourceData_Scope3_InorganicFertiliser[[#Headers],[Category]], 0, -2)</f>
        <v>at market</v>
      </c>
      <c r="N186" s="29"/>
      <c r="O186" s="29"/>
      <c r="P186" s="29"/>
    </row>
    <row r="187" spans="4:16" ht="20.100000000000001" customHeight="1" x14ac:dyDescent="0.25">
      <c r="D187" s="29" t="str" cm="1">
        <f t="array" ref="D187">Common_InputFunctions.Utility_DisplayArrayInTable(Scope3_SourceData.Scope3_InorganicFertilisers_Data(), Table_SourceData_Scope3_InorganicFertiliser[[#Headers],[Category]], 0, 2)</f>
        <v>Inorganic fertilisers</v>
      </c>
      <c r="E187" s="29" t="str" cm="1">
        <f t="array" ref="E187">Common_InputFunctions.Utility_DisplayArrayInTable(Scope3_SourceData.Scope3_InorganicFertilisers_Data(), Table_SourceData_Scope3_InorganicFertiliser[[#Headers],[Category]], 0, 2)</f>
        <v>Nitrogen from nitrate fertilizer, AU market mix</v>
      </c>
      <c r="F187" s="29" t="str" cm="1">
        <f t="array" ref="F187">Common_InputFunctions.Utility_DisplayArrayInTable(Scope3_SourceData.Scope3_InorganicFertilisers_Data(), Table_SourceData_Scope3_InorganicFertiliser[[#Headers],[Category]], 0, 2)</f>
        <v>Global</v>
      </c>
      <c r="G187" s="29" t="str">
        <f>'Constants - Fertiliser'!$D$28</f>
        <v>Nitrogen - Nitrate</v>
      </c>
      <c r="H187" s="29"/>
      <c r="I187" s="29"/>
      <c r="J187" s="29"/>
      <c r="K187" s="29" t="str" cm="1">
        <f t="array" ref="K187">Common_InputFunctions.Utility_DisplayArrayInTable(Scope3_SourceData.Scope3_InorganicFertilisers_Data(), Table_SourceData_Scope3_InorganicFertiliser[[#Headers],[Category]], 0, -2)</f>
        <v>kg N</v>
      </c>
      <c r="L187" s="29" cm="1">
        <f t="array" ref="L187">Common_InputFunctions.Utility_DisplayArrayInTable(Scope3_SourceData.Scope3_InorganicFertilisers_Data(), Table_SourceData_Scope3_InorganicFertiliser[[#Headers],[Category]], 0, -2)</f>
        <v>5.47</v>
      </c>
      <c r="M187" s="29" t="str" cm="1">
        <f t="array" ref="M187">Common_InputFunctions.Utility_DisplayArrayInTable(Scope3_SourceData.Scope3_InorganicFertilisers_Data(), Table_SourceData_Scope3_InorganicFertiliser[[#Headers],[Category]], 0, -2)</f>
        <v>at market</v>
      </c>
      <c r="N187" s="29"/>
      <c r="O187" s="29"/>
      <c r="P187" s="29"/>
    </row>
    <row r="188" spans="4:16" ht="20.100000000000001" customHeight="1" x14ac:dyDescent="0.25">
      <c r="D188" s="29" t="str" cm="1">
        <f t="array" ref="D188">Common_InputFunctions.Utility_DisplayArrayInTable(Scope3_SourceData.Scope3_InorganicFertilisers_Data(), Table_SourceData_Scope3_InorganicFertiliser[[#Headers],[Category]], 0, 2)</f>
        <v>Inorganic fertilisers</v>
      </c>
      <c r="E188" s="29" t="str" cm="1">
        <f t="array" ref="E188">Common_InputFunctions.Utility_DisplayArrayInTable(Scope3_SourceData.Scope3_InorganicFertilisers_Data(), Table_SourceData_Scope3_InorganicFertiliser[[#Headers],[Category]], 0, 2)</f>
        <v>Phosphorus from fertilizer, AU market mix</v>
      </c>
      <c r="F188" s="29" t="str" cm="1">
        <f t="array" ref="F188">Common_InputFunctions.Utility_DisplayArrayInTable(Scope3_SourceData.Scope3_InorganicFertilisers_Data(), Table_SourceData_Scope3_InorganicFertiliser[[#Headers],[Category]], 0, 2)</f>
        <v>Global</v>
      </c>
      <c r="G188" s="29" t="str">
        <f>'Constants - Fertiliser'!$D$30</f>
        <v>Phosphorus - Generic</v>
      </c>
      <c r="H188" s="29"/>
      <c r="I188" s="29"/>
      <c r="J188" s="29"/>
      <c r="K188" s="29" t="str" cm="1">
        <f t="array" ref="K188">Common_InputFunctions.Utility_DisplayArrayInTable(Scope3_SourceData.Scope3_InorganicFertilisers_Data(), Table_SourceData_Scope3_InorganicFertiliser[[#Headers],[Category]], 0, -2)</f>
        <v>kg P</v>
      </c>
      <c r="L188" s="29" cm="1">
        <f t="array" ref="L188">Common_InputFunctions.Utility_DisplayArrayInTable(Scope3_SourceData.Scope3_InorganicFertilisers_Data(), Table_SourceData_Scope3_InorganicFertiliser[[#Headers],[Category]], 0, -2)</f>
        <v>3.96</v>
      </c>
      <c r="M188" s="29" t="str" cm="1">
        <f t="array" ref="M188">Common_InputFunctions.Utility_DisplayArrayInTable(Scope3_SourceData.Scope3_InorganicFertilisers_Data(), Table_SourceData_Scope3_InorganicFertiliser[[#Headers],[Category]], 0, -2)</f>
        <v>at market</v>
      </c>
      <c r="N188" s="29"/>
      <c r="O188" s="29"/>
      <c r="P188" s="29"/>
    </row>
    <row r="189" spans="4:16" ht="20.100000000000001" customHeight="1" x14ac:dyDescent="0.25">
      <c r="D189" s="29" t="str" cm="1">
        <f t="array" ref="D189">Common_InputFunctions.Utility_DisplayArrayInTable(Scope3_SourceData.Scope3_InorganicFertilisers_Data(), Table_SourceData_Scope3_InorganicFertiliser[[#Headers],[Category]], 0, 2)</f>
        <v>Inorganic fertilisers</v>
      </c>
      <c r="E189" s="29" t="str" cm="1">
        <f t="array" ref="E189">Common_InputFunctions.Utility_DisplayArrayInTable(Scope3_SourceData.Scope3_InorganicFertilisers_Data(), Table_SourceData_Scope3_InorganicFertiliser[[#Headers],[Category]], 0, 2)</f>
        <v>Potassium from fertilizer, AU market mix</v>
      </c>
      <c r="F189" s="29" t="str" cm="1">
        <f t="array" ref="F189">Common_InputFunctions.Utility_DisplayArrayInTable(Scope3_SourceData.Scope3_InorganicFertilisers_Data(), Table_SourceData_Scope3_InorganicFertiliser[[#Headers],[Category]], 0, 2)</f>
        <v>Global</v>
      </c>
      <c r="G189" s="29" t="str">
        <f>'Constants - Fertiliser'!$D$31</f>
        <v>Potassium - Generic</v>
      </c>
      <c r="H189" s="29"/>
      <c r="I189" s="29"/>
      <c r="J189" s="29"/>
      <c r="K189" s="29" t="str" cm="1">
        <f t="array" ref="K189">Common_InputFunctions.Utility_DisplayArrayInTable(Scope3_SourceData.Scope3_InorganicFertilisers_Data(), Table_SourceData_Scope3_InorganicFertiliser[[#Headers],[Category]], 0, -2)</f>
        <v>kg K</v>
      </c>
      <c r="L189" s="29" cm="1">
        <f t="array" ref="L189">Common_InputFunctions.Utility_DisplayArrayInTable(Scope3_SourceData.Scope3_InorganicFertilisers_Data(), Table_SourceData_Scope3_InorganicFertiliser[[#Headers],[Category]], 0, -2)</f>
        <v>0.90900000000000003</v>
      </c>
      <c r="M189" s="29" t="str" cm="1">
        <f t="array" ref="M189">Common_InputFunctions.Utility_DisplayArrayInTable(Scope3_SourceData.Scope3_InorganicFertilisers_Data(), Table_SourceData_Scope3_InorganicFertiliser[[#Headers],[Category]], 0, -2)</f>
        <v>at market</v>
      </c>
      <c r="N189" s="29"/>
      <c r="O189" s="29"/>
      <c r="P189" s="29"/>
    </row>
    <row r="190" spans="4:16" ht="20.100000000000001" customHeight="1" x14ac:dyDescent="0.25">
      <c r="D190" s="29" t="str" cm="1">
        <f t="array" ref="D190">Common_InputFunctions.Utility_DisplayArrayInTable(Scope3_SourceData.Scope3_InorganicFertilisers_Data(), Table_SourceData_Scope3_InorganicFertiliser[[#Headers],[Category]], 0, 2)</f>
        <v>Inorganic fertilisers</v>
      </c>
      <c r="E190" s="29" t="str" cm="1">
        <f t="array" ref="E190">Common_InputFunctions.Utility_DisplayArrayInTable(Scope3_SourceData.Scope3_InorganicFertilisers_Data(), Table_SourceData_Scope3_InorganicFertiliser[[#Headers],[Category]], 0, 2)</f>
        <v>Single superphosphate, AU market mix</v>
      </c>
      <c r="F190" s="29" t="str" cm="1">
        <f t="array" ref="F190">Common_InputFunctions.Utility_DisplayArrayInTable(Scope3_SourceData.Scope3_InorganicFertilisers_Data(), Table_SourceData_Scope3_InorganicFertiliser[[#Headers],[Category]], 0, 2)</f>
        <v>Global</v>
      </c>
      <c r="G190" s="29" t="str">
        <f>'Constants - Fertiliser'!$D$36</f>
        <v>Single superphosphate (SSP)</v>
      </c>
      <c r="H190" s="29"/>
      <c r="I190" s="29"/>
      <c r="J190" s="29"/>
      <c r="K190" s="29" t="str" cm="1">
        <f t="array" ref="K190">Common_InputFunctions.Utility_DisplayArrayInTable(Scope3_SourceData.Scope3_InorganicFertilisers_Data(), Table_SourceData_Scope3_InorganicFertiliser[[#Headers],[Category]], 0, -2)</f>
        <v>kg</v>
      </c>
      <c r="L190" s="29" cm="1">
        <f t="array" ref="L190">Common_InputFunctions.Utility_DisplayArrayInTable(Scope3_SourceData.Scope3_InorganicFertilisers_Data(), Table_SourceData_Scope3_InorganicFertiliser[[#Headers],[Category]], 0, -2)</f>
        <v>0.22700000000000001</v>
      </c>
      <c r="M190" s="29" t="str" cm="1">
        <f t="array" ref="M190">Common_InputFunctions.Utility_DisplayArrayInTable(Scope3_SourceData.Scope3_InorganicFertilisers_Data(), Table_SourceData_Scope3_InorganicFertiliser[[#Headers],[Category]], 0, -2)</f>
        <v>at market</v>
      </c>
      <c r="N190" s="29"/>
      <c r="O190" s="29"/>
      <c r="P190" s="29"/>
    </row>
    <row r="191" spans="4:16" ht="20.100000000000001" customHeight="1" x14ac:dyDescent="0.25">
      <c r="D191" s="29" t="str" cm="1">
        <f t="array" ref="D191">Common_InputFunctions.Utility_DisplayArrayInTable(Scope3_SourceData.Scope3_InorganicFertilisers_Data(), Table_SourceData_Scope3_InorganicFertiliser[[#Headers],[Category]], 0, 2)</f>
        <v>Inorganic fertilisers</v>
      </c>
      <c r="E191" s="29" t="str" cm="1">
        <f t="array" ref="E191">Common_InputFunctions.Utility_DisplayArrayInTable(Scope3_SourceData.Scope3_InorganicFertilisers_Data(), Table_SourceData_Scope3_InorganicFertiliser[[#Headers],[Category]], 0, 2)</f>
        <v>Sulfur from fertilizer, AU market mix</v>
      </c>
      <c r="F191" s="29" t="str" cm="1">
        <f t="array" ref="F191">Common_InputFunctions.Utility_DisplayArrayInTable(Scope3_SourceData.Scope3_InorganicFertilisers_Data(), Table_SourceData_Scope3_InorganicFertiliser[[#Headers],[Category]], 0, 2)</f>
        <v>Global</v>
      </c>
      <c r="G191" s="29" t="str">
        <f>'Constants - Fertiliser'!$D$32</f>
        <v>Sulfur - Generic</v>
      </c>
      <c r="H191" s="29"/>
      <c r="I191" s="29"/>
      <c r="J191" s="29"/>
      <c r="K191" s="29" t="str" cm="1">
        <f t="array" ref="K191">Common_InputFunctions.Utility_DisplayArrayInTable(Scope3_SourceData.Scope3_InorganicFertilisers_Data(), Table_SourceData_Scope3_InorganicFertiliser[[#Headers],[Category]], 0, -2)</f>
        <v>kg S</v>
      </c>
      <c r="L191" s="29" cm="1">
        <f t="array" ref="L191">Common_InputFunctions.Utility_DisplayArrayInTable(Scope3_SourceData.Scope3_InorganicFertilisers_Data(), Table_SourceData_Scope3_InorganicFertiliser[[#Headers],[Category]], 0, -2)</f>
        <v>2.5</v>
      </c>
      <c r="M191" s="29" t="str" cm="1">
        <f t="array" ref="M191">Common_InputFunctions.Utility_DisplayArrayInTable(Scope3_SourceData.Scope3_InorganicFertilisers_Data(), Table_SourceData_Scope3_InorganicFertiliser[[#Headers],[Category]], 0, -2)</f>
        <v>at market</v>
      </c>
      <c r="N191" s="29"/>
      <c r="O191" s="29"/>
      <c r="P191" s="29"/>
    </row>
    <row r="192" spans="4:16" ht="20.100000000000001" customHeight="1" x14ac:dyDescent="0.25">
      <c r="D192" s="29" t="str" cm="1">
        <f t="array" ref="D192">Common_InputFunctions.Utility_DisplayArrayInTable(Scope3_SourceData.Scope3_InorganicFertilisers_Data(), Table_SourceData_Scope3_InorganicFertiliser[[#Headers],[Category]], 0, 2)</f>
        <v>Inorganic fertilisers</v>
      </c>
      <c r="E192" s="29" t="str" cm="1">
        <f t="array" ref="E192">Common_InputFunctions.Utility_DisplayArrayInTable(Scope3_SourceData.Scope3_InorganicFertilisers_Data(), Table_SourceData_Scope3_InorganicFertiliser[[#Headers],[Category]], 0, 2)</f>
        <v>Ammonium sulphate, AU market mix</v>
      </c>
      <c r="F192" s="29" t="str" cm="1">
        <f t="array" ref="F192">Common_InputFunctions.Utility_DisplayArrayInTable(Scope3_SourceData.Scope3_InorganicFertilisers_Data(), Table_SourceData_Scope3_InorganicFertiliser[[#Headers],[Category]], 0, 2)</f>
        <v>Global</v>
      </c>
      <c r="G192" s="29" t="str">
        <f>'Constants - Fertiliser'!$D$23</f>
        <v>Sulphate of ammonia (SOA)</v>
      </c>
      <c r="H192" s="29"/>
      <c r="I192" s="29"/>
      <c r="J192" s="29"/>
      <c r="K192" s="29" t="str" cm="1">
        <f t="array" ref="K192">Common_InputFunctions.Utility_DisplayArrayInTable(Scope3_SourceData.Scope3_InorganicFertilisers_Data(), Table_SourceData_Scope3_InorganicFertiliser[[#Headers],[Category]], 0, -2)</f>
        <v>kg</v>
      </c>
      <c r="L192" s="29" cm="1">
        <f t="array" ref="L192">Common_InputFunctions.Utility_DisplayArrayInTable(Scope3_SourceData.Scope3_InorganicFertilisers_Data(), Table_SourceData_Scope3_InorganicFertiliser[[#Headers],[Category]], 0, -2)</f>
        <v>0.86499999999999999</v>
      </c>
      <c r="M192" s="29" t="str" cm="1">
        <f t="array" ref="M192">Common_InputFunctions.Utility_DisplayArrayInTable(Scope3_SourceData.Scope3_InorganicFertilisers_Data(), Table_SourceData_Scope3_InorganicFertiliser[[#Headers],[Category]], 0, -2)</f>
        <v>at market</v>
      </c>
      <c r="N192" s="29"/>
      <c r="O192" s="29"/>
      <c r="P192" s="29"/>
    </row>
    <row r="193" spans="4:16" ht="20.100000000000001" customHeight="1" x14ac:dyDescent="0.25">
      <c r="D193" s="29" t="str" cm="1">
        <f t="array" ref="D193">Common_InputFunctions.Utility_DisplayArrayInTable(Scope3_SourceData.Scope3_InorganicFertilisers_Data(), Table_SourceData_Scope3_InorganicFertiliser[[#Headers],[Category]], 0, 2)</f>
        <v>Inorganic fertilisers</v>
      </c>
      <c r="E193" s="29" t="str" cm="1">
        <f t="array" ref="E193">Common_InputFunctions.Utility_DisplayArrayInTable(Scope3_SourceData.Scope3_InorganicFertilisers_Data(), Table_SourceData_Scope3_InorganicFertiliser[[#Headers],[Category]], 0, 2)</f>
        <v>Urea ammonium nitrate, AU market mix</v>
      </c>
      <c r="F193" s="29" t="str" cm="1">
        <f t="array" ref="F193">Common_InputFunctions.Utility_DisplayArrayInTable(Scope3_SourceData.Scope3_InorganicFertilisers_Data(), Table_SourceData_Scope3_InorganicFertiliser[[#Headers],[Category]], 0, 2)</f>
        <v>Global</v>
      </c>
      <c r="G193" s="29" t="str">
        <f>'Constants - Fertiliser'!$D$24</f>
        <v>Urea-ammonium nitrate (UAN)</v>
      </c>
      <c r="H193" s="29"/>
      <c r="I193" s="29"/>
      <c r="J193" s="29"/>
      <c r="K193" s="29" t="str" cm="1">
        <f t="array" ref="K193">Common_InputFunctions.Utility_DisplayArrayInTable(Scope3_SourceData.Scope3_InorganicFertilisers_Data(), Table_SourceData_Scope3_InorganicFertiliser[[#Headers],[Category]], 0, -2)</f>
        <v>kg</v>
      </c>
      <c r="L193" s="29" cm="1">
        <f t="array" ref="L193">Common_InputFunctions.Utility_DisplayArrayInTable(Scope3_SourceData.Scope3_InorganicFertilisers_Data(), Table_SourceData_Scope3_InorganicFertiliser[[#Headers],[Category]], 0, -2)</f>
        <v>1.75</v>
      </c>
      <c r="M193" s="29" t="str" cm="1">
        <f t="array" ref="M193">Common_InputFunctions.Utility_DisplayArrayInTable(Scope3_SourceData.Scope3_InorganicFertilisers_Data(), Table_SourceData_Scope3_InorganicFertiliser[[#Headers],[Category]], 0, -2)</f>
        <v>at market</v>
      </c>
      <c r="N193" s="29"/>
      <c r="O193" s="29"/>
      <c r="P193" s="29"/>
    </row>
    <row r="194" spans="4:16" ht="20.100000000000001" customHeight="1" x14ac:dyDescent="0.25">
      <c r="D194" s="29" t="str" cm="1">
        <f t="array" ref="D194">Common_InputFunctions.Utility_DisplayArrayInTable(Scope3_SourceData.Scope3_InorganicFertilisers_Data(), Table_SourceData_Scope3_InorganicFertiliser[[#Headers],[Category]], 0, 2)</f>
        <v>Inorganic fertilisers</v>
      </c>
      <c r="E194" s="29" t="str" cm="1">
        <f t="array" ref="E194">Common_InputFunctions.Utility_DisplayArrayInTable(Scope3_SourceData.Scope3_InorganicFertilisers_Data(), Table_SourceData_Scope3_InorganicFertiliser[[#Headers],[Category]], 0, 2)</f>
        <v>Urea, AU market mix</v>
      </c>
      <c r="F194" s="29" t="str" cm="1">
        <f t="array" ref="F194">Common_InputFunctions.Utility_DisplayArrayInTable(Scope3_SourceData.Scope3_InorganicFertilisers_Data(), Table_SourceData_Scope3_InorganicFertiliser[[#Headers],[Category]], 0, 2)</f>
        <v>Global</v>
      </c>
      <c r="G194" s="29" t="str">
        <f>'Constants - Fertiliser'!$D$22</f>
        <v>Urea</v>
      </c>
      <c r="H194" s="29" t="str">
        <f>'Constants - Fertiliser'!$V$20</f>
        <v>Global</v>
      </c>
      <c r="I194" s="29"/>
      <c r="J194" s="29"/>
      <c r="K194" s="29" t="str" cm="1">
        <f t="array" ref="K194">Common_InputFunctions.Utility_DisplayArrayInTable(Scope3_SourceData.Scope3_InorganicFertilisers_Data(), Table_SourceData_Scope3_InorganicFertiliser[[#Headers],[Category]], 0, -2)</f>
        <v>kg</v>
      </c>
      <c r="L194" s="29" cm="1">
        <f t="array" ref="L194">Common_InputFunctions.Utility_DisplayArrayInTable(Scope3_SourceData.Scope3_InorganicFertilisers_Data(), Table_SourceData_Scope3_InorganicFertiliser[[#Headers],[Category]], 0, -2)</f>
        <v>0.96799999999999997</v>
      </c>
      <c r="M194" s="29" t="str" cm="1">
        <f t="array" ref="M194">Common_InputFunctions.Utility_DisplayArrayInTable(Scope3_SourceData.Scope3_InorganicFertilisers_Data(), Table_SourceData_Scope3_InorganicFertiliser[[#Headers],[Category]], 0, -2)</f>
        <v>at market</v>
      </c>
      <c r="N194" s="29"/>
      <c r="O194" s="29"/>
      <c r="P194" s="29"/>
    </row>
    <row r="195" spans="4:16" ht="20.100000000000001" customHeight="1" x14ac:dyDescent="0.25">
      <c r="D195" s="29" t="str" cm="1">
        <f t="array" ref="D195">Common_InputFunctions.Utility_DisplayArrayInTable(Scope3_SourceData.Scope3_InorganicFertilisers_Data(), Table_SourceData_Scope3_InorganicFertiliser[[#Headers],[Category]], 0, 2)</f>
        <v>Inorganic fertilisers</v>
      </c>
      <c r="E195" s="29" t="str" cm="1">
        <f t="array" ref="E195">Common_InputFunctions.Utility_DisplayArrayInTable(Scope3_SourceData.Scope3_InorganicFertilisers_Data(), Table_SourceData_Scope3_InorganicFertiliser[[#Headers],[Category]], 0, 2)</f>
        <v>Urea, Canada</v>
      </c>
      <c r="F195" s="29" t="str" cm="1">
        <f t="array" ref="F195">Common_InputFunctions.Utility_DisplayArrayInTable(Scope3_SourceData.Scope3_InorganicFertilisers_Data(), Table_SourceData_Scope3_InorganicFertiliser[[#Headers],[Category]], 0, 2)</f>
        <v>Canada</v>
      </c>
      <c r="G195" s="29" t="str">
        <f>'Constants - Fertiliser'!$D$22</f>
        <v>Urea</v>
      </c>
      <c r="H195" s="29" t="str">
        <f>'Constants - Fertiliser'!$V$21</f>
        <v>Canada</v>
      </c>
      <c r="I195" s="29"/>
      <c r="J195" s="29"/>
      <c r="K195" s="29" t="str" cm="1">
        <f t="array" ref="K195">Common_InputFunctions.Utility_DisplayArrayInTable(Scope3_SourceData.Scope3_InorganicFertilisers_Data(), Table_SourceData_Scope3_InorganicFertiliser[[#Headers],[Category]], 0, -2)</f>
        <v>kg</v>
      </c>
      <c r="L195" s="29" cm="1">
        <f t="array" ref="L195">Common_InputFunctions.Utility_DisplayArrayInTable(Scope3_SourceData.Scope3_InorganicFertilisers_Data(), Table_SourceData_Scope3_InorganicFertiliser[[#Headers],[Category]], 0, -2)</f>
        <v>0.82299999999999995</v>
      </c>
      <c r="M195" s="29" t="str" cm="1">
        <f t="array" ref="M195">Common_InputFunctions.Utility_DisplayArrayInTable(Scope3_SourceData.Scope3_InorganicFertilisers_Data(), Table_SourceData_Scope3_InorganicFertiliser[[#Headers],[Category]], 0, -2)</f>
        <v>at market</v>
      </c>
      <c r="N195" s="29"/>
      <c r="O195" s="29"/>
      <c r="P195" s="29"/>
    </row>
    <row r="196" spans="4:16" ht="20.100000000000001" customHeight="1" x14ac:dyDescent="0.25">
      <c r="D196" s="29" t="str" cm="1">
        <f t="array" ref="D196">Common_InputFunctions.Utility_DisplayArrayInTable(Scope3_SourceData.Scope3_InorganicFertilisers_Data(), Table_SourceData_Scope3_InorganicFertiliser[[#Headers],[Category]], 0, 2)</f>
        <v>Inorganic fertilisers</v>
      </c>
      <c r="E196" s="29" t="str" cm="1">
        <f t="array" ref="E196">Common_InputFunctions.Utility_DisplayArrayInTable(Scope3_SourceData.Scope3_InorganicFertilisers_Data(), Table_SourceData_Scope3_InorganicFertiliser[[#Headers],[Category]], 0, 2)</f>
        <v>Urea, China</v>
      </c>
      <c r="F196" s="29" t="str" cm="1">
        <f t="array" ref="F196">Common_InputFunctions.Utility_DisplayArrayInTable(Scope3_SourceData.Scope3_InorganicFertilisers_Data(), Table_SourceData_Scope3_InorganicFertiliser[[#Headers],[Category]], 0, 2)</f>
        <v>China</v>
      </c>
      <c r="G196" s="29" t="str">
        <f>'Constants - Fertiliser'!$D$22</f>
        <v>Urea</v>
      </c>
      <c r="H196" s="29" t="str">
        <f>'Constants - Fertiliser'!$V$22</f>
        <v>China</v>
      </c>
      <c r="I196" s="29"/>
      <c r="J196" s="29"/>
      <c r="K196" s="29" t="str" cm="1">
        <f t="array" ref="K196">Common_InputFunctions.Utility_DisplayArrayInTable(Scope3_SourceData.Scope3_InorganicFertilisers_Data(), Table_SourceData_Scope3_InorganicFertiliser[[#Headers],[Category]], 0, -2)</f>
        <v>kg</v>
      </c>
      <c r="L196" s="29" cm="1">
        <f t="array" ref="L196">Common_InputFunctions.Utility_DisplayArrayInTable(Scope3_SourceData.Scope3_InorganicFertilisers_Data(), Table_SourceData_Scope3_InorganicFertiliser[[#Headers],[Category]], 0, -2)</f>
        <v>2.09</v>
      </c>
      <c r="M196" s="29" t="str" cm="1">
        <f t="array" ref="M196">Common_InputFunctions.Utility_DisplayArrayInTable(Scope3_SourceData.Scope3_InorganicFertilisers_Data(), Table_SourceData_Scope3_InorganicFertiliser[[#Headers],[Category]], 0, -2)</f>
        <v>at market</v>
      </c>
      <c r="N196" s="29"/>
      <c r="O196" s="29"/>
      <c r="P196" s="29"/>
    </row>
    <row r="197" spans="4:16" ht="20.100000000000001" customHeight="1" x14ac:dyDescent="0.25">
      <c r="D197" s="29" t="str" cm="1">
        <f t="array" ref="D197">Common_InputFunctions.Utility_DisplayArrayInTable(Scope3_SourceData.Scope3_InorganicFertilisers_Data(), Table_SourceData_Scope3_InorganicFertiliser[[#Headers],[Category]], 0, 2)</f>
        <v>Inorganic fertilisers</v>
      </c>
      <c r="E197" s="29" t="str" cm="1">
        <f t="array" ref="E197">Common_InputFunctions.Utility_DisplayArrayInTable(Scope3_SourceData.Scope3_InorganicFertilisers_Data(), Table_SourceData_Scope3_InorganicFertiliser[[#Headers],[Category]], 0, 2)</f>
        <v>Urea, Yemen</v>
      </c>
      <c r="F197" s="29" t="str" cm="1">
        <f t="array" ref="F197">Common_InputFunctions.Utility_DisplayArrayInTable(Scope3_SourceData.Scope3_InorganicFertilisers_Data(), Table_SourceData_Scope3_InorganicFertiliser[[#Headers],[Category]], 0, 2)</f>
        <v>Yemen</v>
      </c>
      <c r="G197" s="29" t="str">
        <f>'Constants - Fertiliser'!$D$22</f>
        <v>Urea</v>
      </c>
      <c r="H197" s="29" t="str">
        <f>'Constants - Fertiliser'!$V$23</f>
        <v>Yemen</v>
      </c>
      <c r="I197" s="29"/>
      <c r="J197" s="29"/>
      <c r="K197" s="29" t="str" cm="1">
        <f t="array" ref="K197">Common_InputFunctions.Utility_DisplayArrayInTable(Scope3_SourceData.Scope3_InorganicFertilisers_Data(), Table_SourceData_Scope3_InorganicFertiliser[[#Headers],[Category]], 0, -2)</f>
        <v>kg</v>
      </c>
      <c r="L197" s="29" cm="1">
        <f t="array" ref="L197">Common_InputFunctions.Utility_DisplayArrayInTable(Scope3_SourceData.Scope3_InorganicFertilisers_Data(), Table_SourceData_Scope3_InorganicFertiliser[[#Headers],[Category]], 0, -2)</f>
        <v>0.96299999999999997</v>
      </c>
      <c r="M197" s="29" t="str" cm="1">
        <f t="array" ref="M197">Common_InputFunctions.Utility_DisplayArrayInTable(Scope3_SourceData.Scope3_InorganicFertilisers_Data(), Table_SourceData_Scope3_InorganicFertiliser[[#Headers],[Category]], 0, -2)</f>
        <v>at market</v>
      </c>
      <c r="N197" s="29"/>
      <c r="O197" s="29"/>
      <c r="P197" s="29"/>
    </row>
    <row r="198" spans="4:16" ht="20.100000000000001" customHeight="1" x14ac:dyDescent="0.25">
      <c r="D198" s="29" t="str" cm="1">
        <f t="array" ref="D198">Common_InputFunctions.Utility_DisplayArrayInTable(Scope3_SourceData.Scope3_InorganicFertilisers_Data(), Table_SourceData_Scope3_InorganicFertiliser[[#Headers],[Category]], 0, 2)</f>
        <v>Inorganic fertilisers</v>
      </c>
      <c r="E198" s="29" t="str" cm="1">
        <f t="array" ref="E198">Common_InputFunctions.Utility_DisplayArrayInTable(Scope3_SourceData.Scope3_InorganicFertilisers_Data(), Table_SourceData_Scope3_InorganicFertiliser[[#Headers],[Category]], 0, 2)</f>
        <v>Zinc from fertilizer</v>
      </c>
      <c r="F198" s="29" t="str" cm="1">
        <f t="array" ref="F198">Common_InputFunctions.Utility_DisplayArrayInTable(Scope3_SourceData.Scope3_InorganicFertilisers_Data(), Table_SourceData_Scope3_InorganicFertiliser[[#Headers],[Category]], 0, 2)</f>
        <v>Global</v>
      </c>
      <c r="G198" s="29" t="str">
        <f>'Constants - Fertiliser'!$D$33</f>
        <v>Zinc - Generic</v>
      </c>
      <c r="H198" s="29"/>
      <c r="I198" s="29"/>
      <c r="J198" s="29"/>
      <c r="K198" s="29" t="str" cm="1">
        <f t="array" ref="K198">Common_InputFunctions.Utility_DisplayArrayInTable(Scope3_SourceData.Scope3_InorganicFertilisers_Data(), Table_SourceData_Scope3_InorganicFertiliser[[#Headers],[Category]], 0, -2)</f>
        <v>kg Zn</v>
      </c>
      <c r="L198" s="29" cm="1">
        <f t="array" ref="L198">Common_InputFunctions.Utility_DisplayArrayInTable(Scope3_SourceData.Scope3_InorganicFertilisers_Data(), Table_SourceData_Scope3_InorganicFertiliser[[#Headers],[Category]], 0, -2)</f>
        <v>4.82</v>
      </c>
      <c r="M198" s="29" t="str" cm="1">
        <f t="array" ref="M198">Common_InputFunctions.Utility_DisplayArrayInTable(Scope3_SourceData.Scope3_InorganicFertilisers_Data(), Table_SourceData_Scope3_InorganicFertiliser[[#Headers],[Category]], 0, -2)</f>
        <v>at market</v>
      </c>
      <c r="N198" s="29"/>
      <c r="O198" s="29"/>
      <c r="P198" s="29"/>
    </row>
    <row r="199" spans="4:16" ht="20.100000000000001" customHeight="1" x14ac:dyDescent="0.25">
      <c r="N199" s="29"/>
      <c r="O199" s="29"/>
      <c r="P199" s="29"/>
    </row>
    <row r="200" spans="4:16" ht="20.100000000000001" customHeight="1" x14ac:dyDescent="0.25">
      <c r="D200" s="2" t="s">
        <v>1279</v>
      </c>
      <c r="N200" s="29"/>
      <c r="O200" s="29"/>
      <c r="P200" s="29"/>
    </row>
    <row r="201" spans="4:16" ht="20.100000000000001" customHeight="1" x14ac:dyDescent="0.25">
      <c r="D201" s="29" t="s">
        <v>1259</v>
      </c>
      <c r="E201" s="29" t="s">
        <v>138</v>
      </c>
      <c r="F201" s="29" t="s">
        <v>1260</v>
      </c>
      <c r="G201" s="29" t="s">
        <v>1261</v>
      </c>
      <c r="H201" s="29" t="s">
        <v>1262</v>
      </c>
      <c r="I201" s="29" t="s">
        <v>1263</v>
      </c>
      <c r="N201" s="29"/>
      <c r="O201" s="29"/>
      <c r="P201" s="29"/>
    </row>
    <row r="202" spans="4:16" ht="20.100000000000001" customHeight="1" x14ac:dyDescent="0.25">
      <c r="D202" s="29" t="str" cm="1">
        <f t="array" ref="D202">Common_InputFunctions.Utility_DisplayArrayInTable(Scope3_SourceData.Scope3_Other_Data(), Table_SourceData_Scope3_Other[[#Headers],[Category]], 0, 2)</f>
        <v>Other</v>
      </c>
      <c r="E202" s="29" t="str" cm="1">
        <f t="array" ref="E202">Common_InputFunctions.Utility_DisplayArrayInTable(Scope3_SourceData.Scope3_Other_Data(), Table_SourceData_Scope3_Other[[#Headers],[Category]], 0, 2)</f>
        <v>Animal ear tags (large)</v>
      </c>
      <c r="F202" s="29" t="str" cm="1">
        <f t="array" ref="F202">Common_InputFunctions.Utility_DisplayArrayInTable(Scope3_SourceData.Scope3_Other_Data(), Table_SourceData_Scope3_Other[[#Headers],[Category]], 0, 2)</f>
        <v>Australia</v>
      </c>
      <c r="G202" s="29" t="str" cm="1">
        <f t="array" ref="G202">Common_InputFunctions.Utility_DisplayArrayInTable(Scope3_SourceData.Scope3_Other_Data(), Table_SourceData_Scope3_Other[[#Headers],[Category]], 0, 2)</f>
        <v>p</v>
      </c>
      <c r="H202" s="29" cm="1">
        <f t="array" ref="H202">Common_InputFunctions.Utility_DisplayArrayInTable(Scope3_SourceData.Scope3_Other_Data(), Table_SourceData_Scope3_Other[[#Headers],[Category]], 0, 2)</f>
        <v>4.24E-2</v>
      </c>
      <c r="I202" s="29" t="str" cm="1">
        <f t="array" ref="I202">Common_InputFunctions.Utility_DisplayArrayInTable(Scope3_SourceData.Scope3_Other_Data(), Table_SourceData_Scope3_Other[[#Headers],[Category]], 0, 2)</f>
        <v>at market</v>
      </c>
      <c r="N202" s="29"/>
      <c r="O202" s="29"/>
      <c r="P202" s="29"/>
    </row>
    <row r="203" spans="4:16" ht="20.100000000000001" customHeight="1" x14ac:dyDescent="0.25">
      <c r="D203" s="29" t="str" cm="1">
        <f t="array" ref="D203">Common_InputFunctions.Utility_DisplayArrayInTable(Scope3_SourceData.Scope3_Other_Data(), Table_SourceData_Scope3_Other[[#Headers],[Category]], 0, 2)</f>
        <v>Other</v>
      </c>
      <c r="E203" s="29" t="str" cm="1">
        <f t="array" ref="E203">Common_InputFunctions.Utility_DisplayArrayInTable(Scope3_SourceData.Scope3_Other_Data(), Table_SourceData_Scope3_Other[[#Headers],[Category]], 0, 2)</f>
        <v>Animal ear tags (small)</v>
      </c>
      <c r="F203" s="29" t="str" cm="1">
        <f t="array" ref="F203">Common_InputFunctions.Utility_DisplayArrayInTable(Scope3_SourceData.Scope3_Other_Data(), Table_SourceData_Scope3_Other[[#Headers],[Category]], 0, 2)</f>
        <v>Australia</v>
      </c>
      <c r="G203" s="29" t="str" cm="1">
        <f t="array" ref="G203">Common_InputFunctions.Utility_DisplayArrayInTable(Scope3_SourceData.Scope3_Other_Data(), Table_SourceData_Scope3_Other[[#Headers],[Category]], 0, 2)</f>
        <v>p</v>
      </c>
      <c r="H203" s="29" cm="1">
        <f t="array" ref="H203">Common_InputFunctions.Utility_DisplayArrayInTable(Scope3_SourceData.Scope3_Other_Data(), Table_SourceData_Scope3_Other[[#Headers],[Category]], 0, 2)</f>
        <v>2.93E-2</v>
      </c>
      <c r="I203" s="29" t="str" cm="1">
        <f t="array" ref="I203">Common_InputFunctions.Utility_DisplayArrayInTable(Scope3_SourceData.Scope3_Other_Data(), Table_SourceData_Scope3_Other[[#Headers],[Category]], 0, 2)</f>
        <v>at market</v>
      </c>
      <c r="N203" s="29"/>
      <c r="O203" s="29"/>
      <c r="P203" s="29"/>
    </row>
    <row r="204" spans="4:16" ht="20.100000000000001" customHeight="1" x14ac:dyDescent="0.25">
      <c r="D204" s="29" t="str" cm="1">
        <f t="array" ref="D204">Common_InputFunctions.Utility_DisplayArrayInTable(Scope3_SourceData.Scope3_Other_Data(), Table_SourceData_Scope3_Other[[#Headers],[Category]], 0, 2)</f>
        <v>Other</v>
      </c>
      <c r="E204" s="29" t="str" cm="1">
        <f t="array" ref="E204">Common_InputFunctions.Utility_DisplayArrayInTable(Scope3_SourceData.Scope3_Other_Data(), Table_SourceData_Scope3_Other[[#Headers],[Category]], 0, 2)</f>
        <v>Barley grain (for seed)</v>
      </c>
      <c r="F204" s="29" t="str" cm="1">
        <f t="array" ref="F204">Common_InputFunctions.Utility_DisplayArrayInTable(Scope3_SourceData.Scope3_Other_Data(), Table_SourceData_Scope3_Other[[#Headers],[Category]], 0, 2)</f>
        <v>Australia</v>
      </c>
      <c r="G204" s="29" t="str" cm="1">
        <f t="array" ref="G204">Common_InputFunctions.Utility_DisplayArrayInTable(Scope3_SourceData.Scope3_Other_Data(), Table_SourceData_Scope3_Other[[#Headers],[Category]], 0, 2)</f>
        <v>kg</v>
      </c>
      <c r="H204" s="29" cm="1">
        <f t="array" ref="H204">Common_InputFunctions.Utility_DisplayArrayInTable(Scope3_SourceData.Scope3_Other_Data(), Table_SourceData_Scope3_Other[[#Headers],[Category]], 0, 2)</f>
        <v>0.23899999999999999</v>
      </c>
      <c r="I204" s="29" t="str" cm="1">
        <f t="array" ref="I204">Common_InputFunctions.Utility_DisplayArrayInTable(Scope3_SourceData.Scope3_Other_Data(), Table_SourceData_Scope3_Other[[#Headers],[Category]], 0, 2)</f>
        <v>at market</v>
      </c>
      <c r="N204" s="29"/>
      <c r="O204" s="29"/>
      <c r="P204" s="29"/>
    </row>
    <row r="205" spans="4:16" ht="20.100000000000001" customHeight="1" x14ac:dyDescent="0.25">
      <c r="D205" s="29" t="str" cm="1">
        <f t="array" ref="D205">Common_InputFunctions.Utility_DisplayArrayInTable(Scope3_SourceData.Scope3_Other_Data(), Table_SourceData_Scope3_Other[[#Headers],[Category]], 0, 2)</f>
        <v>Other</v>
      </c>
      <c r="E205" s="29" t="str" cm="1">
        <f t="array" ref="E205">Common_InputFunctions.Utility_DisplayArrayInTable(Scope3_SourceData.Scope3_Other_Data(), Table_SourceData_Scope3_Other[[#Headers],[Category]], 0, 2)</f>
        <v>Maize grain (for seed)</v>
      </c>
      <c r="F205" s="29" t="str" cm="1">
        <f t="array" ref="F205">Common_InputFunctions.Utility_DisplayArrayInTable(Scope3_SourceData.Scope3_Other_Data(), Table_SourceData_Scope3_Other[[#Headers],[Category]], 0, 2)</f>
        <v>Australia</v>
      </c>
      <c r="G205" s="29" t="str" cm="1">
        <f t="array" ref="G205">Common_InputFunctions.Utility_DisplayArrayInTable(Scope3_SourceData.Scope3_Other_Data(), Table_SourceData_Scope3_Other[[#Headers],[Category]], 0, 2)</f>
        <v>kg</v>
      </c>
      <c r="H205" s="29" cm="1">
        <f t="array" ref="H205">Common_InputFunctions.Utility_DisplayArrayInTable(Scope3_SourceData.Scope3_Other_Data(), Table_SourceData_Scope3_Other[[#Headers],[Category]], 0, 2)</f>
        <v>0.18099999999999999</v>
      </c>
      <c r="I205" s="29" t="str" cm="1">
        <f t="array" ref="I205">Common_InputFunctions.Utility_DisplayArrayInTable(Scope3_SourceData.Scope3_Other_Data(), Table_SourceData_Scope3_Other[[#Headers],[Category]], 0, 2)</f>
        <v>at market</v>
      </c>
      <c r="N205" s="29"/>
      <c r="O205" s="29"/>
      <c r="P205" s="29"/>
    </row>
    <row r="206" spans="4:16" ht="20.100000000000001" customHeight="1" x14ac:dyDescent="0.25">
      <c r="D206" s="29" t="str" cm="1">
        <f t="array" ref="D206">Common_InputFunctions.Utility_DisplayArrayInTable(Scope3_SourceData.Scope3_Other_Data(), Table_SourceData_Scope3_Other[[#Headers],[Category]], 0, 2)</f>
        <v>Other</v>
      </c>
      <c r="E206" s="29" t="str" cm="1">
        <f t="array" ref="E206">Common_InputFunctions.Utility_DisplayArrayInTable(Scope3_SourceData.Scope3_Other_Data(), Table_SourceData_Scope3_Other[[#Headers],[Category]], 0, 2)</f>
        <v>Nylon netting</v>
      </c>
      <c r="F206" s="29" t="str" cm="1">
        <f t="array" ref="F206">Common_InputFunctions.Utility_DisplayArrayInTable(Scope3_SourceData.Scope3_Other_Data(), Table_SourceData_Scope3_Other[[#Headers],[Category]], 0, 2)</f>
        <v>Global</v>
      </c>
      <c r="G206" s="29" t="str" cm="1">
        <f t="array" ref="G206">Common_InputFunctions.Utility_DisplayArrayInTable(Scope3_SourceData.Scope3_Other_Data(), Table_SourceData_Scope3_Other[[#Headers],[Category]], 0, 2)</f>
        <v>kg</v>
      </c>
      <c r="H206" s="29" cm="1">
        <f t="array" ref="H206">Common_InputFunctions.Utility_DisplayArrayInTable(Scope3_SourceData.Scope3_Other_Data(), Table_SourceData_Scope3_Other[[#Headers],[Category]], 0, 2)</f>
        <v>9.81</v>
      </c>
      <c r="I206" s="29" t="str" cm="1">
        <f t="array" ref="I206">Common_InputFunctions.Utility_DisplayArrayInTable(Scope3_SourceData.Scope3_Other_Data(), Table_SourceData_Scope3_Other[[#Headers],[Category]], 0, 2)</f>
        <v>at market</v>
      </c>
      <c r="N206" s="29"/>
      <c r="O206" s="29"/>
      <c r="P206" s="29"/>
    </row>
    <row r="207" spans="4:16" ht="20.100000000000001" customHeight="1" x14ac:dyDescent="0.25">
      <c r="D207" s="29" t="str" cm="1">
        <f t="array" ref="D207">Common_InputFunctions.Utility_DisplayArrayInTable(Scope3_SourceData.Scope3_Other_Data(), Table_SourceData_Scope3_Other[[#Headers],[Category]], 0, 2)</f>
        <v>Other</v>
      </c>
      <c r="E207" s="29" t="str" cm="1">
        <f t="array" ref="E207">Common_InputFunctions.Utility_DisplayArrayInTable(Scope3_SourceData.Scope3_Other_Data(), Table_SourceData_Scope3_Other[[#Headers],[Category]], 0, 2)</f>
        <v>Oat grain (for seed)</v>
      </c>
      <c r="F207" s="29" t="str" cm="1">
        <f t="array" ref="F207">Common_InputFunctions.Utility_DisplayArrayInTable(Scope3_SourceData.Scope3_Other_Data(), Table_SourceData_Scope3_Other[[#Headers],[Category]], 0, 2)</f>
        <v>Australia</v>
      </c>
      <c r="G207" s="29" t="str" cm="1">
        <f t="array" ref="G207">Common_InputFunctions.Utility_DisplayArrayInTable(Scope3_SourceData.Scope3_Other_Data(), Table_SourceData_Scope3_Other[[#Headers],[Category]], 0, 2)</f>
        <v>kg</v>
      </c>
      <c r="H207" s="29" cm="1">
        <f t="array" ref="H207">Common_InputFunctions.Utility_DisplayArrayInTable(Scope3_SourceData.Scope3_Other_Data(), Table_SourceData_Scope3_Other[[#Headers],[Category]], 0, 2)</f>
        <v>0.27</v>
      </c>
      <c r="I207" s="29" t="str" cm="1">
        <f t="array" ref="I207">Common_InputFunctions.Utility_DisplayArrayInTable(Scope3_SourceData.Scope3_Other_Data(), Table_SourceData_Scope3_Other[[#Headers],[Category]], 0, 2)</f>
        <v>at market</v>
      </c>
      <c r="N207" s="29"/>
      <c r="O207" s="29"/>
      <c r="P207" s="29"/>
    </row>
    <row r="208" spans="4:16" ht="20.100000000000001" customHeight="1" x14ac:dyDescent="0.25">
      <c r="D208" s="29" t="str" cm="1">
        <f t="array" ref="D208">Common_InputFunctions.Utility_DisplayArrayInTable(Scope3_SourceData.Scope3_Other_Data(), Table_SourceData_Scope3_Other[[#Headers],[Category]], 0, 2)</f>
        <v>Other</v>
      </c>
      <c r="E208" s="29" t="str" cm="1">
        <f t="array" ref="E208">Common_InputFunctions.Utility_DisplayArrayInTable(Scope3_SourceData.Scope3_Other_Data(), Table_SourceData_Scope3_Other[[#Headers],[Category]], 0, 2)</f>
        <v>Sorghum grain (for seed)</v>
      </c>
      <c r="F208" s="29" t="str" cm="1">
        <f t="array" ref="F208">Common_InputFunctions.Utility_DisplayArrayInTable(Scope3_SourceData.Scope3_Other_Data(), Table_SourceData_Scope3_Other[[#Headers],[Category]], 0, 2)</f>
        <v>Australia</v>
      </c>
      <c r="G208" s="29" t="str" cm="1">
        <f t="array" ref="G208">Common_InputFunctions.Utility_DisplayArrayInTable(Scope3_SourceData.Scope3_Other_Data(), Table_SourceData_Scope3_Other[[#Headers],[Category]], 0, 2)</f>
        <v>kg</v>
      </c>
      <c r="H208" s="29" cm="1">
        <f t="array" ref="H208">Common_InputFunctions.Utility_DisplayArrayInTable(Scope3_SourceData.Scope3_Other_Data(), Table_SourceData_Scope3_Other[[#Headers],[Category]], 0, 2)</f>
        <v>0.23200000000000001</v>
      </c>
      <c r="I208" s="29" t="str" cm="1">
        <f t="array" ref="I208">Common_InputFunctions.Utility_DisplayArrayInTable(Scope3_SourceData.Scope3_Other_Data(), Table_SourceData_Scope3_Other[[#Headers],[Category]], 0, 2)</f>
        <v>at market</v>
      </c>
      <c r="N208" s="29"/>
      <c r="O208" s="29"/>
      <c r="P208" s="29"/>
    </row>
    <row r="209" spans="4:16" ht="20.100000000000001" customHeight="1" x14ac:dyDescent="0.25">
      <c r="D209" s="29" t="str" cm="1">
        <f t="array" ref="D209">Common_InputFunctions.Utility_DisplayArrayInTable(Scope3_SourceData.Scope3_Other_Data(), Table_SourceData_Scope3_Other[[#Headers],[Category]], 0, 2)</f>
        <v>Other</v>
      </c>
      <c r="E209" s="29" t="str" cm="1">
        <f t="array" ref="E209">Common_InputFunctions.Utility_DisplayArrayInTable(Scope3_SourceData.Scope3_Other_Data(), Table_SourceData_Scope3_Other[[#Headers],[Category]], 0, 2)</f>
        <v>Wheat grain (for seed)</v>
      </c>
      <c r="F209" s="29" t="str" cm="1">
        <f t="array" ref="F209">Common_InputFunctions.Utility_DisplayArrayInTable(Scope3_SourceData.Scope3_Other_Data(), Table_SourceData_Scope3_Other[[#Headers],[Category]], 0, 2)</f>
        <v>Australia</v>
      </c>
      <c r="G209" s="29" t="str" cm="1">
        <f t="array" ref="G209">Common_InputFunctions.Utility_DisplayArrayInTable(Scope3_SourceData.Scope3_Other_Data(), Table_SourceData_Scope3_Other[[#Headers],[Category]], 0, 2)</f>
        <v>kg</v>
      </c>
      <c r="H209" s="29" cm="1">
        <f t="array" ref="H209">Common_InputFunctions.Utility_DisplayArrayInTable(Scope3_SourceData.Scope3_Other_Data(), Table_SourceData_Scope3_Other[[#Headers],[Category]], 0, 2)</f>
        <v>0.26800000000000002</v>
      </c>
      <c r="I209" s="29" t="str" cm="1">
        <f t="array" ref="I209">Common_InputFunctions.Utility_DisplayArrayInTable(Scope3_SourceData.Scope3_Other_Data(), Table_SourceData_Scope3_Other[[#Headers],[Category]], 0, 2)</f>
        <v>at market</v>
      </c>
      <c r="N209" s="29"/>
      <c r="O209" s="29"/>
      <c r="P209" s="29"/>
    </row>
    <row r="210" spans="4:16" ht="20.100000000000001" customHeight="1" x14ac:dyDescent="0.25">
      <c r="N210" s="29"/>
      <c r="O210" s="29"/>
      <c r="P210" s="29"/>
    </row>
    <row r="211" spans="4:16" ht="20.100000000000001" customHeight="1" x14ac:dyDescent="0.25">
      <c r="D211" s="2" t="s">
        <v>1280</v>
      </c>
    </row>
    <row r="212" spans="4:16" ht="20.100000000000001" customHeight="1" x14ac:dyDescent="0.25">
      <c r="D212" s="29" t="s">
        <v>1259</v>
      </c>
      <c r="E212" s="29" t="s">
        <v>138</v>
      </c>
      <c r="F212" s="29" t="s">
        <v>1260</v>
      </c>
      <c r="G212" s="29" t="s">
        <v>1261</v>
      </c>
      <c r="H212" s="29" t="s">
        <v>1262</v>
      </c>
      <c r="I212" s="29" t="s">
        <v>1263</v>
      </c>
    </row>
    <row r="213" spans="4:16" ht="20.100000000000001" customHeight="1" x14ac:dyDescent="0.25">
      <c r="D213" s="29" t="str" cm="1">
        <f t="array" ref="D213">Common_InputFunctions.Utility_DisplayArrayInTable(Scope3_SourceData.Scope3_Packaging_Data(), Table_SourceData_Scope3_Packaging[[#Headers],[Category]], 0, 2)</f>
        <v>Packaging</v>
      </c>
      <c r="E213" s="29" t="str" cm="1">
        <f t="array" ref="E213">Common_InputFunctions.Utility_DisplayArrayInTable(Scope3_SourceData.Scope3_Packaging_Data(), Table_SourceData_Scope3_Packaging[[#Headers],[Category]], 0, 2)</f>
        <v>Corrugated board</v>
      </c>
      <c r="F213" s="29" t="str" cm="1">
        <f t="array" ref="F213">Common_InputFunctions.Utility_DisplayArrayInTable(Scope3_SourceData.Scope3_Packaging_Data(), Table_SourceData_Scope3_Packaging[[#Headers],[Category]], 0, 2)</f>
        <v>Global</v>
      </c>
      <c r="G213" s="29" t="str" cm="1">
        <f t="array" ref="G213">Common_InputFunctions.Utility_DisplayArrayInTable(Scope3_SourceData.Scope3_Packaging_Data(), Table_SourceData_Scope3_Packaging[[#Headers],[Category]], 0, 2)</f>
        <v>kg</v>
      </c>
      <c r="H213" s="29" cm="1">
        <f t="array" ref="H213">Common_InputFunctions.Utility_DisplayArrayInTable(Scope3_SourceData.Scope3_Packaging_Data(), Table_SourceData_Scope3_Packaging[[#Headers],[Category]], 0, 2)</f>
        <v>1.05</v>
      </c>
      <c r="I213" s="29" t="str" cm="1">
        <f t="array" ref="I213">Common_InputFunctions.Utility_DisplayArrayInTable(Scope3_SourceData.Scope3_Packaging_Data(), Table_SourceData_Scope3_Packaging[[#Headers],[Category]], 0, 2)</f>
        <v>at manufacturer</v>
      </c>
    </row>
    <row r="214" spans="4:16" ht="20.100000000000001" customHeight="1" x14ac:dyDescent="0.25">
      <c r="D214" s="29" t="str" cm="1">
        <f t="array" ref="D214">Common_InputFunctions.Utility_DisplayArrayInTable(Scope3_SourceData.Scope3_Packaging_Data(), Table_SourceData_Scope3_Packaging[[#Headers],[Category]], 0, 2)</f>
        <v>Packaging</v>
      </c>
      <c r="E214" s="29" t="str" cm="1">
        <f t="array" ref="E214">Common_InputFunctions.Utility_DisplayArrayInTable(Scope3_SourceData.Scope3_Packaging_Data(), Table_SourceData_Scope3_Packaging[[#Headers],[Category]], 0, 2)</f>
        <v>Plastic crate polypropylene</v>
      </c>
      <c r="F214" s="29" t="str" cm="1">
        <f t="array" ref="F214">Common_InputFunctions.Utility_DisplayArrayInTable(Scope3_SourceData.Scope3_Packaging_Data(), Table_SourceData_Scope3_Packaging[[#Headers],[Category]], 0, 2)</f>
        <v>Global</v>
      </c>
      <c r="G214" s="29" t="str" cm="1">
        <f t="array" ref="G214">Common_InputFunctions.Utility_DisplayArrayInTable(Scope3_SourceData.Scope3_Packaging_Data(), Table_SourceData_Scope3_Packaging[[#Headers],[Category]], 0, 2)</f>
        <v>p</v>
      </c>
      <c r="H214" s="29" cm="1">
        <f t="array" ref="H214">Common_InputFunctions.Utility_DisplayArrayInTable(Scope3_SourceData.Scope3_Packaging_Data(), Table_SourceData_Scope3_Packaging[[#Headers],[Category]], 0, 2)</f>
        <v>3.99</v>
      </c>
      <c r="I214" s="29" t="str" cm="1">
        <f t="array" ref="I214">Common_InputFunctions.Utility_DisplayArrayInTable(Scope3_SourceData.Scope3_Packaging_Data(), Table_SourceData_Scope3_Packaging[[#Headers],[Category]], 0, 2)</f>
        <v>at manufacturer</v>
      </c>
    </row>
    <row r="215" spans="4:16" ht="20.100000000000001" customHeight="1" x14ac:dyDescent="0.25">
      <c r="D215" s="29" t="str" cm="1">
        <f t="array" ref="D215">Common_InputFunctions.Utility_DisplayArrayInTable(Scope3_SourceData.Scope3_Packaging_Data(), Table_SourceData_Scope3_Packaging[[#Headers],[Category]], 0, 2)</f>
        <v>Packaging</v>
      </c>
      <c r="E215" s="29" t="str" cm="1">
        <f t="array" ref="E215">Common_InputFunctions.Utility_DisplayArrayInTable(Scope3_SourceData.Scope3_Packaging_Data(), Table_SourceData_Scope3_Packaging[[#Headers],[Category]], 0, 2)</f>
        <v>Plastic film LDPE</v>
      </c>
      <c r="F215" s="29" t="str" cm="1">
        <f t="array" ref="F215">Common_InputFunctions.Utility_DisplayArrayInTable(Scope3_SourceData.Scope3_Packaging_Data(), Table_SourceData_Scope3_Packaging[[#Headers],[Category]], 0, 2)</f>
        <v>Global</v>
      </c>
      <c r="G215" s="29" t="str" cm="1">
        <f t="array" ref="G215">Common_InputFunctions.Utility_DisplayArrayInTable(Scope3_SourceData.Scope3_Packaging_Data(), Table_SourceData_Scope3_Packaging[[#Headers],[Category]], 0, 2)</f>
        <v>kg</v>
      </c>
      <c r="H215" s="29" cm="1">
        <f t="array" ref="H215">Common_InputFunctions.Utility_DisplayArrayInTable(Scope3_SourceData.Scope3_Packaging_Data(), Table_SourceData_Scope3_Packaging[[#Headers],[Category]], 0, 2)</f>
        <v>3.44</v>
      </c>
      <c r="I215" s="29" t="str" cm="1">
        <f t="array" ref="I215">Common_InputFunctions.Utility_DisplayArrayInTable(Scope3_SourceData.Scope3_Packaging_Data(), Table_SourceData_Scope3_Packaging[[#Headers],[Category]], 0, 2)</f>
        <v>at manufacturer</v>
      </c>
    </row>
    <row r="216" spans="4:16" ht="20.100000000000001" customHeight="1" x14ac:dyDescent="0.25">
      <c r="D216" s="29" t="str" cm="1">
        <f t="array" ref="D216">Common_InputFunctions.Utility_DisplayArrayInTable(Scope3_SourceData.Scope3_Packaging_Data(), Table_SourceData_Scope3_Packaging[[#Headers],[Category]], 0, 2)</f>
        <v>Packaging</v>
      </c>
      <c r="E216" s="29" t="str" cm="1">
        <f t="array" ref="E216">Common_InputFunctions.Utility_DisplayArrayInTable(Scope3_SourceData.Scope3_Packaging_Data(), Table_SourceData_Scope3_Packaging[[#Headers],[Category]], 0, 2)</f>
        <v>Plastic sheet HDPE</v>
      </c>
      <c r="F216" s="29" t="str" cm="1">
        <f t="array" ref="F216">Common_InputFunctions.Utility_DisplayArrayInTable(Scope3_SourceData.Scope3_Packaging_Data(), Table_SourceData_Scope3_Packaging[[#Headers],[Category]], 0, 2)</f>
        <v>Global</v>
      </c>
      <c r="G216" s="29" t="str" cm="1">
        <f t="array" ref="G216">Common_InputFunctions.Utility_DisplayArrayInTable(Scope3_SourceData.Scope3_Packaging_Data(), Table_SourceData_Scope3_Packaging[[#Headers],[Category]], 0, 2)</f>
        <v>kg</v>
      </c>
      <c r="H216" s="29" cm="1">
        <f t="array" ref="H216">Common_InputFunctions.Utility_DisplayArrayInTable(Scope3_SourceData.Scope3_Packaging_Data(), Table_SourceData_Scope3_Packaging[[#Headers],[Category]], 0, 2)</f>
        <v>3.72</v>
      </c>
      <c r="I216" s="29"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1042</v>
      </c>
    </row>
    <row r="219" spans="4:16" ht="20.100000000000001" customHeight="1" x14ac:dyDescent="0.25">
      <c r="D219" s="29" t="s">
        <v>1259</v>
      </c>
      <c r="E219" s="29" t="s">
        <v>138</v>
      </c>
      <c r="F219" s="29" t="s">
        <v>1260</v>
      </c>
      <c r="G219" s="29" t="s">
        <v>1261</v>
      </c>
      <c r="H219" s="29" t="s">
        <v>1262</v>
      </c>
      <c r="I219" s="29" t="s">
        <v>1263</v>
      </c>
    </row>
    <row r="220" spans="4:16" ht="20.100000000000001" customHeight="1" x14ac:dyDescent="0.25">
      <c r="D220" s="29" t="str" cm="1">
        <f t="array" ref="D220">Common_InputFunctions.Utility_DisplayArrayInTable(Scope3_SourceData.Scope3_Pesticides_Data(), Table_SourceData_Scope3_Pesticides[[#Headers],[Category]], 0, 2)</f>
        <v>Pesticides</v>
      </c>
      <c r="E220" s="29" t="str" cm="1">
        <f t="array" ref="E220">Common_InputFunctions.Utility_DisplayArrayInTable(Scope3_SourceData.Scope3_Pesticides_Data(), Table_SourceData_Scope3_Pesticides[[#Headers],[Category]], 0, 2)</f>
        <v>2,4-D</v>
      </c>
      <c r="F220" s="29" t="str" cm="1">
        <f t="array" ref="F220">Common_InputFunctions.Utility_DisplayArrayInTable(Scope3_SourceData.Scope3_Pesticides_Data(), Table_SourceData_Scope3_Pesticides[[#Headers],[Category]], 0, 2)</f>
        <v>Global</v>
      </c>
      <c r="G220" s="29" t="str" cm="1">
        <f t="array" ref="G220">Common_InputFunctions.Utility_DisplayArrayInTable(Scope3_SourceData.Scope3_Pesticides_Data(), Table_SourceData_Scope3_Pesticides[[#Headers],[Category]], 0, 2)</f>
        <v>kg AI</v>
      </c>
      <c r="H220" s="29" cm="1">
        <f t="array" ref="H220">Common_InputFunctions.Utility_DisplayArrayInTable(Scope3_SourceData.Scope3_Pesticides_Data(), Table_SourceData_Scope3_Pesticides[[#Headers],[Category]], 0, 2)</f>
        <v>5.2</v>
      </c>
      <c r="I220" s="29" t="str" cm="1">
        <f t="array" ref="I220">Common_InputFunctions.Utility_DisplayArrayInTable(Scope3_SourceData.Scope3_Pesticides_Data(), Table_SourceData_Scope3_Pesticides[[#Headers],[Category]], 0, 2)</f>
        <v>at market</v>
      </c>
    </row>
    <row r="221" spans="4:16" ht="20.100000000000001" customHeight="1" x14ac:dyDescent="0.25">
      <c r="D221" s="29" t="str" cm="1">
        <f t="array" ref="D221">Common_InputFunctions.Utility_DisplayArrayInTable(Scope3_SourceData.Scope3_Pesticides_Data(), Table_SourceData_Scope3_Pesticides[[#Headers],[Category]], 0, 2)</f>
        <v>Pesticides</v>
      </c>
      <c r="E221" s="29" t="str" cm="1">
        <f t="array" ref="E221">Common_InputFunctions.Utility_DisplayArrayInTable(Scope3_SourceData.Scope3_Pesticides_Data(), Table_SourceData_Scope3_Pesticides[[#Headers],[Category]], 0, 2)</f>
        <v>Atrazine</v>
      </c>
      <c r="F221" s="29" t="str" cm="1">
        <f t="array" ref="F221">Common_InputFunctions.Utility_DisplayArrayInTable(Scope3_SourceData.Scope3_Pesticides_Data(), Table_SourceData_Scope3_Pesticides[[#Headers],[Category]], 0, 2)</f>
        <v>Global</v>
      </c>
      <c r="G221" s="29" t="str" cm="1">
        <f t="array" ref="G221">Common_InputFunctions.Utility_DisplayArrayInTable(Scope3_SourceData.Scope3_Pesticides_Data(), Table_SourceData_Scope3_Pesticides[[#Headers],[Category]], 0, 2)</f>
        <v>kg AI</v>
      </c>
      <c r="H221" s="29" cm="1">
        <f t="array" ref="H221">Common_InputFunctions.Utility_DisplayArrayInTable(Scope3_SourceData.Scope3_Pesticides_Data(), Table_SourceData_Scope3_Pesticides[[#Headers],[Category]], 0, 2)</f>
        <v>8.3800000000000008</v>
      </c>
      <c r="I221" s="29" t="str" cm="1">
        <f t="array" ref="I221">Common_InputFunctions.Utility_DisplayArrayInTable(Scope3_SourceData.Scope3_Pesticides_Data(), Table_SourceData_Scope3_Pesticides[[#Headers],[Category]], 0, 2)</f>
        <v>at market</v>
      </c>
    </row>
    <row r="222" spans="4:16" ht="20.100000000000001" customHeight="1" x14ac:dyDescent="0.25">
      <c r="D222" s="29" t="str" cm="1">
        <f t="array" ref="D222">Common_InputFunctions.Utility_DisplayArrayInTable(Scope3_SourceData.Scope3_Pesticides_Data(), Table_SourceData_Scope3_Pesticides[[#Headers],[Category]], 0, 2)</f>
        <v>Pesticides</v>
      </c>
      <c r="E222" s="29" t="str" cm="1">
        <f t="array" ref="E222">Common_InputFunctions.Utility_DisplayArrayInTable(Scope3_SourceData.Scope3_Pesticides_Data(), Table_SourceData_Scope3_Pesticides[[#Headers],[Category]], 0, 2)</f>
        <v>Diuron</v>
      </c>
      <c r="F222" s="29" t="str" cm="1">
        <f t="array" ref="F222">Common_InputFunctions.Utility_DisplayArrayInTable(Scope3_SourceData.Scope3_Pesticides_Data(), Table_SourceData_Scope3_Pesticides[[#Headers],[Category]], 0, 2)</f>
        <v>Global</v>
      </c>
      <c r="G222" s="29" t="str" cm="1">
        <f t="array" ref="G222">Common_InputFunctions.Utility_DisplayArrayInTable(Scope3_SourceData.Scope3_Pesticides_Data(), Table_SourceData_Scope3_Pesticides[[#Headers],[Category]], 0, 2)</f>
        <v>kg AI</v>
      </c>
      <c r="H222" s="29" cm="1">
        <f t="array" ref="H222">Common_InputFunctions.Utility_DisplayArrayInTable(Scope3_SourceData.Scope3_Pesticides_Data(), Table_SourceData_Scope3_Pesticides[[#Headers],[Category]], 0, 2)</f>
        <v>8.8000000000000007</v>
      </c>
      <c r="I222" s="29" t="str" cm="1">
        <f t="array" ref="I222">Common_InputFunctions.Utility_DisplayArrayInTable(Scope3_SourceData.Scope3_Pesticides_Data(), Table_SourceData_Scope3_Pesticides[[#Headers],[Category]], 0, 2)</f>
        <v>at market</v>
      </c>
    </row>
    <row r="223" spans="4:16" ht="20.100000000000001" customHeight="1" x14ac:dyDescent="0.25">
      <c r="D223" s="29" t="str" cm="1">
        <f t="array" ref="D223">Common_InputFunctions.Utility_DisplayArrayInTable(Scope3_SourceData.Scope3_Pesticides_Data(), Table_SourceData_Scope3_Pesticides[[#Headers],[Category]], 0, 2)</f>
        <v>Pesticides</v>
      </c>
      <c r="E223" s="29" t="str" cm="1">
        <f t="array" ref="E223">Common_InputFunctions.Utility_DisplayArrayInTable(Scope3_SourceData.Scope3_Pesticides_Data(), Table_SourceData_Scope3_Pesticides[[#Headers],[Category]], 0, 2)</f>
        <v>Glyphosate</v>
      </c>
      <c r="F223" s="29" t="str" cm="1">
        <f t="array" ref="F223">Common_InputFunctions.Utility_DisplayArrayInTable(Scope3_SourceData.Scope3_Pesticides_Data(), Table_SourceData_Scope3_Pesticides[[#Headers],[Category]], 0, 2)</f>
        <v>Global</v>
      </c>
      <c r="G223" s="29" t="str" cm="1">
        <f t="array" ref="G223">Common_InputFunctions.Utility_DisplayArrayInTable(Scope3_SourceData.Scope3_Pesticides_Data(), Table_SourceData_Scope3_Pesticides[[#Headers],[Category]], 0, 2)</f>
        <v>kg AI</v>
      </c>
      <c r="H223" s="29" cm="1">
        <f t="array" ref="H223">Common_InputFunctions.Utility_DisplayArrayInTable(Scope3_SourceData.Scope3_Pesticides_Data(), Table_SourceData_Scope3_Pesticides[[#Headers],[Category]], 0, 2)</f>
        <v>10.3</v>
      </c>
      <c r="I223" s="29" t="str" cm="1">
        <f t="array" ref="I223">Common_InputFunctions.Utility_DisplayArrayInTable(Scope3_SourceData.Scope3_Pesticides_Data(), Table_SourceData_Scope3_Pesticides[[#Headers],[Category]], 0, 2)</f>
        <v>at market</v>
      </c>
    </row>
    <row r="224" spans="4:16" ht="20.100000000000001" customHeight="1" x14ac:dyDescent="0.25">
      <c r="D224" s="29" t="str" cm="1">
        <f t="array" ref="D224">Common_InputFunctions.Utility_DisplayArrayInTable(Scope3_SourceData.Scope3_Pesticides_Data(), Table_SourceData_Scope3_Pesticides[[#Headers],[Category]], 0, 2)</f>
        <v>Pesticides</v>
      </c>
      <c r="E224" s="29" t="str" cm="1">
        <f t="array" ref="E224">Common_InputFunctions.Utility_DisplayArrayInTable(Scope3_SourceData.Scope3_Pesticides_Data(), Table_SourceData_Scope3_Pesticides[[#Headers],[Category]], 0, 2)</f>
        <v>Mancozeb</v>
      </c>
      <c r="F224" s="29" t="str" cm="1">
        <f t="array" ref="F224">Common_InputFunctions.Utility_DisplayArrayInTable(Scope3_SourceData.Scope3_Pesticides_Data(), Table_SourceData_Scope3_Pesticides[[#Headers],[Category]], 0, 2)</f>
        <v>Global</v>
      </c>
      <c r="G224" s="29" t="str" cm="1">
        <f t="array" ref="G224">Common_InputFunctions.Utility_DisplayArrayInTable(Scope3_SourceData.Scope3_Pesticides_Data(), Table_SourceData_Scope3_Pesticides[[#Headers],[Category]], 0, 2)</f>
        <v>kg AI</v>
      </c>
      <c r="H224" s="29" cm="1">
        <f t="array" ref="H224">Common_InputFunctions.Utility_DisplayArrayInTable(Scope3_SourceData.Scope3_Pesticides_Data(), Table_SourceData_Scope3_Pesticides[[#Headers],[Category]], 0, 2)</f>
        <v>4.55</v>
      </c>
      <c r="I224" s="29" t="str" cm="1">
        <f t="array" ref="I224">Common_InputFunctions.Utility_DisplayArrayInTable(Scope3_SourceData.Scope3_Pesticides_Data(), Table_SourceData_Scope3_Pesticides[[#Headers],[Category]], 0, 2)</f>
        <v>at market</v>
      </c>
    </row>
    <row r="225" spans="4:9" ht="20.100000000000001" customHeight="1" x14ac:dyDescent="0.25">
      <c r="D225" s="29" t="str" cm="1">
        <f t="array" ref="D225">Common_InputFunctions.Utility_DisplayArrayInTable(Scope3_SourceData.Scope3_Pesticides_Data(), Table_SourceData_Scope3_Pesticides[[#Headers],[Category]], 0, 2)</f>
        <v>Pesticides</v>
      </c>
      <c r="E225" s="29" t="str" cm="1">
        <f t="array" ref="E225">Common_InputFunctions.Utility_DisplayArrayInTable(Scope3_SourceData.Scope3_Pesticides_Data(), Table_SourceData_Scope3_Pesticides[[#Headers],[Category]], 0, 2)</f>
        <v>MCPA</v>
      </c>
      <c r="F225" s="29" t="str" cm="1">
        <f t="array" ref="F225">Common_InputFunctions.Utility_DisplayArrayInTable(Scope3_SourceData.Scope3_Pesticides_Data(), Table_SourceData_Scope3_Pesticides[[#Headers],[Category]], 0, 2)</f>
        <v>Global</v>
      </c>
      <c r="G225" s="29" t="str" cm="1">
        <f t="array" ref="G225">Common_InputFunctions.Utility_DisplayArrayInTable(Scope3_SourceData.Scope3_Pesticides_Data(), Table_SourceData_Scope3_Pesticides[[#Headers],[Category]], 0, 2)</f>
        <v>kg AI</v>
      </c>
      <c r="H225" s="29" cm="1">
        <f t="array" ref="H225">Common_InputFunctions.Utility_DisplayArrayInTable(Scope3_SourceData.Scope3_Pesticides_Data(), Table_SourceData_Scope3_Pesticides[[#Headers],[Category]], 0, 2)</f>
        <v>5.6</v>
      </c>
      <c r="I225" s="29" t="str" cm="1">
        <f t="array" ref="I225">Common_InputFunctions.Utility_DisplayArrayInTable(Scope3_SourceData.Scope3_Pesticides_Data(), Table_SourceData_Scope3_Pesticides[[#Headers],[Category]], 0, 2)</f>
        <v>at market</v>
      </c>
    </row>
    <row r="226" spans="4:9" ht="20.100000000000001" customHeight="1" x14ac:dyDescent="0.25">
      <c r="D226" s="29" t="str" cm="1">
        <f t="array" ref="D226">Common_InputFunctions.Utility_DisplayArrayInTable(Scope3_SourceData.Scope3_Pesticides_Data(), Table_SourceData_Scope3_Pesticides[[#Headers],[Category]], 0, 2)</f>
        <v>Pesticides</v>
      </c>
      <c r="E226" s="29" t="str" cm="1">
        <f t="array" ref="E226">Common_InputFunctions.Utility_DisplayArrayInTable(Scope3_SourceData.Scope3_Pesticides_Data(), Table_SourceData_Scope3_Pesticides[[#Headers],[Category]], 0, 2)</f>
        <v>Metolachlor</v>
      </c>
      <c r="F226" s="29" t="str" cm="1">
        <f t="array" ref="F226">Common_InputFunctions.Utility_DisplayArrayInTable(Scope3_SourceData.Scope3_Pesticides_Data(), Table_SourceData_Scope3_Pesticides[[#Headers],[Category]], 0, 2)</f>
        <v>Global</v>
      </c>
      <c r="G226" s="29" t="str" cm="1">
        <f t="array" ref="G226">Common_InputFunctions.Utility_DisplayArrayInTable(Scope3_SourceData.Scope3_Pesticides_Data(), Table_SourceData_Scope3_Pesticides[[#Headers],[Category]], 0, 2)</f>
        <v>kg AI</v>
      </c>
      <c r="H226" s="29" cm="1">
        <f t="array" ref="H226">Common_InputFunctions.Utility_DisplayArrayInTable(Scope3_SourceData.Scope3_Pesticides_Data(), Table_SourceData_Scope3_Pesticides[[#Headers],[Category]], 0, 2)</f>
        <v>8.06</v>
      </c>
      <c r="I226" s="29" t="str" cm="1">
        <f t="array" ref="I226">Common_InputFunctions.Utility_DisplayArrayInTable(Scope3_SourceData.Scope3_Pesticides_Data(), Table_SourceData_Scope3_Pesticides[[#Headers],[Category]], 0, 2)</f>
        <v>at market</v>
      </c>
    </row>
    <row r="227" spans="4:9" ht="20.100000000000001" customHeight="1" x14ac:dyDescent="0.25">
      <c r="D227" s="29" t="str" cm="1">
        <f t="array" ref="D227">Common_InputFunctions.Utility_DisplayArrayInTable(Scope3_SourceData.Scope3_Pesticides_Data(), Table_SourceData_Scope3_Pesticides[[#Headers],[Category]], 0, 2)</f>
        <v>Pesticides</v>
      </c>
      <c r="E227" s="29" t="str" cm="1">
        <f t="array" ref="E227">Common_InputFunctions.Utility_DisplayArrayInTable(Scope3_SourceData.Scope3_Pesticides_Data(), Table_SourceData_Scope3_Pesticides[[#Headers],[Category]], 0, 2)</f>
        <v>Metsulfuron-methyl</v>
      </c>
      <c r="F227" s="29" t="str" cm="1">
        <f t="array" ref="F227">Common_InputFunctions.Utility_DisplayArrayInTable(Scope3_SourceData.Scope3_Pesticides_Data(), Table_SourceData_Scope3_Pesticides[[#Headers],[Category]], 0, 2)</f>
        <v>Global</v>
      </c>
      <c r="G227" s="29" t="str" cm="1">
        <f t="array" ref="G227">Common_InputFunctions.Utility_DisplayArrayInTable(Scope3_SourceData.Scope3_Pesticides_Data(), Table_SourceData_Scope3_Pesticides[[#Headers],[Category]], 0, 2)</f>
        <v>kg AI</v>
      </c>
      <c r="H227" s="29" cm="1">
        <f t="array" ref="H227">Common_InputFunctions.Utility_DisplayArrayInTable(Scope3_SourceData.Scope3_Pesticides_Data(), Table_SourceData_Scope3_Pesticides[[#Headers],[Category]], 0, 2)</f>
        <v>8.8000000000000007</v>
      </c>
      <c r="I227" s="29" t="str" cm="1">
        <f t="array" ref="I227">Common_InputFunctions.Utility_DisplayArrayInTable(Scope3_SourceData.Scope3_Pesticides_Data(), Table_SourceData_Scope3_Pesticides[[#Headers],[Category]], 0, 2)</f>
        <v>at market</v>
      </c>
    </row>
    <row r="228" spans="4:9" ht="20.100000000000001" customHeight="1" x14ac:dyDescent="0.25">
      <c r="D228" s="29" t="str" cm="1">
        <f t="array" ref="D228">Common_InputFunctions.Utility_DisplayArrayInTable(Scope3_SourceData.Scope3_Pesticides_Data(), Table_SourceData_Scope3_Pesticides[[#Headers],[Category]], 0, 2)</f>
        <v>Pesticides</v>
      </c>
      <c r="E228" s="29" t="str" cm="1">
        <f t="array" ref="E228">Common_InputFunctions.Utility_DisplayArrayInTable(Scope3_SourceData.Scope3_Pesticides_Data(), Table_SourceData_Scope3_Pesticides[[#Headers],[Category]], 0, 2)</f>
        <v>Pesticides (generic)</v>
      </c>
      <c r="F228" s="29" t="str" cm="1">
        <f t="array" ref="F228">Common_InputFunctions.Utility_DisplayArrayInTable(Scope3_SourceData.Scope3_Pesticides_Data(), Table_SourceData_Scope3_Pesticides[[#Headers],[Category]], 0, 2)</f>
        <v>Global</v>
      </c>
      <c r="G228" s="29" t="str" cm="1">
        <f t="array" ref="G228">Common_InputFunctions.Utility_DisplayArrayInTable(Scope3_SourceData.Scope3_Pesticides_Data(), Table_SourceData_Scope3_Pesticides[[#Headers],[Category]], 0, 2)</f>
        <v>kg AI</v>
      </c>
      <c r="H228" s="29" cm="1">
        <f t="array" ref="H228">Common_InputFunctions.Utility_DisplayArrayInTable(Scope3_SourceData.Scope3_Pesticides_Data(), Table_SourceData_Scope3_Pesticides[[#Headers],[Category]], 0, 2)</f>
        <v>9.16</v>
      </c>
      <c r="I228" s="29" t="str" cm="1">
        <f t="array" ref="I228">Common_InputFunctions.Utility_DisplayArrayInTable(Scope3_SourceData.Scope3_Pesticides_Data(), Table_SourceData_Scope3_Pesticides[[#Headers],[Category]], 0, 2)</f>
        <v>at market</v>
      </c>
    </row>
    <row r="229" spans="4:9" ht="20.100000000000001" customHeight="1" x14ac:dyDescent="0.25">
      <c r="D229" s="29" t="str" cm="1">
        <f t="array" ref="D229">Common_InputFunctions.Utility_DisplayArrayInTable(Scope3_SourceData.Scope3_Pesticides_Data(), Table_SourceData_Scope3_Pesticides[[#Headers],[Category]], 0, 2)</f>
        <v>Pesticides</v>
      </c>
      <c r="E229" s="29" t="str" cm="1">
        <f t="array" ref="E229">Common_InputFunctions.Utility_DisplayArrayInTable(Scope3_SourceData.Scope3_Pesticides_Data(), Table_SourceData_Scope3_Pesticides[[#Headers],[Category]], 0, 2)</f>
        <v>Tri-allate</v>
      </c>
      <c r="F229" s="29" t="str" cm="1">
        <f t="array" ref="F229">Common_InputFunctions.Utility_DisplayArrayInTable(Scope3_SourceData.Scope3_Pesticides_Data(), Table_SourceData_Scope3_Pesticides[[#Headers],[Category]], 0, 2)</f>
        <v>Global</v>
      </c>
      <c r="G229" s="29" t="str" cm="1">
        <f t="array" ref="G229">Common_InputFunctions.Utility_DisplayArrayInTable(Scope3_SourceData.Scope3_Pesticides_Data(), Table_SourceData_Scope3_Pesticides[[#Headers],[Category]], 0, 2)</f>
        <v>kg AI</v>
      </c>
      <c r="H229" s="29" cm="1">
        <f t="array" ref="H229">Common_InputFunctions.Utility_DisplayArrayInTable(Scope3_SourceData.Scope3_Pesticides_Data(), Table_SourceData_Scope3_Pesticides[[#Headers],[Category]], 0, 2)</f>
        <v>8.57</v>
      </c>
      <c r="I229" s="29" t="str" cm="1">
        <f t="array" ref="I229">Common_InputFunctions.Utility_DisplayArrayInTable(Scope3_SourceData.Scope3_Pesticides_Data(), Table_SourceData_Scope3_Pesticides[[#Headers],[Category]], 0, 2)</f>
        <v>at market</v>
      </c>
    </row>
    <row r="230" spans="4:9" ht="20.100000000000001" customHeight="1" x14ac:dyDescent="0.25">
      <c r="D230" s="29" t="str" cm="1">
        <f t="array" ref="D230">Common_InputFunctions.Utility_DisplayArrayInTable(Scope3_SourceData.Scope3_Pesticides_Data(), Table_SourceData_Scope3_Pesticides[[#Headers],[Category]], 0, 2)</f>
        <v>Pesticides</v>
      </c>
      <c r="E230" s="29" t="str" cm="1">
        <f t="array" ref="E230">Common_InputFunctions.Utility_DisplayArrayInTable(Scope3_SourceData.Scope3_Pesticides_Data(), Table_SourceData_Scope3_Pesticides[[#Headers],[Category]], 0, 2)</f>
        <v>Tribenuron methyl</v>
      </c>
      <c r="F230" s="29" t="str" cm="1">
        <f t="array" ref="F230">Common_InputFunctions.Utility_DisplayArrayInTable(Scope3_SourceData.Scope3_Pesticides_Data(), Table_SourceData_Scope3_Pesticides[[#Headers],[Category]], 0, 2)</f>
        <v>Global</v>
      </c>
      <c r="G230" s="29" t="str" cm="1">
        <f t="array" ref="G230">Common_InputFunctions.Utility_DisplayArrayInTable(Scope3_SourceData.Scope3_Pesticides_Data(), Table_SourceData_Scope3_Pesticides[[#Headers],[Category]], 0, 2)</f>
        <v>kg AI</v>
      </c>
      <c r="H230" s="29" cm="1">
        <f t="array" ref="H230">Common_InputFunctions.Utility_DisplayArrayInTable(Scope3_SourceData.Scope3_Pesticides_Data(), Table_SourceData_Scope3_Pesticides[[#Headers],[Category]], 0, 2)</f>
        <v>8.8000000000000007</v>
      </c>
      <c r="I230" s="29" t="str" cm="1">
        <f t="array" ref="I230">Common_InputFunctions.Utility_DisplayArrayInTable(Scope3_SourceData.Scope3_Pesticides_Data(), Table_SourceData_Scope3_Pesticides[[#Headers],[Category]], 0, 2)</f>
        <v>at market</v>
      </c>
    </row>
    <row r="231" spans="4:9" ht="20.100000000000001" customHeight="1" x14ac:dyDescent="0.25">
      <c r="D231" s="29" t="str" cm="1">
        <f t="array" ref="D231">Common_InputFunctions.Utility_DisplayArrayInTable(Scope3_SourceData.Scope3_Pesticides_Data(), Table_SourceData_Scope3_Pesticides[[#Headers],[Category]], 0, 2)</f>
        <v>Pesticides</v>
      </c>
      <c r="E231" s="29" t="str" cm="1">
        <f t="array" ref="E231">Common_InputFunctions.Utility_DisplayArrayInTable(Scope3_SourceData.Scope3_Pesticides_Data(), Table_SourceData_Scope3_Pesticides[[#Headers],[Category]], 0, 2)</f>
        <v>Trifluralin</v>
      </c>
      <c r="F231" s="29" t="str" cm="1">
        <f t="array" ref="F231">Common_InputFunctions.Utility_DisplayArrayInTable(Scope3_SourceData.Scope3_Pesticides_Data(), Table_SourceData_Scope3_Pesticides[[#Headers],[Category]], 0, 2)</f>
        <v>Global</v>
      </c>
      <c r="G231" s="29" t="str" cm="1">
        <f t="array" ref="G231">Common_InputFunctions.Utility_DisplayArrayInTable(Scope3_SourceData.Scope3_Pesticides_Data(), Table_SourceData_Scope3_Pesticides[[#Headers],[Category]], 0, 2)</f>
        <v>kg AI</v>
      </c>
      <c r="H231" s="29" cm="1">
        <f t="array" ref="H231">Common_InputFunctions.Utility_DisplayArrayInTable(Scope3_SourceData.Scope3_Pesticides_Data(), Table_SourceData_Scope3_Pesticides[[#Headers],[Category]], 0, 2)</f>
        <v>6.16</v>
      </c>
      <c r="I231" s="29"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1281</v>
      </c>
    </row>
    <row r="234" spans="4:9" ht="20.100000000000001" customHeight="1" x14ac:dyDescent="0.25">
      <c r="D234" s="29" t="s">
        <v>1259</v>
      </c>
      <c r="E234" s="29" t="s">
        <v>138</v>
      </c>
      <c r="F234" s="29" t="s">
        <v>1260</v>
      </c>
      <c r="G234" s="29" t="s">
        <v>1261</v>
      </c>
      <c r="H234" s="29" t="s">
        <v>1262</v>
      </c>
      <c r="I234" s="29" t="s">
        <v>1263</v>
      </c>
    </row>
    <row r="235" spans="4:9" ht="20.100000000000001" customHeight="1" x14ac:dyDescent="0.25">
      <c r="D235" s="29" t="str" cm="1">
        <f t="array" ref="D235">Common_InputFunctions.Utility_DisplayArrayInTable(Scope3_SourceData.Scope3_SoilAmendments_Data(), Table_SourceData_Scope3_SoilAmeliorants[[#Headers],[Category]], 0, 2)</f>
        <v>Soil ameliorants</v>
      </c>
      <c r="E235" s="29" t="str" cm="1">
        <f t="array" ref="E235">Common_InputFunctions.Utility_DisplayArrayInTable(Scope3_SourceData.Scope3_SoilAmendments_Data(), Table_SourceData_Scope3_SoilAmeliorants[[#Headers],[Category]], 0, 2)</f>
        <v>Dolomite</v>
      </c>
      <c r="F235" s="29" t="str" cm="1">
        <f t="array" ref="F235">Common_InputFunctions.Utility_DisplayArrayInTable(Scope3_SourceData.Scope3_SoilAmendments_Data(), Table_SourceData_Scope3_SoilAmeliorants[[#Headers],[Category]], 0, 2)</f>
        <v>Australia</v>
      </c>
      <c r="G235" s="29" t="str" cm="1">
        <f t="array" ref="G235">Common_InputFunctions.Utility_DisplayArrayInTable(Scope3_SourceData.Scope3_SoilAmendments_Data(), Table_SourceData_Scope3_SoilAmeliorants[[#Headers],[Category]], 0, 2)</f>
        <v>kg</v>
      </c>
      <c r="H235" s="29" cm="1">
        <f t="array" ref="H235">Common_InputFunctions.Utility_DisplayArrayInTable(Scope3_SourceData.Scope3_SoilAmendments_Data(), Table_SourceData_Scope3_SoilAmeliorants[[#Headers],[Category]], 0, 2)</f>
        <v>6.5199999999999994E-2</v>
      </c>
      <c r="I235" s="29" t="str" cm="1">
        <f t="array" ref="I235">Common_InputFunctions.Utility_DisplayArrayInTable(Scope3_SourceData.Scope3_SoilAmendments_Data(), Table_SourceData_Scope3_SoilAmeliorants[[#Headers],[Category]], 0, 2)</f>
        <v>at market</v>
      </c>
    </row>
    <row r="236" spans="4:9" ht="20.100000000000001" customHeight="1" x14ac:dyDescent="0.25">
      <c r="D236" s="29" t="str" cm="1">
        <f t="array" ref="D236">Common_InputFunctions.Utility_DisplayArrayInTable(Scope3_SourceData.Scope3_SoilAmendments_Data(), Table_SourceData_Scope3_SoilAmeliorants[[#Headers],[Category]], 0, 2)</f>
        <v>Soil ameliorants</v>
      </c>
      <c r="E236" s="29" t="str" cm="1">
        <f t="array" ref="E236">Common_InputFunctions.Utility_DisplayArrayInTable(Scope3_SourceData.Scope3_SoilAmendments_Data(), Table_SourceData_Scope3_SoilAmeliorants[[#Headers],[Category]], 0, 2)</f>
        <v>Gypsum</v>
      </c>
      <c r="F236" s="29" t="str" cm="1">
        <f t="array" ref="F236">Common_InputFunctions.Utility_DisplayArrayInTable(Scope3_SourceData.Scope3_SoilAmendments_Data(), Table_SourceData_Scope3_SoilAmeliorants[[#Headers],[Category]], 0, 2)</f>
        <v>Australia</v>
      </c>
      <c r="G236" s="29" t="str" cm="1">
        <f t="array" ref="G236">Common_InputFunctions.Utility_DisplayArrayInTable(Scope3_SourceData.Scope3_SoilAmendments_Data(), Table_SourceData_Scope3_SoilAmeliorants[[#Headers],[Category]], 0, 2)</f>
        <v>kg</v>
      </c>
      <c r="H236" s="29" cm="1">
        <f t="array" ref="H236">Common_InputFunctions.Utility_DisplayArrayInTable(Scope3_SourceData.Scope3_SoilAmendments_Data(), Table_SourceData_Scope3_SoilAmeliorants[[#Headers],[Category]], 0, 2)</f>
        <v>6.5199999999999994E-2</v>
      </c>
      <c r="I236" s="29" t="str" cm="1">
        <f t="array" ref="I236">Common_InputFunctions.Utility_DisplayArrayInTable(Scope3_SourceData.Scope3_SoilAmendments_Data(), Table_SourceData_Scope3_SoilAmeliorants[[#Headers],[Category]], 0, 2)</f>
        <v>at market</v>
      </c>
    </row>
    <row r="237" spans="4:9" ht="20.100000000000001" customHeight="1" x14ac:dyDescent="0.25">
      <c r="D237" s="29" t="str" cm="1">
        <f t="array" ref="D237">Common_InputFunctions.Utility_DisplayArrayInTable(Scope3_SourceData.Scope3_SoilAmendments_Data(), Table_SourceData_Scope3_SoilAmeliorants[[#Headers],[Category]], 0, 2)</f>
        <v>Soil ameliorants</v>
      </c>
      <c r="E237" s="29" t="str" cm="1">
        <f t="array" ref="E237">Common_InputFunctions.Utility_DisplayArrayInTable(Scope3_SourceData.Scope3_SoilAmendments_Data(), Table_SourceData_Scope3_SoilAmeliorants[[#Headers],[Category]], 0, 2)</f>
        <v>Limestone (crushed)</v>
      </c>
      <c r="F237" s="29" t="str" cm="1">
        <f t="array" ref="F237">Common_InputFunctions.Utility_DisplayArrayInTable(Scope3_SourceData.Scope3_SoilAmendments_Data(), Table_SourceData_Scope3_SoilAmeliorants[[#Headers],[Category]], 0, 2)</f>
        <v>Australia</v>
      </c>
      <c r="G237" s="29" t="str" cm="1">
        <f t="array" ref="G237">Common_InputFunctions.Utility_DisplayArrayInTable(Scope3_SourceData.Scope3_SoilAmendments_Data(), Table_SourceData_Scope3_SoilAmeliorants[[#Headers],[Category]], 0, 2)</f>
        <v>kg</v>
      </c>
      <c r="H237" s="29" cm="1">
        <f t="array" ref="H237">Common_InputFunctions.Utility_DisplayArrayInTable(Scope3_SourceData.Scope3_SoilAmendments_Data(), Table_SourceData_Scope3_SoilAmeliorants[[#Headers],[Category]], 0, 2)</f>
        <v>4.8500000000000001E-2</v>
      </c>
      <c r="I237" s="29"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workbookViewId="0" zoomScale="100" zoomScaleNormal="100">
      <selection activeCell="A65" sqref="A65"/>
    </sheetView>
  </sheetViews>
  <sheetFormatPr defaultColWidth="9.140625" defaultRowHeight="15.75" x14ac:dyDescent="0.25"/>
  <cols>
    <col min="1" max="1" width="30.7109375" style="31" customWidth="1"/>
    <col min="2" max="2" width="2.7109375" style="3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1" customWidth="1"/>
    <col min="34" max="39" width="21.85546875" style="31" customWidth="1"/>
    <col min="40" max="44" width="20.7109375" style="31" customWidth="1"/>
    <col min="45" max="65" width="9.140625" style="31"/>
    <col min="66" max="16384" width="9.140625" style="34"/>
  </cols>
  <sheetData>
    <row r="1" spans="1:65" s="30" customFormat="1" ht="30" customHeight="1" x14ac:dyDescent="0.35">
      <c r="A1" s="16" t="e" vm="1">
        <v>#VALUE!</v>
      </c>
      <c r="C1" s="30" t="s">
        <v>21</v>
      </c>
    </row>
    <row r="2" spans="1:65" s="3" customFormat="1" ht="20.100000000000001" customHeight="1" x14ac:dyDescent="0.25">
      <c r="A2"/>
    </row>
    <row r="3" spans="1:6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3"/>
      <c r="W3" s="33"/>
    </row>
    <row r="4" spans="1:65" ht="20.100000000000001" customHeight="1" x14ac:dyDescent="0.25">
      <c r="A4" s="5" t="str">
        <f>HYPERLINK("#'Overview'!A1", "Overview")</f>
        <v>Overview</v>
      </c>
      <c r="BM4" s="34"/>
    </row>
    <row r="5" spans="1:65" ht="20.100000000000001" customHeight="1" x14ac:dyDescent="0.25">
      <c r="A5" s="5" t="str">
        <f>HYPERLINK("#'Results'!A1", "Results")</f>
        <v>Results</v>
      </c>
      <c r="D5" s="2" t="str" cm="1">
        <f t="array" ref="D5">Common_SourceData.Common_SourceData_AustralianStatesTerritories_Title()</f>
        <v>Australian states and territories</v>
      </c>
      <c r="BM5" s="34"/>
    </row>
    <row r="6" spans="1:65" ht="20.100000000000001" customHeight="1" x14ac:dyDescent="0.25">
      <c r="A6"/>
      <c r="D6" s="29" t="s">
        <v>22</v>
      </c>
      <c r="E6" s="29" t="s">
        <v>23</v>
      </c>
      <c r="F6" s="29" t="s">
        <v>24</v>
      </c>
    </row>
    <row r="7" spans="1:65" ht="20.100000000000001" customHeight="1" x14ac:dyDescent="0.25">
      <c r="A7"/>
      <c r="D7" s="29" t="str" cm="1">
        <f t="array" ref="D7">Common_InputFunctions.Utility_DisplayArrayInTable(Common_SourceData.Common_SourceData_AustralianStatesTerritories_Data(),Table_AustralianStates[[#Headers],[State/Territory]],0)</f>
        <v>New South Wales</v>
      </c>
      <c r="E7" s="29" t="str" cm="1">
        <f t="array" ref="E7">Common_InputFunctions.Utility_DisplayArrayInTable(Common_SourceData.Common_SourceData_AustralianStatesTerritories_Data(),Table_AustralianStates[[#Headers],[State/Territory]],0)</f>
        <v>New South Wales</v>
      </c>
      <c r="F7" s="2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9" t="str" cm="1">
        <f t="array" ref="D8">Common_InputFunctions.Utility_DisplayArrayInTable(Common_SourceData.Common_SourceData_AustralianStatesTerritories_Data(),Table_AustralianStates[[#Headers],[State/Territory]],0)</f>
        <v>Australian Capital Territory</v>
      </c>
      <c r="E8" s="29" t="str" cm="1">
        <f t="array" ref="E8">Common_InputFunctions.Utility_DisplayArrayInTable(Common_SourceData.Common_SourceData_AustralianStatesTerritories_Data(),Table_AustralianStates[[#Headers],[State/Territory]],0)</f>
        <v>ACT</v>
      </c>
      <c r="F8" s="2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9" t="str" cm="1">
        <f t="array" ref="D9">Common_InputFunctions.Utility_DisplayArrayInTable(Common_SourceData.Common_SourceData_AustralianStatesTerritories_Data(),Table_AustralianStates[[#Headers],[State/Territory]],0)</f>
        <v>Victoria</v>
      </c>
      <c r="E9" s="29" t="str" cm="1">
        <f t="array" ref="E9">Common_InputFunctions.Utility_DisplayArrayInTable(Common_SourceData.Common_SourceData_AustralianStatesTerritories_Data(),Table_AustralianStates[[#Headers],[State/Territory]],0)</f>
        <v>Victoria</v>
      </c>
      <c r="F9" s="2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9" t="str" cm="1">
        <f t="array" ref="D10">Common_InputFunctions.Utility_DisplayArrayInTable(Common_SourceData.Common_SourceData_AustralianStatesTerritories_Data(),Table_AustralianStates[[#Headers],[State/Territory]],0)</f>
        <v>Queensland</v>
      </c>
      <c r="E10" s="29" t="str" cm="1">
        <f t="array" ref="E10">Common_InputFunctions.Utility_DisplayArrayInTable(Common_SourceData.Common_SourceData_AustralianStatesTerritories_Data(),Table_AustralianStates[[#Headers],[State/Territory]],0)</f>
        <v>Queensland</v>
      </c>
      <c r="F10" s="2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29" t="str" cm="1">
        <f t="array" ref="D11">Common_InputFunctions.Utility_DisplayArrayInTable(Common_SourceData.Common_SourceData_AustralianStatesTerritories_Data(),Table_AustralianStates[[#Headers],[State/Territory]],0)</f>
        <v>South Australia</v>
      </c>
      <c r="E11" s="29" t="str" cm="1">
        <f t="array" ref="E11">Common_InputFunctions.Utility_DisplayArrayInTable(Common_SourceData.Common_SourceData_AustralianStatesTerritories_Data(),Table_AustralianStates[[#Headers],[State/Territory]],0)</f>
        <v>South Australia</v>
      </c>
      <c r="F11" s="29" t="str" cm="1">
        <f t="array" ref="F11">Common_InputFunctions.Utility_DisplayArrayInTable(Common_SourceData.Common_SourceData_AustralianStatesTerritories_Data(),Table_AustralianStates[[#Headers],[State/Territory]],0)</f>
        <v>SA</v>
      </c>
      <c r="BM11" s="34"/>
    </row>
    <row r="12" spans="1:65" ht="20.100000000000001" customHeight="1" x14ac:dyDescent="0.25">
      <c r="A12" s="5" t="str">
        <f>HYPERLINK("#'Input - Dairy (Enteric)'!A1", "Dairy (Enteric)")</f>
        <v>Dairy (Enteric)</v>
      </c>
      <c r="D12" s="29" t="str" cm="1">
        <f t="array" ref="D12">Common_InputFunctions.Utility_DisplayArrayInTable(Common_SourceData.Common_SourceData_AustralianStatesTerritories_Data(),Table_AustralianStates[[#Headers],[State/Territory]],0)</f>
        <v>Western Australia</v>
      </c>
      <c r="E12" s="29" t="str" cm="1">
        <f t="array" ref="E12">Common_InputFunctions.Utility_DisplayArrayInTable(Common_SourceData.Common_SourceData_AustralianStatesTerritories_Data(),Table_AustralianStates[[#Headers],[State/Territory]],0)</f>
        <v>Western Australia</v>
      </c>
      <c r="F12" s="29" t="str" cm="1">
        <f t="array" ref="F12">Common_InputFunctions.Utility_DisplayArrayInTable(Common_SourceData.Common_SourceData_AustralianStatesTerritories_Data(),Table_AustralianStates[[#Headers],[State/Territory]],0)</f>
        <v>WA</v>
      </c>
      <c r="BM12" s="34"/>
    </row>
    <row r="13" spans="1:65" ht="20.100000000000001" customHeight="1" x14ac:dyDescent="0.25">
      <c r="A13" s="5" t="str">
        <f>HYPERLINK("#'Input - Livestock sales'!A1", "Livestock sales")</f>
        <v>Livestock sales</v>
      </c>
      <c r="D13" s="29" t="str" cm="1">
        <f t="array" ref="D13">Common_InputFunctions.Utility_DisplayArrayInTable(Common_SourceData.Common_SourceData_AustralianStatesTerritories_Data(),Table_AustralianStates[[#Headers],[State/Territory]],0)</f>
        <v>Tasmania</v>
      </c>
      <c r="E13" s="29" t="str" cm="1">
        <f t="array" ref="E13">Common_InputFunctions.Utility_DisplayArrayInTable(Common_SourceData.Common_SourceData_AustralianStatesTerritories_Data(),Table_AustralianStates[[#Headers],[State/Territory]],0)</f>
        <v>Tasmania</v>
      </c>
      <c r="F13" s="2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29" t="str" cm="1">
        <f t="array" ref="D14">Common_InputFunctions.Utility_DisplayArrayInTable(Common_SourceData.Common_SourceData_AustralianStatesTerritories_Data(),Table_AustralianStates[[#Headers],[State/Territory]],0)</f>
        <v>Northern Territory</v>
      </c>
      <c r="E14" s="29" t="str" cm="1">
        <f t="array" ref="E14">Common_InputFunctions.Utility_DisplayArrayInTable(Common_SourceData.Common_SourceData_AustralianStatesTerritories_Data(),Table_AustralianStates[[#Headers],[State/Territory]],0)</f>
        <v>Northern Territory</v>
      </c>
      <c r="F14" s="2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Common farm inputs'!A1", "Common farm inputs")</f>
        <v>Common farm inputs</v>
      </c>
      <c r="D20" s="29" t="s">
        <v>25</v>
      </c>
    </row>
    <row r="21" spans="1:4" ht="20.100000000000001" customHeight="1" x14ac:dyDescent="0.25">
      <c r="A21" s="5" t="str">
        <f>HYPERLINK("#'Input - Crop pasture farm input'!A1", "Crop pasture farm input")</f>
        <v>Crop pasture farm input</v>
      </c>
      <c r="D21" s="29" t="str" cm="1">
        <f t="array" ref="D21">Common_InputFunctions.Utility_DisplayArrayInTable(Common_SourceData.Common_SourceData_WASA4Areas_Data(), Table_WASA4Areas[[#Headers],[SA 4 Name]], 0)</f>
        <v>Bunbury</v>
      </c>
    </row>
    <row r="22" spans="1:4" ht="20.100000000000001" customHeight="1" x14ac:dyDescent="0.25">
      <c r="A22" s="5" t="str">
        <f>HYPERLINK("#'Input - Livestock farm Inputs'!A1", "Livestock farm Inputs")</f>
        <v>Livestock farm Inputs</v>
      </c>
      <c r="D22" s="29" t="str" cm="1">
        <f t="array" ref="D22">Common_InputFunctions.Utility_DisplayArrayInTable(Common_SourceData.Common_SourceData_WASA4Areas_Data(), Table_WASA4Areas[[#Headers],[SA 4 Name]], 0)</f>
        <v>Mandurah</v>
      </c>
    </row>
    <row r="23" spans="1:4" ht="20.100000000000001" customHeight="1" x14ac:dyDescent="0.25">
      <c r="A23" s="5" t="str">
        <f>HYPERLINK("#'Input - Freight'!A1", "Freight")</f>
        <v>Freight</v>
      </c>
      <c r="D23" s="29"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29"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Solid waste'!A1", "Solid waste")</f>
        <v>Solid waste</v>
      </c>
      <c r="D25" s="29" t="str" cm="1">
        <f t="array" ref="D25">Common_InputFunctions.Utility_DisplayArrayInTable(Common_SourceData.Common_SourceData_WASA4Areas_Data(), Table_WASA4Areas[[#Headers],[SA 4 Name]], 0)</f>
        <v>Perth - North West</v>
      </c>
    </row>
    <row r="26" spans="1:4" ht="20.100000000000001" customHeight="1" x14ac:dyDescent="0.25">
      <c r="A26" s="5" t="str">
        <f>HYPERLINK("#'Input - Data quality'!A1", "Data quality")</f>
        <v>Data quality</v>
      </c>
      <c r="D26" s="29" t="str" cm="1">
        <f t="array" ref="D26">Common_InputFunctions.Utility_DisplayArrayInTable(Common_SourceData.Common_SourceData_WASA4Areas_Data(), Table_WASA4Areas[[#Headers],[SA 4 Name]], 0)</f>
        <v>Perth - South East</v>
      </c>
    </row>
    <row r="27" spans="1:4" ht="20.100000000000001" customHeight="1" x14ac:dyDescent="0.25">
      <c r="A27"/>
      <c r="D27" s="29" t="str" cm="1">
        <f t="array" ref="D27">Common_InputFunctions.Utility_DisplayArrayInTable(Common_SourceData.Common_SourceData_WASA4Areas_Data(), Table_WASA4Areas[[#Headers],[SA 4 Name]], 0)</f>
        <v>Perth - South West</v>
      </c>
    </row>
    <row r="28" spans="1:4" ht="20.100000000000001" customHeight="1" x14ac:dyDescent="0.25">
      <c r="A28"/>
      <c r="D28" s="29" t="str" cm="1">
        <f t="array" ref="D28">Common_InputFunctions.Utility_DisplayArrayInTable(Common_SourceData.Common_SourceData_WASA4Areas_Data(), Table_WASA4Areas[[#Headers],[SA 4 Name]], 0)</f>
        <v>Western Australia - Wheat Belt</v>
      </c>
    </row>
    <row r="29" spans="1:4" ht="20.100000000000001" customHeight="1" x14ac:dyDescent="0.25">
      <c r="A29" s="6" t="s">
        <v>2</v>
      </c>
      <c r="D29" s="2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HYPERLINK("#'5.1.1.1-2 Inorganic fert N2O'!A1", "5.1.1.1-2 Inorganic fert N2O")</f>
        <v>5.1.1.1-2 Inorganic fert N2O</v>
      </c>
      <c r="D30" s="2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HYPERLINK("#'5.1.1.3-4 Inorganic fert CO2'!A1", "5.1.1.3-4 Inorganic fert CO2")</f>
        <v>5.1.1.3-4 Inorganic fert CO2</v>
      </c>
    </row>
    <row r="32" spans="1:4" ht="20.100000000000001" customHeight="1" x14ac:dyDescent="0.25">
      <c r="A32" s="5" t="str">
        <f>HYPERLINK("#'5.2.1.1-2 Organic Fert N2O'!A1", "5.2.1.1-2 Organic fert N2O")</f>
        <v>5.2.1.1-2 Organic fert N2O</v>
      </c>
    </row>
    <row r="33" spans="1:8" ht="20.100000000000001" customHeight="1" x14ac:dyDescent="0.25">
      <c r="A33" s="5" t="str">
        <f>HYPERLINK("#'5.3.1.1-2 Lime CO2'!A1", "5.3.1.1-2 Lime CO2")</f>
        <v>5.3.1.1-2 Lime CO2</v>
      </c>
    </row>
    <row r="34" spans="1:8" ht="20.100000000000001" customHeight="1" x14ac:dyDescent="0.25">
      <c r="A34" s="5" t="str">
        <f>HYPERLINK("#'5.4.1.1-4 Atmos deposition'!A1", "5.4.1.1-4 Atmos. deposition")</f>
        <v>5.4.1.1-4 Atmos. deposition</v>
      </c>
      <c r="D34" s="2" t="str" cm="1">
        <f t="array" ref="D34">Common_SourceData.Common_SourceData_GWP_Title()</f>
        <v>Global warming potential for greenhouse gases</v>
      </c>
    </row>
    <row r="35" spans="1:8" ht="20.100000000000001" customHeight="1" x14ac:dyDescent="0.25">
      <c r="A35" s="5" t="str">
        <f>HYPERLINK("#'5.5.1.1-2 Leaching and runoff'!A1", "5.5.1.1-2 Leaching &amp; runoff")</f>
        <v>5.5.1.1-2 Leaching &amp; runoff</v>
      </c>
      <c r="D35" s="27" t="str" cm="1">
        <f t="array" ref="D35">Common_SourceData.Common_SourceData_GWP_Source()</f>
        <v>XXXXXXX</v>
      </c>
    </row>
    <row r="36" spans="1:8" ht="20.100000000000001" customHeight="1" x14ac:dyDescent="0.25">
      <c r="A36" s="5" t="str">
        <f>HYPERLINK("#'6.2.1.1-2 Pasture residue N2O'!A1", "6.2.1.1-2 Pasture residue N2O")</f>
        <v>6.2.1.1-2 Pasture residue N2O</v>
      </c>
      <c r="D36" s="29" t="s">
        <v>26</v>
      </c>
      <c r="E36" s="29" t="s">
        <v>27</v>
      </c>
    </row>
    <row r="37" spans="1:8" ht="20.100000000000001" customHeight="1" x14ac:dyDescent="0.25">
      <c r="A37" s="5" t="str">
        <f>HYPERLINK("#'6.3.1.1-2 Leach runoff pasture'!A1", "6.3.1.1-2 Leach &amp; runoff (pasture)")</f>
        <v>6.3.1.1-2 Leach &amp; runoff (pasture)</v>
      </c>
      <c r="D37" s="29" t="str" cm="1">
        <f t="array" ref="D37">Common_InputFunctions.Utility_DisplayArrayInTable(Common_SourceData.Common_SourceData_GWP_Data(), Table_GWPData[[#Headers],[Gas]], 0)</f>
        <v>CO2</v>
      </c>
      <c r="E37" s="29" cm="1">
        <f t="array" ref="E37">Common_InputFunctions.Utility_DisplayArrayInTable(Common_SourceData.Common_SourceData_GWP_Data(), Table_GWPData[[#Headers],[Gas]], 0)</f>
        <v>1</v>
      </c>
    </row>
    <row r="38" spans="1:8" ht="20.100000000000001" customHeight="1" x14ac:dyDescent="0.25">
      <c r="A38" s="5" t="str">
        <f>HYPERLINK("#'8.1.1.1-2 Transport fuel'!A1", "8.1.1.1-2 Transport fuel")</f>
        <v>8.1.1.1-2 Transport fuel</v>
      </c>
      <c r="D38" s="29" t="str" cm="1">
        <f t="array" ref="D38">Common_InputFunctions.Utility_DisplayArrayInTable(Common_SourceData.Common_SourceData_GWP_Data(), Table_GWPData[[#Headers],[Gas]], 0)</f>
        <v>CH4</v>
      </c>
      <c r="E38" s="29" cm="1">
        <f t="array" ref="E38">Common_InputFunctions.Utility_DisplayArrayInTable(Common_SourceData.Common_SourceData_GWP_Data(), Table_GWPData[[#Headers],[Gas]], 0)</f>
        <v>28</v>
      </c>
    </row>
    <row r="39" spans="1:8" ht="20.100000000000001" customHeight="1" x14ac:dyDescent="0.25">
      <c r="A39" s="5" t="str">
        <f>HYPERLINK("#'8.2.1.1-2 Stationary fuel'!A1", "8.2.1.1-2 Stationary fuel")</f>
        <v>8.2.1.1-2 Stationary fuel</v>
      </c>
      <c r="D39" s="29" t="str" cm="1">
        <f t="array" ref="D39">Common_InputFunctions.Utility_DisplayArrayInTable(Common_SourceData.Common_SourceData_GWP_Data(), Table_GWPData[[#Headers],[Gas]], 0)</f>
        <v>N2O</v>
      </c>
      <c r="E39" s="29" cm="1">
        <f t="array" ref="E39">Common_InputFunctions.Utility_DisplayArrayInTable(Common_SourceData.Common_SourceData_GWP_Data(), Table_GWPData[[#Headers],[Gas]], 0)</f>
        <v>265</v>
      </c>
    </row>
    <row r="40" spans="1:8" ht="20.100000000000001" customHeight="1" x14ac:dyDescent="0.25">
      <c r="A40" s="5" t="str">
        <f>HYPERLINK("#'14.1.1-2 Purchased electricity'!A1", "14.1.1-2 Purchased electricity")</f>
        <v>14.1.1-2 Purchased electricity</v>
      </c>
      <c r="D40" s="29" t="str" cm="1">
        <f t="array" ref="D40">Common_InputFunctions.Utility_DisplayArrayInTable(Common_SourceData.Common_SourceData_GWP_Data(), Table_GWPData[[#Headers],[Gas]], 0)</f>
        <v>CF4</v>
      </c>
      <c r="E40" s="29" cm="1">
        <f t="array" ref="E40">Common_InputFunctions.Utility_DisplayArrayInTable(Common_SourceData.Common_SourceData_GWP_Data(), Table_GWPData[[#Headers],[Gas]], 0)</f>
        <v>6630</v>
      </c>
    </row>
    <row r="41" spans="1:8" ht="20.100000000000001" customHeight="1" x14ac:dyDescent="0.25">
      <c r="A41" s="5" t="str">
        <f>HYPERLINK("#'15 Scope 3'!A1", "15 Scope 3")</f>
        <v>15 Scope 3</v>
      </c>
      <c r="D41" s="29" t="str" cm="1">
        <f t="array" ref="D41">Common_InputFunctions.Utility_DisplayArrayInTable(Common_SourceData.Common_SourceData_GWP_Data(), Table_GWPData[[#Headers],[Gas]], 0)</f>
        <v>C2F6</v>
      </c>
      <c r="E41" s="29" cm="1">
        <f t="array" ref="E41">Common_InputFunctions.Utility_DisplayArrayInTable(Common_SourceData.Common_SourceData_GWP_Data(), Table_GWPData[[#Headers],[Gas]], 0)</f>
        <v>12200</v>
      </c>
    </row>
    <row r="42" spans="1:8" ht="20.100000000000001" customHeight="1" x14ac:dyDescent="0.25">
      <c r="A42" s="5" t="str">
        <f>HYPERLINK("#'Calcs - Manure sent off-site'!A1", "Calcs - Manure sent off-site")</f>
        <v>Calcs - Manure sent off-site</v>
      </c>
      <c r="D42" s="29" t="str" cm="1">
        <f t="array" ref="D42">Common_InputFunctions.Utility_DisplayArrayInTable(Common_SourceData.Common_SourceData_GWP_Data(), Table_GWPData[[#Headers],[Gas]], 0)</f>
        <v>SF6</v>
      </c>
      <c r="E42" s="29" cm="1">
        <f t="array" ref="E42">Common_InputFunctions.Utility_DisplayArrayInTable(Common_SourceData.Common_SourceData_GWP_Data(), Table_GWPData[[#Headers],[Gas]], 0)</f>
        <v>22800</v>
      </c>
    </row>
    <row r="43" spans="1:8" ht="20.100000000000001" customHeight="1" x14ac:dyDescent="0.25">
      <c r="A43" s="5" t="str">
        <f>HYPERLINK("#'4.3.1.1-2 Methane'!A1", "4.3.1.1-2 Methane")</f>
        <v>4.3.1.1-2 Methane</v>
      </c>
      <c r="D43" s="29" t="str" cm="1">
        <f t="array" ref="D43">Common_InputFunctions.Utility_DisplayArrayInTable(Common_SourceData.Common_SourceData_GWP_Data(), Table_GWPData[[#Headers],[Gas]], 0)</f>
        <v>NF3</v>
      </c>
      <c r="E43" s="29" cm="1">
        <f t="array" ref="E43">Common_InputFunctions.Utility_DisplayArrayInTable(Common_SourceData.Common_SourceData_GWP_Data(), Table_GWPData[[#Headers],[Gas]], 0)</f>
        <v>17200</v>
      </c>
    </row>
    <row r="44" spans="1:8" ht="20.100000000000001" customHeight="1" x14ac:dyDescent="0.25">
      <c r="A44" s="5" t="str">
        <f>HYPERLINK("#'4.3.1.3-4 Direct N20'!A1", "4.3.1.3-4 Direct N20")</f>
        <v>4.3.1.3-4 Direct N20</v>
      </c>
    </row>
    <row r="45" spans="1:8" ht="20.100000000000001" customHeight="1" x14ac:dyDescent="0.25">
      <c r="A45" s="5" t="str">
        <f>HYPERLINK("#'4.3.1.5 Atmos deposition'!A1", "4.3.1.5 Atmos deposition")</f>
        <v>4.3.1.5 Atmos deposition</v>
      </c>
      <c r="D45" s="2" t="str" cm="1">
        <f t="array" ref="D45">Common_SourceData.Common_SourceData_ConvertGasElementalToMolecular_Title()</f>
        <v>Factor to convert elemental mass of gas to molecular mass</v>
      </c>
    </row>
    <row r="46" spans="1:8" ht="20.100000000000001" customHeight="1" x14ac:dyDescent="0.25">
      <c r="A46" s="5" t="str">
        <f>HYPERLINK("#'4.3.1.6-7 Leaching and runoff'!A1", "4.3.1.6-7 Leaching and runoff")</f>
        <v>4.3.1.6-7 Leaching and runoff</v>
      </c>
      <c r="D46" s="27" t="str" cm="1">
        <f t="array" ref="D46">Common_SourceData.Common_SourceData_ConvertGasElementalToMolecular_Source()</f>
        <v>XXXXXXX</v>
      </c>
    </row>
    <row r="47" spans="1:8" ht="20.100000000000001" customHeight="1" x14ac:dyDescent="0.25">
      <c r="A47" s="5" t="str">
        <f>HYPERLINK("#'4.3.1.8 Manure applied to soils'!A1", "4.3.1.8 Manure applied to soils")</f>
        <v>4.3.1.8 Manure applied to soils</v>
      </c>
      <c r="D47" s="29" t="s">
        <v>26</v>
      </c>
      <c r="E47" s="29" t="s">
        <v>28</v>
      </c>
      <c r="F47" s="29" t="s">
        <v>29</v>
      </c>
      <c r="G47" s="29" t="s">
        <v>30</v>
      </c>
      <c r="H47" s="29" t="s">
        <v>31</v>
      </c>
    </row>
    <row r="48" spans="1:8" ht="20.100000000000001" customHeight="1" x14ac:dyDescent="0.25">
      <c r="A48" s="5" t="str">
        <f>HYPERLINK("#'4.3.1.9 Soil direct N2O'!A1", "4.3.1.9 Soil direct N2O")</f>
        <v>4.3.1.9 Soil direct N2O</v>
      </c>
      <c r="D48" s="29" t="str" cm="1">
        <f t="array" ref="D48">Common_InputFunctions.Utility_DisplayArrayInTable(Common_SourceData.Common_SourceData_ConvertGasElementalToMolecular_Data(),Table_GasToMolecularConversionFactor[[#Headers],[Gas]], 0)</f>
        <v>CO2</v>
      </c>
      <c r="E48" s="29" t="str" cm="1">
        <f t="array" ref="E48">Common_InputFunctions.Utility_DisplayArrayInTable(Common_SourceData.Common_SourceData_ConvertGasElementalToMolecular_Data(),Table_GasToMolecularConversionFactor[[#Headers],[Gas]], 0)</f>
        <v>44/12</v>
      </c>
      <c r="F48" s="29" cm="1">
        <f t="array" ref="F48">Common_InputFunctions.Utility_DisplayArrayInTable(Common_SourceData.Common_SourceData_ConvertGasElementalToMolecular_Data(),Table_GasToMolecularConversionFactor[[#Headers],[Gas]], 0)</f>
        <v>44</v>
      </c>
      <c r="G48" s="29" cm="1">
        <f t="array" ref="G48">Common_InputFunctions.Utility_DisplayArrayInTable(Common_SourceData.Common_SourceData_ConvertGasElementalToMolecular_Data(),Table_GasToMolecularConversionFactor[[#Headers],[Gas]], 0)</f>
        <v>12</v>
      </c>
      <c r="H48" s="29">
        <f>Table_GasToMolecularConversionFactor[[#This Row],[Conversion factor 1]]/Table_GasToMolecularConversionFactor[[#This Row],[Conversion factor 2]]</f>
        <v>3.6666666666666665</v>
      </c>
    </row>
    <row r="49" spans="1:8" ht="20.100000000000001" customHeight="1" x14ac:dyDescent="0.25">
      <c r="A49" s="5" t="str">
        <f>HYPERLINK("#'4.3.1.10-11 Soil Atmos Dep'!A1", "4.3.1.10-11 Soil Atmos Dep")</f>
        <v>4.3.1.10-11 Soil Atmos Dep</v>
      </c>
      <c r="D49" s="29" t="str" cm="1">
        <f t="array" ref="D49">Common_InputFunctions.Utility_DisplayArrayInTable(Common_SourceData.Common_SourceData_ConvertGasElementalToMolecular_Data(),Table_GasToMolecularConversionFactor[[#Headers],[Gas]], 0)</f>
        <v>CH4</v>
      </c>
      <c r="E49" s="29" t="str" cm="1">
        <f t="array" ref="E49">Common_InputFunctions.Utility_DisplayArrayInTable(Common_SourceData.Common_SourceData_ConvertGasElementalToMolecular_Data(),Table_GasToMolecularConversionFactor[[#Headers],[Gas]], 0)</f>
        <v>16/12</v>
      </c>
      <c r="F49" s="29" cm="1">
        <f t="array" ref="F49">Common_InputFunctions.Utility_DisplayArrayInTable(Common_SourceData.Common_SourceData_ConvertGasElementalToMolecular_Data(),Table_GasToMolecularConversionFactor[[#Headers],[Gas]], 0)</f>
        <v>16</v>
      </c>
      <c r="G49" s="29" cm="1">
        <f t="array" ref="G49">Common_InputFunctions.Utility_DisplayArrayInTable(Common_SourceData.Common_SourceData_ConvertGasElementalToMolecular_Data(),Table_GasToMolecularConversionFactor[[#Headers],[Gas]], 0)</f>
        <v>12</v>
      </c>
      <c r="H49" s="29">
        <f>Table_GasToMolecularConversionFactor[[#This Row],[Conversion factor 1]]/Table_GasToMolecularConversionFactor[[#This Row],[Conversion factor 2]]</f>
        <v>1.3333333333333333</v>
      </c>
    </row>
    <row r="50" spans="1:8" ht="20.100000000000001" customHeight="1" x14ac:dyDescent="0.25">
      <c r="A50" s="5" t="str">
        <f>HYPERLINK("#'4.3.1.12-13 Soil leach runoff'!A1", "4.3.1.12-13 Soil leach runoff")</f>
        <v>4.3.1.12-13 Soil leach runoff</v>
      </c>
      <c r="D50" s="29" t="str" cm="1">
        <f t="array" ref="D50">Common_InputFunctions.Utility_DisplayArrayInTable(Common_SourceData.Common_SourceData_ConvertGasElementalToMolecular_Data(),Table_GasToMolecularConversionFactor[[#Headers],[Gas]], 0)</f>
        <v>N2O</v>
      </c>
      <c r="E50" s="29" t="str" cm="1">
        <f t="array" ref="E50">Common_InputFunctions.Utility_DisplayArrayInTable(Common_SourceData.Common_SourceData_ConvertGasElementalToMolecular_Data(),Table_GasToMolecularConversionFactor[[#Headers],[Gas]], 0)</f>
        <v>44/28</v>
      </c>
      <c r="F50" s="29" cm="1">
        <f t="array" ref="F50">Common_InputFunctions.Utility_DisplayArrayInTable(Common_SourceData.Common_SourceData_ConvertGasElementalToMolecular_Data(),Table_GasToMolecularConversionFactor[[#Headers],[Gas]], 0)</f>
        <v>44</v>
      </c>
      <c r="G50" s="29" cm="1">
        <f t="array" ref="G50">Common_InputFunctions.Utility_DisplayArrayInTable(Common_SourceData.Common_SourceData_ConvertGasElementalToMolecular_Data(),Table_GasToMolecularConversionFactor[[#Headers],[Gas]], 0)</f>
        <v>28</v>
      </c>
      <c r="H50" s="29">
        <f>Table_GasToMolecularConversionFactor[[#This Row],[Conversion factor 1]]/Table_GasToMolecularConversionFactor[[#This Row],[Conversion factor 2]]</f>
        <v>1.5714285714285714</v>
      </c>
    </row>
    <row r="51" spans="1:8" ht="20.100000000000001" customHeight="1" x14ac:dyDescent="0.25">
      <c r="A51" s="5" t="str">
        <f>HYPERLINK("#'3.3.1.1-2 Enteric Methane'!A1", "3.3.1.1-2 Enteric Methane")</f>
        <v>3.3.1.1-2 Enteric Methane</v>
      </c>
      <c r="D51" s="29" t="str" cm="1">
        <f t="array" ref="D51">Common_InputFunctions.Utility_DisplayArrayInTable(Common_SourceData.Common_SourceData_ConvertGasElementalToMolecular_Data(),Table_GasToMolecularConversionFactor[[#Headers],[Gas]], 0)</f>
        <v>Nox</v>
      </c>
      <c r="E51" s="29" t="str" cm="1">
        <f t="array" ref="E51">Common_InputFunctions.Utility_DisplayArrayInTable(Common_SourceData.Common_SourceData_ConvertGasElementalToMolecular_Data(),Table_GasToMolecularConversionFactor[[#Headers],[Gas]], 0)</f>
        <v>46/14</v>
      </c>
      <c r="F51" s="29" cm="1">
        <f t="array" ref="F51">Common_InputFunctions.Utility_DisplayArrayInTable(Common_SourceData.Common_SourceData_ConvertGasElementalToMolecular_Data(),Table_GasToMolecularConversionFactor[[#Headers],[Gas]], 0)</f>
        <v>46</v>
      </c>
      <c r="G51" s="29" cm="1">
        <f t="array" ref="G51">Common_InputFunctions.Utility_DisplayArrayInTable(Common_SourceData.Common_SourceData_ConvertGasElementalToMolecular_Data(),Table_GasToMolecularConversionFactor[[#Headers],[Gas]], 0)</f>
        <v>14</v>
      </c>
      <c r="H51" s="29">
        <f>Table_GasToMolecularConversionFactor[[#This Row],[Conversion factor 1]]/Table_GasToMolecularConversionFactor[[#This Row],[Conversion factor 2]]</f>
        <v>3.2857142857142856</v>
      </c>
    </row>
    <row r="52" spans="1:8" ht="20.100000000000001" customHeight="1" x14ac:dyDescent="0.25">
      <c r="A52" s="5" t="str">
        <f>HYPERLINK("#'10.1.1-2 Solid waste treatment'!A1", "10.1.1-2 Solid waste treatment")</f>
        <v>10.1.1-2 Solid waste treatment</v>
      </c>
      <c r="D52" s="29" t="str" cm="1">
        <f t="array" ref="D52">Common_InputFunctions.Utility_DisplayArrayInTable(Common_SourceData.Common_SourceData_ConvertGasElementalToMolecular_Data(),Table_GasToMolecularConversionFactor[[#Headers],[Gas]], 0)</f>
        <v>CO</v>
      </c>
      <c r="E52" s="29" t="str" cm="1">
        <f t="array" ref="E52">Common_InputFunctions.Utility_DisplayArrayInTable(Common_SourceData.Common_SourceData_ConvertGasElementalToMolecular_Data(),Table_GasToMolecularConversionFactor[[#Headers],[Gas]], 0)</f>
        <v>28/12</v>
      </c>
      <c r="F52" s="29" cm="1">
        <f t="array" ref="F52">Common_InputFunctions.Utility_DisplayArrayInTable(Common_SourceData.Common_SourceData_ConvertGasElementalToMolecular_Data(),Table_GasToMolecularConversionFactor[[#Headers],[Gas]], 0)</f>
        <v>28</v>
      </c>
      <c r="G52" s="29" cm="1">
        <f t="array" ref="G52">Common_InputFunctions.Utility_DisplayArrayInTable(Common_SourceData.Common_SourceData_ConvertGasElementalToMolecular_Data(),Table_GasToMolecularConversionFactor[[#Headers],[Gas]], 0)</f>
        <v>12</v>
      </c>
      <c r="H52" s="29">
        <f>Table_GasToMolecularConversionFactor[[#This Row],[Conversion factor 1]]/Table_GasToMolecularConversionFactor[[#This Row],[Conversion factor 2]]</f>
        <v>2.3333333333333335</v>
      </c>
    </row>
    <row r="53" spans="1:8" ht="20.100000000000001" customHeight="1" x14ac:dyDescent="0.25">
      <c r="A53"/>
      <c r="D53" s="29" t="str" cm="1">
        <f t="array" ref="D53">Common_InputFunctions.Utility_DisplayArrayInTable(Common_SourceData.Common_SourceData_ConvertGasElementalToMolecular_Data(),Table_GasToMolecularConversionFactor[[#Headers],[Gas]], 0)</f>
        <v>CO2 Lime</v>
      </c>
      <c r="E53" s="29" t="str" cm="1">
        <f t="array" ref="E53">Common_InputFunctions.Utility_DisplayArrayInTable(Common_SourceData.Common_SourceData_ConvertGasElementalToMolecular_Data(),Table_GasToMolecularConversionFactor[[#Headers],[Gas]], 0)</f>
        <v>44/12</v>
      </c>
      <c r="F53" s="29" cm="1">
        <f t="array" ref="F53">Common_InputFunctions.Utility_DisplayArrayInTable(Common_SourceData.Common_SourceData_ConvertGasElementalToMolecular_Data(),Table_GasToMolecularConversionFactor[[#Headers],[Gas]], 0)</f>
        <v>44</v>
      </c>
      <c r="G53" s="29" cm="1">
        <f t="array" ref="G53">Common_InputFunctions.Utility_DisplayArrayInTable(Common_SourceData.Common_SourceData_ConvertGasElementalToMolecular_Data(),Table_GasToMolecularConversionFactor[[#Headers],[Gas]], 0)</f>
        <v>12</v>
      </c>
      <c r="H53" s="29">
        <f>Table_GasToMolecularConversionFactor[[#This Row],[Conversion factor 1]]/Table_GasToMolecularConversionFactor[[#This Row],[Conversion factor 2]]</f>
        <v>3.6666666666666665</v>
      </c>
    </row>
    <row r="54" spans="1:8" ht="20.100000000000001" customHeight="1" x14ac:dyDescent="0.25">
      <c r="A54"/>
      <c r="D54" s="29" t="str" cm="1">
        <f t="array" ref="D54">Common_InputFunctions.Utility_DisplayArrayInTable(Common_SourceData.Common_SourceData_ConvertGasElementalToMolecular_Data(),Table_GasToMolecularConversionFactor[[#Headers],[Gas]], 0)</f>
        <v>NMVOC</v>
      </c>
      <c r="E54" s="29" t="str" cm="1">
        <f t="array" ref="E54">Common_InputFunctions.Utility_DisplayArrayInTable(Common_SourceData.Common_SourceData_ConvertGasElementalToMolecular_Data(),Table_GasToMolecularConversionFactor[[#Headers],[Gas]], 0)</f>
        <v>14/12</v>
      </c>
      <c r="F54" s="29" cm="1">
        <f t="array" ref="F54">Common_InputFunctions.Utility_DisplayArrayInTable(Common_SourceData.Common_SourceData_ConvertGasElementalToMolecular_Data(),Table_GasToMolecularConversionFactor[[#Headers],[Gas]], 0)</f>
        <v>14</v>
      </c>
      <c r="G54" s="29" cm="1">
        <f t="array" ref="G54">Common_InputFunctions.Utility_DisplayArrayInTable(Common_SourceData.Common_SourceData_ConvertGasElementalToMolecular_Data(),Table_GasToMolecularConversionFactor[[#Headers],[Gas]], 0)</f>
        <v>12</v>
      </c>
      <c r="H54" s="29">
        <f>Table_GasToMolecularConversionFactor[[#This Row],[Conversion factor 1]]/Table_GasToMolecularConversionFactor[[#This Row],[Conversion factor 2]]</f>
        <v>1.1666666666666667</v>
      </c>
    </row>
    <row r="55" spans="1:8" ht="20.100000000000001" customHeight="1" x14ac:dyDescent="0.25">
      <c r="A55" s="100" t="s">
        <v>1</v>
      </c>
    </row>
    <row r="56" spans="1:8" ht="20.100000000000001" customHeight="1" x14ac:dyDescent="0.25">
      <c r="A56" s="5" t="str">
        <f>HYPERLINK("#'Constants - Dairy'!A1", "Constants - Dairy")</f>
        <v>Constants - Dairy</v>
      </c>
    </row>
    <row r="57" spans="1:8" ht="20.100000000000001" customHeight="1" x14ac:dyDescent="0.25">
      <c r="A57" s="5" t="str">
        <f>HYPERLINK("#'Constants - Ag Residue'!A1", "Constants - Ag residue")</f>
        <v>Constants - Ag residue</v>
      </c>
      <c r="D57" s="2" t="str" cm="1">
        <f t="array" ref="D57">Common_SourceData.Common_SourceData_WetAndDryZones_Title()</f>
        <v>VEERG Australian wet and dry zones</v>
      </c>
    </row>
    <row r="58" spans="1:8" ht="20.100000000000001" customHeight="1" x14ac:dyDescent="0.25">
      <c r="A58" s="5" t="str">
        <f>HYPERLINK("#'Constants - Common Livestock'!A1", "Constants - Common Livestock")</f>
        <v>Constants - Common Livestock</v>
      </c>
      <c r="D58" s="27" t="str" cm="1">
        <f t="array" ref="D58">Common_SourceData.Common_SourceData_WetAndDryZones_Source()</f>
        <v>VEERG 2026: Table 1.2: Translating climate zones to wet and dry zones</v>
      </c>
    </row>
    <row r="59" spans="1:8" ht="20.100000000000001" customHeight="1" x14ac:dyDescent="0.25">
      <c r="A59" s="5" t="str">
        <f>HYPERLINK("#'Constants - Electricity'!A1", "Constants - Electricity")</f>
        <v>Constants - Electricity</v>
      </c>
      <c r="D59" s="35" t="str" cm="1">
        <f t="array" ref="D59:D61">"⚠️" &amp; Common_SourceData.Common_SourceData_WetAndDryZones_Variation()</f>
        <v>⚠️VARIATION OF SOURCE DATA:</v>
      </c>
    </row>
    <row r="60" spans="1:8" ht="20.100000000000001" customHeight="1" x14ac:dyDescent="0.25">
      <c r="A60" s="5" t="str">
        <f>HYPERLINK("#'Constants - Fertiliser'!A1", "Constants - Fertiliser")</f>
        <v>Constants - Fertiliser</v>
      </c>
      <c r="D60" s="35" t="str">
        <v>⚠️Added warm / cool temperate moist / dry - low frost and high temp classes to accommodate climate scenarios excluded by VEERG criteria.</v>
      </c>
    </row>
    <row r="61" spans="1:8" ht="20.100000000000001" customHeight="1" x14ac:dyDescent="0.25">
      <c r="A61" s="5" t="str">
        <f>HYPERLINK("#'Constants - Fuel'!A1", "Constants - Fuel")</f>
        <v>Constants - Fuel</v>
      </c>
      <c r="D61" s="35" t="str">
        <v>⚠️Fixed typo - Changed 'Fry' to 'Dry'.</v>
      </c>
    </row>
    <row r="62" spans="1:8" ht="20.100000000000001" customHeight="1" x14ac:dyDescent="0.25">
      <c r="A62" s="5" t="str">
        <f>HYPERLINK("#'Constants - Scope 3'!A1", "Constants - Scope 3")</f>
        <v>Constants - Scope 3</v>
      </c>
    </row>
    <row r="63" spans="1:8" ht="20.100000000000001" customHeight="1" x14ac:dyDescent="0.25">
      <c r="A63" s="148" t="str">
        <f>HYPERLINK("#'Constants - Common'!A1", "Constants - Common")</f>
        <v>Constants - Common</v>
      </c>
      <c r="D63" s="29" t="s">
        <v>32</v>
      </c>
      <c r="E63" s="29" t="s">
        <v>33</v>
      </c>
    </row>
    <row r="64" spans="1:8" ht="20.100000000000001" customHeight="1" x14ac:dyDescent="0.25">
      <c r="A64" s="5" t="str">
        <f>HYPERLINK("#'Acknowledgements'!A1", "Acknowledgements")</f>
        <v>Acknowledgements</v>
      </c>
      <c r="D64" s="29" t="str" cm="1">
        <f t="array" ref="D64">Common_InputFunctions.Utility_DisplayArrayInTable(Common_SourceData.Common_SourceData_WetAndDryZones_Data(), Table_SourceData_WetDryZones[[#Headers],[Climate zone]], 0)</f>
        <v>Tropical montane</v>
      </c>
      <c r="E64" s="2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5" t="str">
        <f>HYPERLINK("#'Constants - Solid Waste'!A1", "Constants - Solid Waste")</f>
        <v>Constants - Solid Waste</v>
      </c>
      <c r="D65" s="29" t="str" cm="1">
        <f t="array" ref="D65">Common_InputFunctions.Utility_DisplayArrayInTable(Common_SourceData.Common_SourceData_WetAndDryZones_Data(), Table_SourceData_WetDryZones[[#Headers],[Climate zone]], 0)</f>
        <v>Tropical wet</v>
      </c>
      <c r="E65" s="2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9" t="str" cm="1">
        <f t="array" ref="D66">Common_InputFunctions.Utility_DisplayArrayInTable(Common_SourceData.Common_SourceData_WetAndDryZones_Data(), Table_SourceData_WetDryZones[[#Headers],[Climate zone]], 0)</f>
        <v>Tropical moist</v>
      </c>
      <c r="E66" s="2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9" t="str" cm="1">
        <f t="array" ref="D67">Common_InputFunctions.Utility_DisplayArrayInTable(Common_SourceData.Common_SourceData_WetAndDryZones_Data(), Table_SourceData_WetDryZones[[#Headers],[Climate zone]], 0)</f>
        <v>Tropical dry</v>
      </c>
      <c r="E67" s="2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9" t="str" cm="1">
        <f t="array" ref="D68">Common_InputFunctions.Utility_DisplayArrayInTable(Common_SourceData.Common_SourceData_WetAndDryZones_Data(), Table_SourceData_WetDryZones[[#Headers],[Climate zone]], 0)</f>
        <v>Warm temperate moist</v>
      </c>
      <c r="E68" s="2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9" t="str" cm="1">
        <f t="array" ref="D69">Common_InputFunctions.Utility_DisplayArrayInTable(Common_SourceData.Common_SourceData_WetAndDryZones_Data(), Table_SourceData_WetDryZones[[#Headers],[Climate zone]], 0)</f>
        <v>Warm temperate dry</v>
      </c>
      <c r="E69" s="2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9" t="str" cm="1">
        <f t="array" ref="D70">Common_InputFunctions.Utility_DisplayArrayInTable(Common_SourceData.Common_SourceData_WetAndDryZones_Data(), Table_SourceData_WetDryZones[[#Headers],[Climate zone]], 0)</f>
        <v>Cool temperate moist</v>
      </c>
      <c r="E70" s="2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9" t="str" cm="1">
        <f t="array" ref="D71">Common_InputFunctions.Utility_DisplayArrayInTable(Common_SourceData.Common_SourceData_WetAndDryZones_Data(), Table_SourceData_WetDryZones[[#Headers],[Climate zone]], 0)</f>
        <v>Cool temperate dry</v>
      </c>
      <c r="E71" s="2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9" t="str" cm="1">
        <f t="array" ref="D72">Common_InputFunctions.Utility_DisplayArrayInTable(Common_SourceData.Common_SourceData_WetAndDryZones_Data(), Table_SourceData_WetDryZones[[#Headers],[Climate zone]], 0)</f>
        <v>Warm temperate moist - low frost</v>
      </c>
      <c r="E72" s="2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9" t="str" cm="1">
        <f t="array" ref="D73">Common_InputFunctions.Utility_DisplayArrayInTable(Common_SourceData.Common_SourceData_WetAndDryZones_Data(), Table_SourceData_WetDryZones[[#Headers],[Climate zone]], 0)</f>
        <v>Warm temperate dry - low frost</v>
      </c>
      <c r="E73" s="2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9" t="str" cm="1">
        <f t="array" ref="D74">Common_InputFunctions.Utility_DisplayArrayInTable(Common_SourceData.Common_SourceData_WetAndDryZones_Data(), Table_SourceData_WetDryZones[[#Headers],[Climate zone]], 0)</f>
        <v>Warm temperate moist - high temp</v>
      </c>
      <c r="E74" s="2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9" t="str" cm="1">
        <f t="array" ref="D75">Common_InputFunctions.Utility_DisplayArrayInTable(Common_SourceData.Common_SourceData_WetAndDryZones_Data(), Table_SourceData_WetDryZones[[#Headers],[Climate zone]], 0)</f>
        <v>Warm temperate dry - high temp</v>
      </c>
      <c r="E75" s="2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9" t="str" cm="1">
        <f t="array" ref="D76">Common_InputFunctions.Utility_DisplayArrayInTable(Common_SourceData.Common_SourceData_WetAndDryZones_Data(), Table_SourceData_WetDryZones[[#Headers],[Climate zone]], 0)</f>
        <v>Cool temperate moist - low frost</v>
      </c>
      <c r="E76" s="2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9" t="str" cm="1">
        <f t="array" ref="D77">Common_InputFunctions.Utility_DisplayArrayInTable(Common_SourceData.Common_SourceData_WetAndDryZones_Data(), Table_SourceData_WetDryZones[[#Headers],[Climate zone]], 0)</f>
        <v>Cool temperate dry - low frost</v>
      </c>
      <c r="E77" s="2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5" t="str" cm="1">
        <f t="array" ref="D83:D87">"⚠️" &amp; Common_SourceData.Common_SourceData_ClimateZones_Variation()</f>
        <v>⚠️VARIATION OF SOURCE DATA:</v>
      </c>
    </row>
    <row r="84" spans="1:20" ht="20.100000000000001" customHeight="1" x14ac:dyDescent="0.25">
      <c r="A84"/>
      <c r="D84" s="35" t="str">
        <v>⚠️Added warm / cool temperate moist / dry - low frost and high temp classes to accommodate climate scenarios excluded by VEERG criteria.</v>
      </c>
    </row>
    <row r="85" spans="1:20" ht="20.100000000000001" customHeight="1" x14ac:dyDescent="0.25">
      <c r="A85"/>
      <c r="D85" s="35" t="str">
        <v>⚠️Fixed typo in MAT value for warm temperate dry - changed 10 to 11.</v>
      </c>
    </row>
    <row r="86" spans="1:20" ht="20.100000000000001" customHeight="1" x14ac:dyDescent="0.25">
      <c r="A86"/>
      <c r="D86" s="35" t="str">
        <v>⚠️Added min and max columns for MAT, MAP, frost days per year, elevation, MAP:PET to calculate zones from real climate data.</v>
      </c>
    </row>
    <row r="87" spans="1:20" ht="20.100000000000001" customHeight="1" x14ac:dyDescent="0.25">
      <c r="A87"/>
      <c r="D87" s="35" t="str">
        <v>⚠️GAF accepts rainfall as a proxy for precipitation.</v>
      </c>
    </row>
    <row r="88" spans="1:20" ht="20.100000000000001" customHeight="1" x14ac:dyDescent="0.25">
      <c r="A88"/>
    </row>
    <row r="89" spans="1:20" ht="20.100000000000001" customHeight="1" x14ac:dyDescent="0.25">
      <c r="A89"/>
      <c r="D89" s="29" t="s">
        <v>32</v>
      </c>
      <c r="E89" s="29" t="s">
        <v>34</v>
      </c>
      <c r="F89" s="29" t="s">
        <v>35</v>
      </c>
      <c r="G89" s="29" t="s">
        <v>36</v>
      </c>
      <c r="H89" s="29" t="s">
        <v>37</v>
      </c>
      <c r="I89" s="29" t="s">
        <v>38</v>
      </c>
      <c r="J89" s="29" t="s">
        <v>39</v>
      </c>
      <c r="K89" s="29" t="s">
        <v>40</v>
      </c>
      <c r="L89" s="29" t="s">
        <v>41</v>
      </c>
      <c r="M89" s="29" t="s">
        <v>42</v>
      </c>
      <c r="N89" s="29" t="s">
        <v>43</v>
      </c>
      <c r="O89" s="29" t="s">
        <v>44</v>
      </c>
      <c r="P89" s="29" t="s">
        <v>45</v>
      </c>
      <c r="Q89" s="29" t="s">
        <v>46</v>
      </c>
      <c r="R89" s="29" t="s">
        <v>47</v>
      </c>
      <c r="S89" s="29" t="s">
        <v>48</v>
      </c>
      <c r="T89" s="29"/>
    </row>
    <row r="90" spans="1:20" ht="20.100000000000001" customHeight="1" x14ac:dyDescent="0.25">
      <c r="A90"/>
      <c r="D90" s="29" t="str" cm="1">
        <f t="array" ref="D90">Common_InputFunctions.Utility_DisplayArrayInTable(Common_SourceData.Common_SourceData_ClimateZones_Data(), Table_SourceData_ClimateZones[[#Headers],[Climate zone]], 0)</f>
        <v>Tropical montane</v>
      </c>
      <c r="E90" s="29" t="str" cm="1">
        <f t="array" ref="E90">Common_InputFunctions.Utility_DisplayArrayInTable(Common_SourceData.Common_SourceData_ClimateZones_Data(), Table_SourceData_ClimateZones[[#Headers],[Climate zone]], 0)</f>
        <v>&gt; 18 C</v>
      </c>
      <c r="F90" s="29" t="str" cm="1">
        <f t="array" ref="F90">Common_InputFunctions.Utility_DisplayArrayInTable(Common_SourceData.Common_SourceData_ClimateZones_Data(), Table_SourceData_ClimateZones[[#Headers],[Climate zone]], 0)</f>
        <v>Any</v>
      </c>
      <c r="G90" s="29" t="str" cm="1">
        <f t="array" ref="G90">Common_InputFunctions.Utility_DisplayArrayInTable(Common_SourceData.Common_SourceData_ClimateZones_Data(), Table_SourceData_ClimateZones[[#Headers],[Climate zone]], 0)</f>
        <v>≤ 7</v>
      </c>
      <c r="H90" s="29" t="str" cm="1">
        <f t="array" ref="H90">Common_InputFunctions.Utility_DisplayArrayInTable(Common_SourceData.Common_SourceData_ClimateZones_Data(), Table_SourceData_ClimateZones[[#Headers],[Climate zone]], 0)</f>
        <v>&gt; 1000 m</v>
      </c>
      <c r="I90" s="29" t="str" cm="1">
        <f t="array" ref="I90">Common_InputFunctions.Utility_DisplayArrayInTable(Common_SourceData.Common_SourceData_ClimateZones_Data(), Table_SourceData_ClimateZones[[#Headers],[Climate zone]], 0)</f>
        <v>Any</v>
      </c>
      <c r="J90" s="29" cm="1">
        <f t="array" ref="J90">Common_InputFunctions.Utility_DisplayArrayInTable(Common_SourceData.Common_SourceData_ClimateZones_Data(), Table_SourceData_ClimateZones[[#Headers],[Climate zone]], 0)</f>
        <v>18.001000000000001</v>
      </c>
      <c r="K90" s="29" cm="1">
        <f t="array" ref="K90">Common_InputFunctions.Utility_DisplayArrayInTable(Common_SourceData.Common_SourceData_ClimateZones_Data(), Table_SourceData_ClimateZones[[#Headers],[Climate zone]], 0)</f>
        <v>999999</v>
      </c>
      <c r="L90" s="29" cm="1">
        <f t="array" ref="L90">Common_InputFunctions.Utility_DisplayArrayInTable(Common_SourceData.Common_SourceData_ClimateZones_Data(), Table_SourceData_ClimateZones[[#Headers],[Climate zone]], 0)</f>
        <v>-999999</v>
      </c>
      <c r="M90" s="29" cm="1">
        <f t="array" ref="M90">Common_InputFunctions.Utility_DisplayArrayInTable(Common_SourceData.Common_SourceData_ClimateZones_Data(), Table_SourceData_ClimateZones[[#Headers],[Climate zone]], 0)</f>
        <v>999999</v>
      </c>
      <c r="N90" s="29" cm="1">
        <f t="array" ref="N90">Common_InputFunctions.Utility_DisplayArrayInTable(Common_SourceData.Common_SourceData_ClimateZones_Data(), Table_SourceData_ClimateZones[[#Headers],[Climate zone]], 0)</f>
        <v>-999999</v>
      </c>
      <c r="O90" s="29" cm="1">
        <f t="array" ref="O90">Common_InputFunctions.Utility_DisplayArrayInTable(Common_SourceData.Common_SourceData_ClimateZones_Data(), Table_SourceData_ClimateZones[[#Headers],[Climate zone]], 0)</f>
        <v>7</v>
      </c>
      <c r="P90" s="29" cm="1">
        <f t="array" ref="P90">Common_InputFunctions.Utility_DisplayArrayInTable(Common_SourceData.Common_SourceData_ClimateZones_Data(), Table_SourceData_ClimateZones[[#Headers],[Climate zone]], 0)</f>
        <v>1000</v>
      </c>
      <c r="Q90" s="29" cm="1">
        <f t="array" ref="Q90">Common_InputFunctions.Utility_DisplayArrayInTable(Common_SourceData.Common_SourceData_ClimateZones_Data(), Table_SourceData_ClimateZones[[#Headers],[Climate zone]], 0)</f>
        <v>999999</v>
      </c>
      <c r="R90" s="29" cm="1">
        <f t="array" ref="R90">Common_InputFunctions.Utility_DisplayArrayInTable(Common_SourceData.Common_SourceData_ClimateZones_Data(), Table_SourceData_ClimateZones[[#Headers],[Climate zone]], 0)</f>
        <v>-999999</v>
      </c>
      <c r="S90" s="29" cm="1">
        <f t="array" ref="S90">Common_InputFunctions.Utility_DisplayArrayInTable(Common_SourceData.Common_SourceData_ClimateZones_Data(), Table_SourceData_ClimateZones[[#Headers],[Climate zone]], 0)</f>
        <v>999999</v>
      </c>
      <c r="T90" s="29"/>
    </row>
    <row r="91" spans="1:20" ht="20.100000000000001" customHeight="1" x14ac:dyDescent="0.25">
      <c r="A91"/>
      <c r="D91" s="29" t="str" cm="1">
        <f t="array" ref="D91">Common_InputFunctions.Utility_DisplayArrayInTable(Common_SourceData.Common_SourceData_ClimateZones_Data(), Table_SourceData_ClimateZones[[#Headers],[Climate zone]], 0)</f>
        <v>Tropical wet</v>
      </c>
      <c r="E91" s="29" t="str" cm="1">
        <f t="array" ref="E91">Common_InputFunctions.Utility_DisplayArrayInTable(Common_SourceData.Common_SourceData_ClimateZones_Data(), Table_SourceData_ClimateZones[[#Headers],[Climate zone]], 0)</f>
        <v>&gt; 18 C</v>
      </c>
      <c r="F91" s="29" t="str" cm="1">
        <f t="array" ref="F91">Common_InputFunctions.Utility_DisplayArrayInTable(Common_SourceData.Common_SourceData_ClimateZones_Data(), Table_SourceData_ClimateZones[[#Headers],[Climate zone]], 0)</f>
        <v>&gt; 2000 mm</v>
      </c>
      <c r="G91" s="29" t="str" cm="1">
        <f t="array" ref="G91">Common_InputFunctions.Utility_DisplayArrayInTable(Common_SourceData.Common_SourceData_ClimateZones_Data(), Table_SourceData_ClimateZones[[#Headers],[Climate zone]], 0)</f>
        <v>≤ 7</v>
      </c>
      <c r="H91" s="29" t="str" cm="1">
        <f t="array" ref="H91">Common_InputFunctions.Utility_DisplayArrayInTable(Common_SourceData.Common_SourceData_ClimateZones_Data(), Table_SourceData_ClimateZones[[#Headers],[Climate zone]], 0)</f>
        <v>≤ 1000 m</v>
      </c>
      <c r="I91" s="29" t="str" cm="1">
        <f t="array" ref="I91">Common_InputFunctions.Utility_DisplayArrayInTable(Common_SourceData.Common_SourceData_ClimateZones_Data(), Table_SourceData_ClimateZones[[#Headers],[Climate zone]], 0)</f>
        <v>Any</v>
      </c>
      <c r="J91" s="29" cm="1">
        <f t="array" ref="J91">Common_InputFunctions.Utility_DisplayArrayInTable(Common_SourceData.Common_SourceData_ClimateZones_Data(), Table_SourceData_ClimateZones[[#Headers],[Climate zone]], 0)</f>
        <v>18.001000000000001</v>
      </c>
      <c r="K91" s="29" cm="1">
        <f t="array" ref="K91">Common_InputFunctions.Utility_DisplayArrayInTable(Common_SourceData.Common_SourceData_ClimateZones_Data(), Table_SourceData_ClimateZones[[#Headers],[Climate zone]], 0)</f>
        <v>999999</v>
      </c>
      <c r="L91" s="29" cm="1">
        <f t="array" ref="L91">Common_InputFunctions.Utility_DisplayArrayInTable(Common_SourceData.Common_SourceData_ClimateZones_Data(), Table_SourceData_ClimateZones[[#Headers],[Climate zone]], 0)</f>
        <v>2000.001</v>
      </c>
      <c r="M91" s="29" cm="1">
        <f t="array" ref="M91">Common_InputFunctions.Utility_DisplayArrayInTable(Common_SourceData.Common_SourceData_ClimateZones_Data(), Table_SourceData_ClimateZones[[#Headers],[Climate zone]], 0)</f>
        <v>999999</v>
      </c>
      <c r="N91" s="29" cm="1">
        <f t="array" ref="N91">Common_InputFunctions.Utility_DisplayArrayInTable(Common_SourceData.Common_SourceData_ClimateZones_Data(), Table_SourceData_ClimateZones[[#Headers],[Climate zone]], 0)</f>
        <v>-999999</v>
      </c>
      <c r="O91" s="29" cm="1">
        <f t="array" ref="O91">Common_InputFunctions.Utility_DisplayArrayInTable(Common_SourceData.Common_SourceData_ClimateZones_Data(), Table_SourceData_ClimateZones[[#Headers],[Climate zone]], 0)</f>
        <v>7</v>
      </c>
      <c r="P91" s="29" cm="1">
        <f t="array" ref="P91">Common_InputFunctions.Utility_DisplayArrayInTable(Common_SourceData.Common_SourceData_ClimateZones_Data(), Table_SourceData_ClimateZones[[#Headers],[Climate zone]], 0)</f>
        <v>-999999</v>
      </c>
      <c r="Q91" s="29" cm="1">
        <f t="array" ref="Q91">Common_InputFunctions.Utility_DisplayArrayInTable(Common_SourceData.Common_SourceData_ClimateZones_Data(), Table_SourceData_ClimateZones[[#Headers],[Climate zone]], 0)</f>
        <v>999.99900000000002</v>
      </c>
      <c r="R91" s="29" cm="1">
        <f t="array" ref="R91">Common_InputFunctions.Utility_DisplayArrayInTable(Common_SourceData.Common_SourceData_ClimateZones_Data(), Table_SourceData_ClimateZones[[#Headers],[Climate zone]], 0)</f>
        <v>-999999</v>
      </c>
      <c r="S91" s="29" cm="1">
        <f t="array" ref="S91">Common_InputFunctions.Utility_DisplayArrayInTable(Common_SourceData.Common_SourceData_ClimateZones_Data(), Table_SourceData_ClimateZones[[#Headers],[Climate zone]], 0)</f>
        <v>999999</v>
      </c>
      <c r="T91" s="29"/>
    </row>
    <row r="92" spans="1:20" ht="20.100000000000001" customHeight="1" x14ac:dyDescent="0.25">
      <c r="A92"/>
      <c r="D92" s="29" t="str" cm="1">
        <f t="array" ref="D92">Common_InputFunctions.Utility_DisplayArrayInTable(Common_SourceData.Common_SourceData_ClimateZones_Data(), Table_SourceData_ClimateZones[[#Headers],[Climate zone]], 0)</f>
        <v>Tropical moist</v>
      </c>
      <c r="E92" s="29" t="str" cm="1">
        <f t="array" ref="E92">Common_InputFunctions.Utility_DisplayArrayInTable(Common_SourceData.Common_SourceData_ClimateZones_Data(), Table_SourceData_ClimateZones[[#Headers],[Climate zone]], 0)</f>
        <v>&gt; 18 C</v>
      </c>
      <c r="F92" s="29" t="str" cm="1">
        <f t="array" ref="F92">Common_InputFunctions.Utility_DisplayArrayInTable(Common_SourceData.Common_SourceData_ClimateZones_Data(), Table_SourceData_ClimateZones[[#Headers],[Climate zone]], 0)</f>
        <v>&gt; 1000 mm - ≤ 2000 mm</v>
      </c>
      <c r="G92" s="29" t="str" cm="1">
        <f t="array" ref="G92">Common_InputFunctions.Utility_DisplayArrayInTable(Common_SourceData.Common_SourceData_ClimateZones_Data(), Table_SourceData_ClimateZones[[#Headers],[Climate zone]], 0)</f>
        <v>≤ 7</v>
      </c>
      <c r="H92" s="29" t="str" cm="1">
        <f t="array" ref="H92">Common_InputFunctions.Utility_DisplayArrayInTable(Common_SourceData.Common_SourceData_ClimateZones_Data(), Table_SourceData_ClimateZones[[#Headers],[Climate zone]], 0)</f>
        <v>≤ 1000 m</v>
      </c>
      <c r="I92" s="29" t="str" cm="1">
        <f t="array" ref="I92">Common_InputFunctions.Utility_DisplayArrayInTable(Common_SourceData.Common_SourceData_ClimateZones_Data(), Table_SourceData_ClimateZones[[#Headers],[Climate zone]], 0)</f>
        <v>Any</v>
      </c>
      <c r="J92" s="29" cm="1">
        <f t="array" ref="J92">Common_InputFunctions.Utility_DisplayArrayInTable(Common_SourceData.Common_SourceData_ClimateZones_Data(), Table_SourceData_ClimateZones[[#Headers],[Climate zone]], 0)</f>
        <v>18.001000000000001</v>
      </c>
      <c r="K92" s="29" cm="1">
        <f t="array" ref="K92">Common_InputFunctions.Utility_DisplayArrayInTable(Common_SourceData.Common_SourceData_ClimateZones_Data(), Table_SourceData_ClimateZones[[#Headers],[Climate zone]], 0)</f>
        <v>999999</v>
      </c>
      <c r="L92" s="29" cm="1">
        <f t="array" ref="L92">Common_InputFunctions.Utility_DisplayArrayInTable(Common_SourceData.Common_SourceData_ClimateZones_Data(), Table_SourceData_ClimateZones[[#Headers],[Climate zone]], 0)</f>
        <v>1000.001</v>
      </c>
      <c r="M92" s="29" cm="1">
        <f t="array" ref="M92">Common_InputFunctions.Utility_DisplayArrayInTable(Common_SourceData.Common_SourceData_ClimateZones_Data(), Table_SourceData_ClimateZones[[#Headers],[Climate zone]], 0)</f>
        <v>2000</v>
      </c>
      <c r="N92" s="29" cm="1">
        <f t="array" ref="N92">Common_InputFunctions.Utility_DisplayArrayInTable(Common_SourceData.Common_SourceData_ClimateZones_Data(), Table_SourceData_ClimateZones[[#Headers],[Climate zone]], 0)</f>
        <v>-999999</v>
      </c>
      <c r="O92" s="29" cm="1">
        <f t="array" ref="O92">Common_InputFunctions.Utility_DisplayArrayInTable(Common_SourceData.Common_SourceData_ClimateZones_Data(), Table_SourceData_ClimateZones[[#Headers],[Climate zone]], 0)</f>
        <v>7</v>
      </c>
      <c r="P92" s="29" cm="1">
        <f t="array" ref="P92">Common_InputFunctions.Utility_DisplayArrayInTable(Common_SourceData.Common_SourceData_ClimateZones_Data(), Table_SourceData_ClimateZones[[#Headers],[Climate zone]], 0)</f>
        <v>-999999</v>
      </c>
      <c r="Q92" s="29" cm="1">
        <f t="array" ref="Q92">Common_InputFunctions.Utility_DisplayArrayInTable(Common_SourceData.Common_SourceData_ClimateZones_Data(), Table_SourceData_ClimateZones[[#Headers],[Climate zone]], 0)</f>
        <v>999.99900000000002</v>
      </c>
      <c r="R92" s="29" cm="1">
        <f t="array" ref="R92">Common_InputFunctions.Utility_DisplayArrayInTable(Common_SourceData.Common_SourceData_ClimateZones_Data(), Table_SourceData_ClimateZones[[#Headers],[Climate zone]], 0)</f>
        <v>-999999</v>
      </c>
      <c r="S92" s="29" cm="1">
        <f t="array" ref="S92">Common_InputFunctions.Utility_DisplayArrayInTable(Common_SourceData.Common_SourceData_ClimateZones_Data(), Table_SourceData_ClimateZones[[#Headers],[Climate zone]], 0)</f>
        <v>999999</v>
      </c>
      <c r="T92" s="29"/>
    </row>
    <row r="93" spans="1:20" ht="20.100000000000001" customHeight="1" x14ac:dyDescent="0.25">
      <c r="A93"/>
      <c r="D93" s="29" t="str" cm="1">
        <f t="array" ref="D93">Common_InputFunctions.Utility_DisplayArrayInTable(Common_SourceData.Common_SourceData_ClimateZones_Data(), Table_SourceData_ClimateZones[[#Headers],[Climate zone]], 0)</f>
        <v>Tropical dry</v>
      </c>
      <c r="E93" s="29" t="str" cm="1">
        <f t="array" ref="E93">Common_InputFunctions.Utility_DisplayArrayInTable(Common_SourceData.Common_SourceData_ClimateZones_Data(), Table_SourceData_ClimateZones[[#Headers],[Climate zone]], 0)</f>
        <v>&gt; 18 C</v>
      </c>
      <c r="F93" s="29" t="str" cm="1">
        <f t="array" ref="F93">Common_InputFunctions.Utility_DisplayArrayInTable(Common_SourceData.Common_SourceData_ClimateZones_Data(), Table_SourceData_ClimateZones[[#Headers],[Climate zone]], 0)</f>
        <v>≤ 1000 mm</v>
      </c>
      <c r="G93" s="29" t="str" cm="1">
        <f t="array" ref="G93">Common_InputFunctions.Utility_DisplayArrayInTable(Common_SourceData.Common_SourceData_ClimateZones_Data(), Table_SourceData_ClimateZones[[#Headers],[Climate zone]], 0)</f>
        <v>≤ 7</v>
      </c>
      <c r="H93" s="29" t="str" cm="1">
        <f t="array" ref="H93">Common_InputFunctions.Utility_DisplayArrayInTable(Common_SourceData.Common_SourceData_ClimateZones_Data(), Table_SourceData_ClimateZones[[#Headers],[Climate zone]], 0)</f>
        <v>≤ 1000 m</v>
      </c>
      <c r="I93" s="29" t="str" cm="1">
        <f t="array" ref="I93">Common_InputFunctions.Utility_DisplayArrayInTable(Common_SourceData.Common_SourceData_ClimateZones_Data(), Table_SourceData_ClimateZones[[#Headers],[Climate zone]], 0)</f>
        <v>Any</v>
      </c>
      <c r="J93" s="29" cm="1">
        <f t="array" ref="J93">Common_InputFunctions.Utility_DisplayArrayInTable(Common_SourceData.Common_SourceData_ClimateZones_Data(), Table_SourceData_ClimateZones[[#Headers],[Climate zone]], 0)</f>
        <v>18.001000000000001</v>
      </c>
      <c r="K93" s="29" cm="1">
        <f t="array" ref="K93">Common_InputFunctions.Utility_DisplayArrayInTable(Common_SourceData.Common_SourceData_ClimateZones_Data(), Table_SourceData_ClimateZones[[#Headers],[Climate zone]], 0)</f>
        <v>999999</v>
      </c>
      <c r="L93" s="29" cm="1">
        <f t="array" ref="L93">Common_InputFunctions.Utility_DisplayArrayInTable(Common_SourceData.Common_SourceData_ClimateZones_Data(), Table_SourceData_ClimateZones[[#Headers],[Climate zone]], 0)</f>
        <v>-999999</v>
      </c>
      <c r="M93" s="29" cm="1">
        <f t="array" ref="M93">Common_InputFunctions.Utility_DisplayArrayInTable(Common_SourceData.Common_SourceData_ClimateZones_Data(), Table_SourceData_ClimateZones[[#Headers],[Climate zone]], 0)</f>
        <v>1000</v>
      </c>
      <c r="N93" s="29" cm="1">
        <f t="array" ref="N93">Common_InputFunctions.Utility_DisplayArrayInTable(Common_SourceData.Common_SourceData_ClimateZones_Data(), Table_SourceData_ClimateZones[[#Headers],[Climate zone]], 0)</f>
        <v>-999999</v>
      </c>
      <c r="O93" s="29" cm="1">
        <f t="array" ref="O93">Common_InputFunctions.Utility_DisplayArrayInTable(Common_SourceData.Common_SourceData_ClimateZones_Data(), Table_SourceData_ClimateZones[[#Headers],[Climate zone]], 0)</f>
        <v>7</v>
      </c>
      <c r="P93" s="29" cm="1">
        <f t="array" ref="P93">Common_InputFunctions.Utility_DisplayArrayInTable(Common_SourceData.Common_SourceData_ClimateZones_Data(), Table_SourceData_ClimateZones[[#Headers],[Climate zone]], 0)</f>
        <v>-999999</v>
      </c>
      <c r="Q93" s="29" cm="1">
        <f t="array" ref="Q93">Common_InputFunctions.Utility_DisplayArrayInTable(Common_SourceData.Common_SourceData_ClimateZones_Data(), Table_SourceData_ClimateZones[[#Headers],[Climate zone]], 0)</f>
        <v>999.99900000000002</v>
      </c>
      <c r="R93" s="29" cm="1">
        <f t="array" ref="R93">Common_InputFunctions.Utility_DisplayArrayInTable(Common_SourceData.Common_SourceData_ClimateZones_Data(), Table_SourceData_ClimateZones[[#Headers],[Climate zone]], 0)</f>
        <v>-999999</v>
      </c>
      <c r="S93" s="29" cm="1">
        <f t="array" ref="S93">Common_InputFunctions.Utility_DisplayArrayInTable(Common_SourceData.Common_SourceData_ClimateZones_Data(), Table_SourceData_ClimateZones[[#Headers],[Climate zone]], 0)</f>
        <v>999999</v>
      </c>
      <c r="T93" s="29"/>
    </row>
    <row r="94" spans="1:20" ht="20.100000000000001" customHeight="1" x14ac:dyDescent="0.25">
      <c r="A94"/>
      <c r="D94" s="29" t="str" cm="1">
        <f t="array" ref="D94">Common_InputFunctions.Utility_DisplayArrayInTable(Common_SourceData.Common_SourceData_ClimateZones_Data(), Table_SourceData_ClimateZones[[#Headers],[Climate zone]], 0)</f>
        <v>Warm temperate moist</v>
      </c>
      <c r="E94" s="29" t="str" cm="1">
        <f t="array" ref="E94">Common_InputFunctions.Utility_DisplayArrayInTable(Common_SourceData.Common_SourceData_ClimateZones_Data(), Table_SourceData_ClimateZones[[#Headers],[Climate zone]], 0)</f>
        <v>&gt; 10 C</v>
      </c>
      <c r="F94" s="29" t="str" cm="1">
        <f t="array" ref="F94">Common_InputFunctions.Utility_DisplayArrayInTable(Common_SourceData.Common_SourceData_ClimateZones_Data(), Table_SourceData_ClimateZones[[#Headers],[Climate zone]], 0)</f>
        <v>Any</v>
      </c>
      <c r="G94" s="29" t="str" cm="1">
        <f t="array" ref="G94">Common_InputFunctions.Utility_DisplayArrayInTable(Common_SourceData.Common_SourceData_ClimateZones_Data(), Table_SourceData_ClimateZones[[#Headers],[Climate zone]], 0)</f>
        <v>Any</v>
      </c>
      <c r="H94" s="29" t="str" cm="1">
        <f t="array" ref="H94">Common_InputFunctions.Utility_DisplayArrayInTable(Common_SourceData.Common_SourceData_ClimateZones_Data(), Table_SourceData_ClimateZones[[#Headers],[Climate zone]], 0)</f>
        <v>Any</v>
      </c>
      <c r="I94" s="29" t="str" cm="1">
        <f t="array" ref="I94">Common_InputFunctions.Utility_DisplayArrayInTable(Common_SourceData.Common_SourceData_ClimateZones_Data(), Table_SourceData_ClimateZones[[#Headers],[Climate zone]], 0)</f>
        <v>&gt; 1</v>
      </c>
      <c r="J94" s="29" cm="1">
        <f t="array" ref="J94">Common_InputFunctions.Utility_DisplayArrayInTable(Common_SourceData.Common_SourceData_ClimateZones_Data(), Table_SourceData_ClimateZones[[#Headers],[Climate zone]], 0)</f>
        <v>10.000999999999999</v>
      </c>
      <c r="K94" s="29" cm="1">
        <f t="array" ref="K94">Common_InputFunctions.Utility_DisplayArrayInTable(Common_SourceData.Common_SourceData_ClimateZones_Data(), Table_SourceData_ClimateZones[[#Headers],[Climate zone]], 0)</f>
        <v>999999</v>
      </c>
      <c r="L94" s="29" cm="1">
        <f t="array" ref="L94">Common_InputFunctions.Utility_DisplayArrayInTable(Common_SourceData.Common_SourceData_ClimateZones_Data(), Table_SourceData_ClimateZones[[#Headers],[Climate zone]], 0)</f>
        <v>-999999</v>
      </c>
      <c r="M94" s="29" cm="1">
        <f t="array" ref="M94">Common_InputFunctions.Utility_DisplayArrayInTable(Common_SourceData.Common_SourceData_ClimateZones_Data(), Table_SourceData_ClimateZones[[#Headers],[Climate zone]], 0)</f>
        <v>999999</v>
      </c>
      <c r="N94" s="29" cm="1">
        <f t="array" ref="N94">Common_InputFunctions.Utility_DisplayArrayInTable(Common_SourceData.Common_SourceData_ClimateZones_Data(), Table_SourceData_ClimateZones[[#Headers],[Climate zone]], 0)</f>
        <v>-999999</v>
      </c>
      <c r="O94" s="29" cm="1">
        <f t="array" ref="O94">Common_InputFunctions.Utility_DisplayArrayInTable(Common_SourceData.Common_SourceData_ClimateZones_Data(), Table_SourceData_ClimateZones[[#Headers],[Climate zone]], 0)</f>
        <v>999999</v>
      </c>
      <c r="P94" s="29" cm="1">
        <f t="array" ref="P94">Common_InputFunctions.Utility_DisplayArrayInTable(Common_SourceData.Common_SourceData_ClimateZones_Data(), Table_SourceData_ClimateZones[[#Headers],[Climate zone]], 0)</f>
        <v>-999999</v>
      </c>
      <c r="Q94" s="29" cm="1">
        <f t="array" ref="Q94">Common_InputFunctions.Utility_DisplayArrayInTable(Common_SourceData.Common_SourceData_ClimateZones_Data(), Table_SourceData_ClimateZones[[#Headers],[Climate zone]], 0)</f>
        <v>999999</v>
      </c>
      <c r="R94" s="29" cm="1">
        <f t="array" ref="R94">Common_InputFunctions.Utility_DisplayArrayInTable(Common_SourceData.Common_SourceData_ClimateZones_Data(), Table_SourceData_ClimateZones[[#Headers],[Climate zone]], 0)</f>
        <v>1.0009999999999999</v>
      </c>
      <c r="S94" s="29" cm="1">
        <f t="array" ref="S94">Common_InputFunctions.Utility_DisplayArrayInTable(Common_SourceData.Common_SourceData_ClimateZones_Data(), Table_SourceData_ClimateZones[[#Headers],[Climate zone]], 0)</f>
        <v>999999</v>
      </c>
      <c r="T94" s="29"/>
    </row>
    <row r="95" spans="1:20" ht="20.100000000000001" customHeight="1" x14ac:dyDescent="0.25">
      <c r="A95"/>
      <c r="D95" s="29" t="str" cm="1">
        <f t="array" ref="D95">Common_InputFunctions.Utility_DisplayArrayInTable(Common_SourceData.Common_SourceData_ClimateZones_Data(), Table_SourceData_ClimateZones[[#Headers],[Climate zone]], 0)</f>
        <v>Warm temperate dry</v>
      </c>
      <c r="E95" s="29" t="str" cm="1">
        <f t="array" ref="E95">Common_InputFunctions.Utility_DisplayArrayInTable(Common_SourceData.Common_SourceData_ClimateZones_Data(), Table_SourceData_ClimateZones[[#Headers],[Climate zone]], 0)</f>
        <v>&gt; 10 C</v>
      </c>
      <c r="F95" s="29" t="str" cm="1">
        <f t="array" ref="F95">Common_InputFunctions.Utility_DisplayArrayInTable(Common_SourceData.Common_SourceData_ClimateZones_Data(), Table_SourceData_ClimateZones[[#Headers],[Climate zone]], 0)</f>
        <v>Any</v>
      </c>
      <c r="G95" s="29" t="str" cm="1">
        <f t="array" ref="G95">Common_InputFunctions.Utility_DisplayArrayInTable(Common_SourceData.Common_SourceData_ClimateZones_Data(), Table_SourceData_ClimateZones[[#Headers],[Climate zone]], 0)</f>
        <v>Any</v>
      </c>
      <c r="H95" s="29" t="str" cm="1">
        <f t="array" ref="H95">Common_InputFunctions.Utility_DisplayArrayInTable(Common_SourceData.Common_SourceData_ClimateZones_Data(), Table_SourceData_ClimateZones[[#Headers],[Climate zone]], 0)</f>
        <v>Any</v>
      </c>
      <c r="I95" s="29" t="str" cm="1">
        <f t="array" ref="I95">Common_InputFunctions.Utility_DisplayArrayInTable(Common_SourceData.Common_SourceData_ClimateZones_Data(), Table_SourceData_ClimateZones[[#Headers],[Climate zone]], 0)</f>
        <v>≤ 1</v>
      </c>
      <c r="J95" s="29" cm="1">
        <f t="array" ref="J95">Common_InputFunctions.Utility_DisplayArrayInTable(Common_SourceData.Common_SourceData_ClimateZones_Data(), Table_SourceData_ClimateZones[[#Headers],[Climate zone]], 0)</f>
        <v>10.000999999999999</v>
      </c>
      <c r="K95" s="29" cm="1">
        <f t="array" ref="K95">Common_InputFunctions.Utility_DisplayArrayInTable(Common_SourceData.Common_SourceData_ClimateZones_Data(), Table_SourceData_ClimateZones[[#Headers],[Climate zone]], 0)</f>
        <v>999999</v>
      </c>
      <c r="L95" s="29" cm="1">
        <f t="array" ref="L95">Common_InputFunctions.Utility_DisplayArrayInTable(Common_SourceData.Common_SourceData_ClimateZones_Data(), Table_SourceData_ClimateZones[[#Headers],[Climate zone]], 0)</f>
        <v>-999999</v>
      </c>
      <c r="M95" s="29" cm="1">
        <f t="array" ref="M95">Common_InputFunctions.Utility_DisplayArrayInTable(Common_SourceData.Common_SourceData_ClimateZones_Data(), Table_SourceData_ClimateZones[[#Headers],[Climate zone]], 0)</f>
        <v>999999</v>
      </c>
      <c r="N95" s="29" cm="1">
        <f t="array" ref="N95">Common_InputFunctions.Utility_DisplayArrayInTable(Common_SourceData.Common_SourceData_ClimateZones_Data(), Table_SourceData_ClimateZones[[#Headers],[Climate zone]], 0)</f>
        <v>-999999</v>
      </c>
      <c r="O95" s="29" cm="1">
        <f t="array" ref="O95">Common_InputFunctions.Utility_DisplayArrayInTable(Common_SourceData.Common_SourceData_ClimateZones_Data(), Table_SourceData_ClimateZones[[#Headers],[Climate zone]], 0)</f>
        <v>999999</v>
      </c>
      <c r="P95" s="29" cm="1">
        <f t="array" ref="P95">Common_InputFunctions.Utility_DisplayArrayInTable(Common_SourceData.Common_SourceData_ClimateZones_Data(), Table_SourceData_ClimateZones[[#Headers],[Climate zone]], 0)</f>
        <v>-999999</v>
      </c>
      <c r="Q95" s="29" cm="1">
        <f t="array" ref="Q95">Common_InputFunctions.Utility_DisplayArrayInTable(Common_SourceData.Common_SourceData_ClimateZones_Data(), Table_SourceData_ClimateZones[[#Headers],[Climate zone]], 0)</f>
        <v>999999</v>
      </c>
      <c r="R95" s="29" cm="1">
        <f t="array" ref="R95">Common_InputFunctions.Utility_DisplayArrayInTable(Common_SourceData.Common_SourceData_ClimateZones_Data(), Table_SourceData_ClimateZones[[#Headers],[Climate zone]], 0)</f>
        <v>-999999</v>
      </c>
      <c r="S95" s="29" cm="1">
        <f t="array" ref="S95">Common_InputFunctions.Utility_DisplayArrayInTable(Common_SourceData.Common_SourceData_ClimateZones_Data(), Table_SourceData_ClimateZones[[#Headers],[Climate zone]], 0)</f>
        <v>1</v>
      </c>
      <c r="T95" s="29"/>
    </row>
    <row r="96" spans="1:20" ht="20.100000000000001" customHeight="1" x14ac:dyDescent="0.25">
      <c r="A96"/>
      <c r="D96" s="29" t="str" cm="1">
        <f t="array" ref="D96">Common_InputFunctions.Utility_DisplayArrayInTable(Common_SourceData.Common_SourceData_ClimateZones_Data(), Table_SourceData_ClimateZones[[#Headers],[Climate zone]], 0)</f>
        <v>Cool temperate moist</v>
      </c>
      <c r="E96" s="29" t="str" cm="1">
        <f t="array" ref="E96">Common_InputFunctions.Utility_DisplayArrayInTable(Common_SourceData.Common_SourceData_ClimateZones_Data(), Table_SourceData_ClimateZones[[#Headers],[Climate zone]], 0)</f>
        <v>&gt; 0 C - ≤ 10 C</v>
      </c>
      <c r="F96" s="29" t="str" cm="1">
        <f t="array" ref="F96">Common_InputFunctions.Utility_DisplayArrayInTable(Common_SourceData.Common_SourceData_ClimateZones_Data(), Table_SourceData_ClimateZones[[#Headers],[Climate zone]], 0)</f>
        <v>Any</v>
      </c>
      <c r="G96" s="29" t="str" cm="1">
        <f t="array" ref="G96">Common_InputFunctions.Utility_DisplayArrayInTable(Common_SourceData.Common_SourceData_ClimateZones_Data(), Table_SourceData_ClimateZones[[#Headers],[Climate zone]], 0)</f>
        <v>Any</v>
      </c>
      <c r="H96" s="29" t="str" cm="1">
        <f t="array" ref="H96">Common_InputFunctions.Utility_DisplayArrayInTable(Common_SourceData.Common_SourceData_ClimateZones_Data(), Table_SourceData_ClimateZones[[#Headers],[Climate zone]], 0)</f>
        <v>Any</v>
      </c>
      <c r="I96" s="29" t="str" cm="1">
        <f t="array" ref="I96">Common_InputFunctions.Utility_DisplayArrayInTable(Common_SourceData.Common_SourceData_ClimateZones_Data(), Table_SourceData_ClimateZones[[#Headers],[Climate zone]], 0)</f>
        <v>&gt; 1</v>
      </c>
      <c r="J96" s="29" cm="1">
        <f t="array" ref="J96">Common_InputFunctions.Utility_DisplayArrayInTable(Common_SourceData.Common_SourceData_ClimateZones_Data(), Table_SourceData_ClimateZones[[#Headers],[Climate zone]], 0)</f>
        <v>-999999</v>
      </c>
      <c r="K96" s="29" cm="1">
        <f t="array" ref="K96">Common_InputFunctions.Utility_DisplayArrayInTable(Common_SourceData.Common_SourceData_ClimateZones_Data(), Table_SourceData_ClimateZones[[#Headers],[Climate zone]], 0)</f>
        <v>10</v>
      </c>
      <c r="L96" s="29" cm="1">
        <f t="array" ref="L96">Common_InputFunctions.Utility_DisplayArrayInTable(Common_SourceData.Common_SourceData_ClimateZones_Data(), Table_SourceData_ClimateZones[[#Headers],[Climate zone]], 0)</f>
        <v>-999999</v>
      </c>
      <c r="M96" s="29" cm="1">
        <f t="array" ref="M96">Common_InputFunctions.Utility_DisplayArrayInTable(Common_SourceData.Common_SourceData_ClimateZones_Data(), Table_SourceData_ClimateZones[[#Headers],[Climate zone]], 0)</f>
        <v>999999</v>
      </c>
      <c r="N96" s="29" cm="1">
        <f t="array" ref="N96">Common_InputFunctions.Utility_DisplayArrayInTable(Common_SourceData.Common_SourceData_ClimateZones_Data(), Table_SourceData_ClimateZones[[#Headers],[Climate zone]], 0)</f>
        <v>-999999</v>
      </c>
      <c r="O96" s="29" cm="1">
        <f t="array" ref="O96">Common_InputFunctions.Utility_DisplayArrayInTable(Common_SourceData.Common_SourceData_ClimateZones_Data(), Table_SourceData_ClimateZones[[#Headers],[Climate zone]], 0)</f>
        <v>999999</v>
      </c>
      <c r="P96" s="29" cm="1">
        <f t="array" ref="P96">Common_InputFunctions.Utility_DisplayArrayInTable(Common_SourceData.Common_SourceData_ClimateZones_Data(), Table_SourceData_ClimateZones[[#Headers],[Climate zone]], 0)</f>
        <v>-999999</v>
      </c>
      <c r="Q96" s="29" cm="1">
        <f t="array" ref="Q96">Common_InputFunctions.Utility_DisplayArrayInTable(Common_SourceData.Common_SourceData_ClimateZones_Data(), Table_SourceData_ClimateZones[[#Headers],[Climate zone]], 0)</f>
        <v>999999</v>
      </c>
      <c r="R96" s="29" cm="1">
        <f t="array" ref="R96">Common_InputFunctions.Utility_DisplayArrayInTable(Common_SourceData.Common_SourceData_ClimateZones_Data(), Table_SourceData_ClimateZones[[#Headers],[Climate zone]], 0)</f>
        <v>1.0009999999999999</v>
      </c>
      <c r="S96" s="29" cm="1">
        <f t="array" ref="S96">Common_InputFunctions.Utility_DisplayArrayInTable(Common_SourceData.Common_SourceData_ClimateZones_Data(), Table_SourceData_ClimateZones[[#Headers],[Climate zone]], 0)</f>
        <v>999999</v>
      </c>
      <c r="T96" s="29"/>
    </row>
    <row r="97" spans="1:20" ht="20.100000000000001" customHeight="1" x14ac:dyDescent="0.25">
      <c r="A97"/>
      <c r="D97" s="29" t="str" cm="1">
        <f t="array" ref="D97">Common_InputFunctions.Utility_DisplayArrayInTable(Common_SourceData.Common_SourceData_ClimateZones_Data(), Table_SourceData_ClimateZones[[#Headers],[Climate zone]], 0)</f>
        <v>Cool temperate dry</v>
      </c>
      <c r="E97" s="29" t="str" cm="1">
        <f t="array" ref="E97">Common_InputFunctions.Utility_DisplayArrayInTable(Common_SourceData.Common_SourceData_ClimateZones_Data(), Table_SourceData_ClimateZones[[#Headers],[Climate zone]], 0)</f>
        <v>&gt; 0 C - ≤ 10 C</v>
      </c>
      <c r="F97" s="29" t="str" cm="1">
        <f t="array" ref="F97">Common_InputFunctions.Utility_DisplayArrayInTable(Common_SourceData.Common_SourceData_ClimateZones_Data(), Table_SourceData_ClimateZones[[#Headers],[Climate zone]], 0)</f>
        <v>Any</v>
      </c>
      <c r="G97" s="29" t="str" cm="1">
        <f t="array" ref="G97">Common_InputFunctions.Utility_DisplayArrayInTable(Common_SourceData.Common_SourceData_ClimateZones_Data(), Table_SourceData_ClimateZones[[#Headers],[Climate zone]], 0)</f>
        <v>Any</v>
      </c>
      <c r="H97" s="29" t="str" cm="1">
        <f t="array" ref="H97">Common_InputFunctions.Utility_DisplayArrayInTable(Common_SourceData.Common_SourceData_ClimateZones_Data(), Table_SourceData_ClimateZones[[#Headers],[Climate zone]], 0)</f>
        <v>Any</v>
      </c>
      <c r="I97" s="29" t="str" cm="1">
        <f t="array" ref="I97">Common_InputFunctions.Utility_DisplayArrayInTable(Common_SourceData.Common_SourceData_ClimateZones_Data(), Table_SourceData_ClimateZones[[#Headers],[Climate zone]], 0)</f>
        <v>≤ 1</v>
      </c>
      <c r="J97" s="29" cm="1">
        <f t="array" ref="J97">Common_InputFunctions.Utility_DisplayArrayInTable(Common_SourceData.Common_SourceData_ClimateZones_Data(), Table_SourceData_ClimateZones[[#Headers],[Climate zone]], 0)</f>
        <v>-999999</v>
      </c>
      <c r="K97" s="29" cm="1">
        <f t="array" ref="K97">Common_InputFunctions.Utility_DisplayArrayInTable(Common_SourceData.Common_SourceData_ClimateZones_Data(), Table_SourceData_ClimateZones[[#Headers],[Climate zone]], 0)</f>
        <v>10</v>
      </c>
      <c r="L97" s="29" cm="1">
        <f t="array" ref="L97">Common_InputFunctions.Utility_DisplayArrayInTable(Common_SourceData.Common_SourceData_ClimateZones_Data(), Table_SourceData_ClimateZones[[#Headers],[Climate zone]], 0)</f>
        <v>-999999</v>
      </c>
      <c r="M97" s="29" cm="1">
        <f t="array" ref="M97">Common_InputFunctions.Utility_DisplayArrayInTable(Common_SourceData.Common_SourceData_ClimateZones_Data(), Table_SourceData_ClimateZones[[#Headers],[Climate zone]], 0)</f>
        <v>999999</v>
      </c>
      <c r="N97" s="29" cm="1">
        <f t="array" ref="N97">Common_InputFunctions.Utility_DisplayArrayInTable(Common_SourceData.Common_SourceData_ClimateZones_Data(), Table_SourceData_ClimateZones[[#Headers],[Climate zone]], 0)</f>
        <v>-999999</v>
      </c>
      <c r="O97" s="29" cm="1">
        <f t="array" ref="O97">Common_InputFunctions.Utility_DisplayArrayInTable(Common_SourceData.Common_SourceData_ClimateZones_Data(), Table_SourceData_ClimateZones[[#Headers],[Climate zone]], 0)</f>
        <v>999999</v>
      </c>
      <c r="P97" s="29" cm="1">
        <f t="array" ref="P97">Common_InputFunctions.Utility_DisplayArrayInTable(Common_SourceData.Common_SourceData_ClimateZones_Data(), Table_SourceData_ClimateZones[[#Headers],[Climate zone]], 0)</f>
        <v>-999999</v>
      </c>
      <c r="Q97" s="29" cm="1">
        <f t="array" ref="Q97">Common_InputFunctions.Utility_DisplayArrayInTable(Common_SourceData.Common_SourceData_ClimateZones_Data(), Table_SourceData_ClimateZones[[#Headers],[Climate zone]], 0)</f>
        <v>999999</v>
      </c>
      <c r="R97" s="29" cm="1">
        <f t="array" ref="R97">Common_InputFunctions.Utility_DisplayArrayInTable(Common_SourceData.Common_SourceData_ClimateZones_Data(), Table_SourceData_ClimateZones[[#Headers],[Climate zone]], 0)</f>
        <v>-999999</v>
      </c>
      <c r="S97" s="29" cm="1">
        <f t="array" ref="S97">Common_InputFunctions.Utility_DisplayArrayInTable(Common_SourceData.Common_SourceData_ClimateZones_Data(), Table_SourceData_ClimateZones[[#Headers],[Climate zone]], 0)</f>
        <v>1</v>
      </c>
      <c r="T97" s="29"/>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9" t="s">
        <v>49</v>
      </c>
      <c r="E109" s="29" t="s">
        <v>34</v>
      </c>
      <c r="F109" s="29" t="s">
        <v>50</v>
      </c>
      <c r="G109" s="29" t="s">
        <v>51</v>
      </c>
    </row>
    <row r="110" spans="1:20" ht="20.100000000000001" customHeight="1" x14ac:dyDescent="0.25">
      <c r="A110"/>
      <c r="D110" s="29" t="str" cm="1">
        <f t="array" ref="D110">Common_InputFunctions.Utility_DisplayArrayInTable(Common_SourceData.Common_SourceData_TemperatureZones_Data(),Table_SourceData_TemperatureZones[[#Headers],[Temperature Zone]],0)</f>
        <v>Warm</v>
      </c>
      <c r="E110" s="29" t="str" cm="1">
        <f t="array" ref="E110">Common_InputFunctions.Utility_DisplayArrayInTable(Common_SourceData.Common_SourceData_TemperatureZones_Data(),Table_SourceData_TemperatureZones[[#Headers],[Temperature Zone]],0)</f>
        <v>≥ 26 C</v>
      </c>
      <c r="F110" s="29" cm="1">
        <f t="array" ref="F110">Common_InputFunctions.Utility_DisplayArrayInTable(Common_SourceData.Common_SourceData_TemperatureZones_Data(),Table_SourceData_TemperatureZones[[#Headers],[Temperature Zone]],0)</f>
        <v>26</v>
      </c>
      <c r="G110" s="2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9" t="str" cm="1">
        <f t="array" ref="D111">Common_InputFunctions.Utility_DisplayArrayInTable(Common_SourceData.Common_SourceData_TemperatureZones_Data(),Table_SourceData_TemperatureZones[[#Headers],[Temperature Zone]],0)</f>
        <v>Temperate</v>
      </c>
      <c r="E111" s="29" t="str" cm="1">
        <f t="array" ref="E111">Common_InputFunctions.Utility_DisplayArrayInTable(Common_SourceData.Common_SourceData_TemperatureZones_Data(),Table_SourceData_TemperatureZones[[#Headers],[Temperature Zone]],0)</f>
        <v>15 - 25 C</v>
      </c>
      <c r="F111" s="29" cm="1">
        <f t="array" ref="F111">Common_InputFunctions.Utility_DisplayArrayInTable(Common_SourceData.Common_SourceData_TemperatureZones_Data(),Table_SourceData_TemperatureZones[[#Headers],[Temperature Zone]],0)</f>
        <v>15</v>
      </c>
      <c r="G111" s="2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9" t="str" cm="1">
        <f t="array" ref="D112">Common_InputFunctions.Utility_DisplayArrayInTable(Common_SourceData.Common_SourceData_TemperatureZones_Data(),Table_SourceData_TemperatureZones[[#Headers],[Temperature Zone]],0)</f>
        <v>Cool</v>
      </c>
      <c r="E112" s="29" t="str" cm="1">
        <f t="array" ref="E112">Common_InputFunctions.Utility_DisplayArrayInTable(Common_SourceData.Common_SourceData_TemperatureZones_Data(),Table_SourceData_TemperatureZones[[#Headers],[Temperature Zone]],0)</f>
        <v>≤ 14 C</v>
      </c>
      <c r="F112" s="29" cm="1">
        <f t="array" ref="F112">Common_InputFunctions.Utility_DisplayArrayInTable(Common_SourceData.Common_SourceData_TemperatureZones_Data(),Table_SourceData_TemperatureZones[[#Headers],[Temperature Zone]],0)</f>
        <v>-999999</v>
      </c>
      <c r="G112" s="2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1"/>
    </row>
    <row r="116" spans="1:66" ht="20.100000000000001" customHeight="1" x14ac:dyDescent="0.25">
      <c r="A116"/>
      <c r="D116" s="27" t="str" cm="1">
        <f t="array" ref="D116">Common_SourceData.Common_SourceData_RainfallZones_Source()</f>
        <v>VEERG 2026: Table 1.3: Climate and Rainfall zone classifications and definitions</v>
      </c>
      <c r="BN116" s="31"/>
    </row>
    <row r="117" spans="1:66" ht="20.100000000000001" customHeight="1" x14ac:dyDescent="0.25">
      <c r="A117"/>
      <c r="D117" s="35" t="str" cm="1">
        <f t="array" ref="D117">"⚠️" &amp; Common_SourceData.Common_SourceData_RainfallZones_Variation()</f>
        <v>⚠️VARIATION OF SOURCE DATA: Added extra Rainfall min and Rainfall max columns to calculate zone from real rainfall data.</v>
      </c>
      <c r="BN117" s="31"/>
    </row>
    <row r="118" spans="1:66" ht="20.100000000000001" customHeight="1" x14ac:dyDescent="0.25">
      <c r="A118"/>
      <c r="BN118" s="31"/>
    </row>
    <row r="119" spans="1:66" ht="20.100000000000001" customHeight="1" x14ac:dyDescent="0.25">
      <c r="A119"/>
      <c r="D119" s="29" t="s">
        <v>52</v>
      </c>
      <c r="E119" s="29" t="s">
        <v>53</v>
      </c>
      <c r="F119" s="29" t="s">
        <v>41</v>
      </c>
      <c r="G119" s="29" t="s">
        <v>42</v>
      </c>
      <c r="BN119" s="31"/>
    </row>
    <row r="120" spans="1:66" ht="20.100000000000001" customHeight="1" x14ac:dyDescent="0.25">
      <c r="A120"/>
      <c r="D120" s="29" t="str" cm="1">
        <f t="array" ref="D120">Common_InputFunctions.Utility_DisplayArrayInTable(Common_SourceData.Common_SourceData_RainfallZones_Data(),Table_SourceData_RainfallZones[[#Headers],[Rainfall Zone]],0)</f>
        <v>High rainfall</v>
      </c>
      <c r="E120" s="29" t="str" cm="1">
        <f t="array" ref="E120">Common_InputFunctions.Utility_DisplayArrayInTable(Common_SourceData.Common_SourceData_RainfallZones_Data(),Table_SourceData_RainfallZones[[#Headers],[Rainfall Zone]],0)</f>
        <v>Annual rainfall &gt; 600mm</v>
      </c>
      <c r="F120" s="29" cm="1">
        <f t="array" ref="F120">Common_InputFunctions.Utility_DisplayArrayInTable(Common_SourceData.Common_SourceData_RainfallZones_Data(),Table_SourceData_RainfallZones[[#Headers],[Rainfall Zone]],0)</f>
        <v>600.00099999999998</v>
      </c>
      <c r="G120" s="29" cm="1">
        <f t="array" ref="G120">Common_InputFunctions.Utility_DisplayArrayInTable(Common_SourceData.Common_SourceData_RainfallZones_Data(),Table_SourceData_RainfallZones[[#Headers],[Rainfall Zone]],0)</f>
        <v>999999</v>
      </c>
      <c r="BN120" s="31"/>
    </row>
    <row r="121" spans="1:66" ht="20.100000000000001" customHeight="1" x14ac:dyDescent="0.25">
      <c r="A121"/>
      <c r="D121" s="29" t="str" cm="1">
        <f t="array" ref="D121">Common_InputFunctions.Utility_DisplayArrayInTable(Common_SourceData.Common_SourceData_RainfallZones_Data(),Table_SourceData_RainfallZones[[#Headers],[Rainfall Zone]],0)</f>
        <v>Low rainfall</v>
      </c>
      <c r="E121" s="29" t="str" cm="1">
        <f t="array" ref="E121">Common_InputFunctions.Utility_DisplayArrayInTable(Common_SourceData.Common_SourceData_RainfallZones_Data(),Table_SourceData_RainfallZones[[#Headers],[Rainfall Zone]],0)</f>
        <v>Annual rainfall ≤ 600mm</v>
      </c>
      <c r="F121" s="29" cm="1">
        <f t="array" ref="F121">Common_InputFunctions.Utility_DisplayArrayInTable(Common_SourceData.Common_SourceData_RainfallZones_Data(),Table_SourceData_RainfallZones[[#Headers],[Rainfall Zone]],0)</f>
        <v>-999999</v>
      </c>
      <c r="G121" s="29" cm="1">
        <f t="array" ref="G121">Common_InputFunctions.Utility_DisplayArrayInTable(Common_SourceData.Common_SourceData_RainfallZones_Data(),Table_SourceData_RainfallZones[[#Headers],[Rainfall Zone]],0)</f>
        <v>600</v>
      </c>
      <c r="BN121" s="31"/>
    </row>
    <row r="122" spans="1:66" ht="20.100000000000001" customHeight="1" x14ac:dyDescent="0.25">
      <c r="A122"/>
      <c r="BN122" s="3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9" t="s">
        <v>54</v>
      </c>
      <c r="E127" s="29" t="s">
        <v>55</v>
      </c>
    </row>
    <row r="128" spans="1:66" ht="20.100000000000001" customHeight="1" x14ac:dyDescent="0.25">
      <c r="A128"/>
      <c r="D128" s="29" t="str" cm="1">
        <f t="array" ref="D128">Common_InputFunctions.Utility_DisplayArrayInTable(Common_SourceData.Common_SourceData_LeachingZones_Data(), Table_SourceData_LeachingZones[[#Headers],[Leaching Zone]], 0)</f>
        <v>Leaching occurs</v>
      </c>
      <c r="E128" s="2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9" t="str" cm="1">
        <f t="array" ref="D129">Common_InputFunctions.Utility_DisplayArrayInTable(Common_SourceData.Common_SourceData_LeachingZones_Data(), Table_SourceData_LeachingZones[[#Headers],[Leaching Zone]], 0)</f>
        <v>Leaching does not occur</v>
      </c>
      <c r="E129" s="2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1"/>
      <c r="BO138" s="31"/>
      <c r="BP138" s="31"/>
      <c r="BQ138" s="31"/>
      <c r="BR138" s="31"/>
      <c r="BS138" s="31"/>
      <c r="BT138" s="31"/>
      <c r="BU138" s="31"/>
      <c r="BV138" s="31"/>
      <c r="BW138" s="31"/>
      <c r="BX138" s="31"/>
      <c r="BY138" s="31"/>
    </row>
    <row r="139" spans="1:77" ht="20.100000000000001" customHeight="1" x14ac:dyDescent="0.25">
      <c r="A139"/>
      <c r="D139" s="2" t="str" cm="1">
        <f t="array" ref="D139">Common_SourceData.Common_SourceData_FracWETIrrigation_Title()</f>
        <v>FracWET for irrigation types</v>
      </c>
      <c r="BN139" s="31"/>
      <c r="BO139" s="31"/>
      <c r="BP139" s="31"/>
      <c r="BQ139" s="31"/>
      <c r="BR139" s="31"/>
      <c r="BS139" s="31"/>
      <c r="BT139" s="31"/>
      <c r="BU139" s="31"/>
      <c r="BV139" s="31"/>
      <c r="BW139" s="31"/>
      <c r="BX139" s="31"/>
      <c r="BY139" s="31"/>
    </row>
    <row r="140" spans="1:77" ht="20.100000000000001" customHeight="1" x14ac:dyDescent="0.25">
      <c r="A140"/>
      <c r="D140" s="27" t="str" cm="1">
        <f t="array" ref="D140">Common_SourceData.Common_SourceData_FracWETIrrigation_Source()</f>
        <v>VEERG 2026: Chapter 1, section 1.8.2 Leaching, climate and rainfall zones</v>
      </c>
      <c r="BN140" s="31"/>
      <c r="BO140" s="31"/>
      <c r="BP140" s="31"/>
      <c r="BQ140" s="31"/>
      <c r="BR140" s="31"/>
      <c r="BS140" s="31"/>
      <c r="BT140" s="31"/>
      <c r="BU140" s="31"/>
      <c r="BV140" s="31"/>
      <c r="BW140" s="31"/>
      <c r="BX140" s="31"/>
      <c r="BY140" s="31"/>
    </row>
    <row r="141" spans="1:77" ht="20.100000000000001" customHeight="1" x14ac:dyDescent="0.25">
      <c r="A141"/>
      <c r="D141" s="35" t="str" cm="1">
        <f t="array" ref="D141">Common_SourceData.Common_SourceData_FracWETIrrigation_Variation()</f>
        <v>VARIATION FROM SOURCE DATA: Table created based on VEERG text 'Areas are subject to leaching (i.e., in the leaching zone) when... the land is irrigated (except drip irrigation).'</v>
      </c>
      <c r="BN141" s="31"/>
    </row>
    <row r="142" spans="1:77" ht="20.100000000000001" customHeight="1" x14ac:dyDescent="0.25">
      <c r="A142"/>
      <c r="D142" s="29" t="s">
        <v>58</v>
      </c>
      <c r="E142" s="29" t="s">
        <v>57</v>
      </c>
      <c r="BN142" s="31"/>
    </row>
    <row r="143" spans="1:77" ht="20.100000000000001" customHeight="1" x14ac:dyDescent="0.25">
      <c r="A143"/>
      <c r="D143" s="29" t="str" cm="1">
        <f t="array" ref="D143">Common_InputFunctions.Utility_DisplayArrayInTable(Common_SourceData.Common_SourceData_FracWETIrrigation_Data(), Table_SourceData_FracWETIrrigation[[#Headers],[Irrigation type i]], 0)</f>
        <v>Not irrigated</v>
      </c>
      <c r="E143" s="29" cm="1">
        <f t="array" ref="E143">Common_InputFunctions.Utility_DisplayArrayInTable(Common_SourceData.Common_SourceData_FracWETIrrigation_Data(), Table_SourceData_FracWETIrrigation[[#Headers],[Irrigation type i]], 0)</f>
        <v>0</v>
      </c>
      <c r="BN143" s="3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9" cm="1">
        <f t="array" ref="E144">Common_InputFunctions.Utility_DisplayArrayInTable(Common_SourceData.Common_SourceData_FracWETIrrigation_Data(), Table_SourceData_FracWETIrrigation[[#Headers],[Irrigation type i]], 0)</f>
        <v>0</v>
      </c>
      <c r="BN144" s="3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9" cm="1">
        <f t="array" ref="E145">Common_InputFunctions.Utility_DisplayArrayInTable(Common_SourceData.Common_SourceData_FracWETIrrigation_Data(), Table_SourceData_FracWETIrrigation[[#Headers],[Irrigation type i]], 0)</f>
        <v>1</v>
      </c>
      <c r="BN145" s="3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9" cm="1">
        <f t="array" ref="E146">Common_InputFunctions.Utility_DisplayArrayInTable(Common_SourceData.Common_SourceData_FracWETIrrigation_Data(), Table_SourceData_FracWETIrrigation[[#Headers],[Irrigation type i]], 0)</f>
        <v>1</v>
      </c>
      <c r="BN146" s="3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9" cm="1">
        <f t="array" ref="E147">Common_InputFunctions.Utility_DisplayArrayInTable(Common_SourceData.Common_SourceData_FracWETIrrigation_Data(), Table_SourceData_FracWETIrrigation[[#Headers],[Irrigation type i]], 0)</f>
        <v>1</v>
      </c>
      <c r="BN147" s="31"/>
    </row>
    <row r="148" spans="1:66" ht="20.100000000000001" customHeight="1" x14ac:dyDescent="0.25">
      <c r="A148"/>
      <c r="BN148" s="31"/>
    </row>
    <row r="149" spans="1:66" ht="20.100000000000001" customHeight="1" x14ac:dyDescent="0.25">
      <c r="A149"/>
      <c r="BN149" s="31"/>
    </row>
    <row r="150" spans="1:66" ht="20.100000000000001" customHeight="1" x14ac:dyDescent="0.25">
      <c r="A150"/>
      <c r="D150" s="2" t="str" cm="1">
        <f t="array" ref="D150">Common_SourceData.Common_SourceData_DataScores_Scope3_Title()</f>
        <v>Australian data scores for scope 3</v>
      </c>
      <c r="BN150" s="31"/>
    </row>
    <row r="151" spans="1:66" ht="20.100000000000001" customHeight="1" x14ac:dyDescent="0.25">
      <c r="A151"/>
      <c r="D151" s="27" t="str" cm="1">
        <f t="array" ref="D151">Common_SourceData.Common_SourceData_DataScores_Scope3_Source()</f>
        <v>VEERG 2026: XXXXXXXX</v>
      </c>
      <c r="BN151" s="31"/>
    </row>
    <row r="152" spans="1:66" ht="20.100000000000001" customHeight="1" x14ac:dyDescent="0.25">
      <c r="A152"/>
      <c r="BN152" s="31"/>
    </row>
    <row r="153" spans="1:66" ht="20.100000000000001" customHeight="1" x14ac:dyDescent="0.25">
      <c r="A153"/>
      <c r="D153" s="29" t="s">
        <v>59</v>
      </c>
      <c r="E153" s="29" t="s">
        <v>60</v>
      </c>
      <c r="BC153" s="34"/>
      <c r="BD153" s="34"/>
      <c r="BE153" s="34"/>
      <c r="BF153" s="34"/>
      <c r="BG153" s="34"/>
      <c r="BH153" s="34"/>
      <c r="BI153" s="34"/>
      <c r="BJ153" s="34"/>
      <c r="BK153" s="34"/>
      <c r="BL153" s="34"/>
      <c r="BM153" s="34"/>
    </row>
    <row r="154" spans="1:66" ht="20.100000000000001" customHeight="1" x14ac:dyDescent="0.25">
      <c r="A154"/>
      <c r="D154" s="29" t="str" cm="1">
        <f t="array" ref="D154">Common_InputFunctions.Utility_DisplayArrayInTable(Common_SourceData.Common_SourceData_DataScores_Scope3_Data(), Table_SourceData_DataScores_Scope3[[#Headers],[Data source]], 0)</f>
        <v>International scope 3 database</v>
      </c>
      <c r="E154" s="29" cm="1">
        <f t="array" ref="E154">Common_InputFunctions.Utility_DisplayArrayInTable(Common_SourceData.Common_SourceData_DataScores_Scope3_Data(), Table_SourceData_DataScores_Scope3[[#Headers],[Data source]], 0)</f>
        <v>1</v>
      </c>
      <c r="BC154" s="34"/>
      <c r="BD154" s="34"/>
      <c r="BE154" s="34"/>
      <c r="BF154" s="34"/>
      <c r="BG154" s="34"/>
      <c r="BH154" s="34"/>
      <c r="BI154" s="34"/>
      <c r="BJ154" s="34"/>
      <c r="BK154" s="34"/>
      <c r="BL154" s="34"/>
      <c r="BM154" s="34"/>
    </row>
    <row r="155" spans="1:66" ht="20.100000000000001" customHeight="1" x14ac:dyDescent="0.25">
      <c r="A155"/>
      <c r="D155" s="29" t="str" cm="1">
        <f t="array" ref="D155">Common_InputFunctions.Utility_DisplayArrayInTable(Common_SourceData.Common_SourceData_DataScores_Scope3_Data(), Table_SourceData_DataScores_Scope3[[#Headers],[Data source]], 0)</f>
        <v>Australian scope 3 database</v>
      </c>
      <c r="E155" s="29" cm="1">
        <f t="array" ref="E155">Common_InputFunctions.Utility_DisplayArrayInTable(Common_SourceData.Common_SourceData_DataScores_Scope3_Data(), Table_SourceData_DataScores_Scope3[[#Headers],[Data source]], 0)</f>
        <v>2</v>
      </c>
      <c r="BC155" s="34"/>
      <c r="BD155" s="34"/>
      <c r="BE155" s="34"/>
      <c r="BF155" s="34"/>
      <c r="BG155" s="34"/>
      <c r="BH155" s="34"/>
      <c r="BI155" s="34"/>
      <c r="BJ155" s="34"/>
      <c r="BK155" s="34"/>
      <c r="BL155" s="34"/>
      <c r="BM155" s="34"/>
    </row>
    <row r="156" spans="1:66" ht="20.100000000000001" customHeight="1" x14ac:dyDescent="0.25">
      <c r="A156"/>
      <c r="D156" s="29" t="str" cm="1">
        <f t="array" ref="D156">Common_InputFunctions.Utility_DisplayArrayInTable(Common_SourceData.Common_SourceData_DataScores_Scope3_Data(), Table_SourceData_DataScores_Scope3[[#Headers],[Data source]], 0)</f>
        <v>State or regional scope 3 database</v>
      </c>
      <c r="E156" s="2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9" t="str" cm="1">
        <f t="array" ref="D157">Common_InputFunctions.Utility_DisplayArrayInTable(Common_SourceData.Common_SourceData_DataScores_Scope3_Data(), Table_SourceData_DataScores_Scope3[[#Headers],[Data source]], 0)</f>
        <v>Emissions intensity calculated from approved method</v>
      </c>
      <c r="E157" s="2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9" t="str" cm="1">
        <f t="array" ref="D158">Common_InputFunctions.Utility_DisplayArrayInTable(Common_SourceData.Common_SourceData_DataScores_Scope3_Data(), Table_SourceData_DataScores_Scope3[[#Headers],[Data source]], 0)</f>
        <v>Verified credential matching ISO14067</v>
      </c>
      <c r="E158" s="2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1"/>
      <c r="BO165" s="31"/>
      <c r="BP165" s="31"/>
    </row>
    <row r="166" spans="4:68" ht="20.100000000000001" customHeight="1" x14ac:dyDescent="0.25">
      <c r="BN166" s="31"/>
      <c r="BO166" s="31"/>
      <c r="BP166" s="31"/>
    </row>
    <row r="167" spans="4:68" ht="20.100000000000001" customHeight="1" x14ac:dyDescent="0.25">
      <c r="D167" s="2" t="str" cm="1">
        <f t="array" ref="D167">Common_SourceData.Common_SourceData_EFleach_Title()</f>
        <v>Emission factor for nitrogen leaching and runoff</v>
      </c>
      <c r="BN167" s="31"/>
      <c r="BO167" s="31"/>
      <c r="BP167" s="31"/>
    </row>
    <row r="168" spans="4:68" ht="20.100000000000001" customHeight="1" x14ac:dyDescent="0.25">
      <c r="D168" s="27" t="str" cm="1">
        <f t="array" ref="D168">Common_SourceData.Common_SourceData_EFleach_Source()</f>
        <v>VEERG 2026:5.5.2.3 Constant Parameters</v>
      </c>
      <c r="BN168" s="31"/>
      <c r="BO168" s="31"/>
      <c r="BP168" s="31"/>
    </row>
    <row r="169" spans="4:68" ht="20.100000000000001" customHeight="1" x14ac:dyDescent="0.25">
      <c r="D169" s="27" t="str" cm="1">
        <f t="array" ref="D169">Common_SourceData.Common_SourceData_EFleach_NIRReference()</f>
        <v>National Inventory Report Volume 1: Equation 3.D.B_10</v>
      </c>
      <c r="BN169" s="31"/>
      <c r="BO169" s="31"/>
      <c r="BP169" s="31"/>
    </row>
    <row r="170" spans="4:68" ht="20.100000000000001" customHeight="1" x14ac:dyDescent="0.25">
      <c r="D170" s="1" t="str" cm="1">
        <f t="array" ref="D170:E170">Common_SourceData.Common_SourceData_EFleach_Data()</f>
        <v>EFleach</v>
      </c>
      <c r="E170" s="1">
        <v>1.0999999999999999E-2</v>
      </c>
      <c r="BN170" s="31"/>
      <c r="BO170" s="31"/>
      <c r="BP170" s="31"/>
    </row>
    <row r="171" spans="4:68" ht="20.100000000000001" customHeight="1" x14ac:dyDescent="0.25">
      <c r="BN171" s="31"/>
      <c r="BO171" s="31"/>
      <c r="BP171" s="31"/>
    </row>
    <row r="172" spans="4:68" ht="20.100000000000001" customHeight="1" x14ac:dyDescent="0.25">
      <c r="BN172" s="31"/>
      <c r="BO172" s="31"/>
      <c r="BP172" s="31"/>
    </row>
    <row r="173" spans="4:68" ht="20.100000000000001" customHeight="1" x14ac:dyDescent="0.25">
      <c r="D173" s="2" t="str" cm="1">
        <f t="array" ref="D173">Common_SourceData.Common_SourceData_DensityOfMethane_Title()</f>
        <v>p = density of methane</v>
      </c>
      <c r="BN173" s="31"/>
      <c r="BO173" s="31"/>
      <c r="BP173" s="31"/>
    </row>
    <row r="174" spans="4:68" ht="20.100000000000001" customHeight="1" x14ac:dyDescent="0.25">
      <c r="D174" s="27" t="str" cm="1">
        <f t="array" ref="D174">Common_SourceData.Common_SourceData_DensityOfMethane_Source()</f>
        <v>National Inventory Report 2023 Volume 1: Equations 3.B.1a_2, 3.B.1c_2, 3.B.3_1, 3.B.4g_2</v>
      </c>
      <c r="BN174" s="31"/>
      <c r="BO174" s="31"/>
      <c r="BP174" s="31"/>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1"/>
      <c r="BO175" s="31"/>
      <c r="BP175" s="31"/>
    </row>
    <row r="176" spans="4:68" ht="20.100000000000001" customHeight="1" x14ac:dyDescent="0.25">
      <c r="BN176" s="31"/>
      <c r="BO176" s="31"/>
      <c r="BP176" s="31"/>
    </row>
    <row r="177" spans="4:68" ht="20.100000000000001" customHeight="1" x14ac:dyDescent="0.25">
      <c r="BN177" s="31"/>
      <c r="BO177" s="31"/>
      <c r="BP177" s="31"/>
    </row>
    <row r="178" spans="4:68" ht="20.100000000000001" customHeight="1" x14ac:dyDescent="0.25">
      <c r="D178" s="2" t="str" cm="1">
        <f t="array" ref="D178">Common_SourceData.Common_SourceData_EFN2O_Title()</f>
        <v>Nitrous oxide emission factors for inorganic fertiliser application</v>
      </c>
      <c r="BN178" s="31"/>
      <c r="BO178" s="31"/>
      <c r="BP178" s="31"/>
    </row>
    <row r="179" spans="4:68" ht="20.100000000000001" customHeight="1" x14ac:dyDescent="0.25">
      <c r="D179" s="27" t="str" cm="1">
        <f t="array" ref="D179">Common_SourceData.Common_SourceData_EFN2O_Source()</f>
        <v>VEERG 2026: Table A.2.2.1</v>
      </c>
      <c r="BN179" s="31"/>
      <c r="BO179" s="31"/>
      <c r="BP179" s="31"/>
    </row>
    <row r="180" spans="4:68" ht="20.100000000000001" customHeight="1" x14ac:dyDescent="0.25">
      <c r="D180" s="15" t="str" cm="1">
        <f t="array" ref="D180">Common_SourceData.Common_SourceData_EFN2O_Unit()</f>
        <v>(kg N2O-N / kg N</v>
      </c>
    </row>
    <row r="181" spans="4:68" ht="20.100000000000001" customHeight="1" x14ac:dyDescent="0.25">
      <c r="D181" s="35" t="str" cm="1">
        <f t="array" ref="D181:D185">Common_SourceData.Common_SourceData_EFN2O_Variation()</f>
        <v>VARIATION OF SOURCE DATA:</v>
      </c>
    </row>
    <row r="182" spans="4:68" ht="20.100000000000001" customHeight="1" x14ac:dyDescent="0.25">
      <c r="D182" s="35" t="str">
        <v>Removed duplicate 'Aquaculture' row.</v>
      </c>
    </row>
    <row r="183" spans="4:68" ht="20.100000000000001" customHeight="1" x14ac:dyDescent="0.25">
      <c r="D183" s="35" t="str">
        <v>Removed asterisks to aid lookup.</v>
      </c>
    </row>
    <row r="184" spans="4:68" ht="20.100000000000001" customHeight="1" x14ac:dyDescent="0.25">
      <c r="D184" s="35" t="str">
        <v>Added 'production system only', 'rainfall zone' and 'irrigation method' columns to aid lookup.</v>
      </c>
    </row>
    <row r="185" spans="4:68" ht="20.100000000000001" customHeight="1" x14ac:dyDescent="0.25">
      <c r="D185" s="35" t="str">
        <v>Duplicated 'non-irrigated pasture' row with same EF for low and high rainfall zones to aid lookup.</v>
      </c>
    </row>
    <row r="186" spans="4:68" ht="20.100000000000001" customHeight="1" x14ac:dyDescent="0.25">
      <c r="D186" s="29" t="s">
        <v>61</v>
      </c>
      <c r="E186" s="29" t="s">
        <v>62</v>
      </c>
      <c r="F186" s="29" t="s">
        <v>63</v>
      </c>
      <c r="G186" s="29" t="s">
        <v>64</v>
      </c>
      <c r="H186" s="29" t="s">
        <v>65</v>
      </c>
    </row>
    <row r="187" spans="4:68" ht="20.100000000000001" customHeight="1" x14ac:dyDescent="0.25">
      <c r="D187" s="29" t="str" cm="1">
        <f t="array" ref="D187">Common_InputFunctions.Utility_DisplayArrayInTable(Common_SourceData.Common_SourceData_EFN2O_Data(), Table_SourceData_Common_EFN2O[[#Headers],[Production system j]], 0)</f>
        <v>Irrigated pasture</v>
      </c>
      <c r="E187" s="29" cm="1">
        <f t="array" ref="E187">Common_InputFunctions.Utility_DisplayArrayInTable(Common_SourceData.Common_SourceData_EFN2O_Data(), Table_SourceData_Common_EFN2O[[#Headers],[Production system j]], 0)</f>
        <v>5.8999999999999999E-3</v>
      </c>
      <c r="F187" s="29" t="str" cm="1">
        <f t="array" ref="F187">Common_InputFunctions.Utility_DisplayArrayInTable(Common_SourceData.Common_SourceData_EFN2O_Data(), Table_SourceData_Common_EFN2O[[#Headers],[Production system j]], 0)</f>
        <v>Pasture</v>
      </c>
      <c r="G187" s="29" t="str" cm="1">
        <f t="array" ref="G187">Common_InputFunctions.Utility_DisplayArrayInTable(Common_SourceData.Common_SourceData_EFN2O_Data(), Table_SourceData_Common_EFN2O[[#Headers],[Production system j]], 0)</f>
        <v>Any</v>
      </c>
      <c r="H187" s="29" t="str" cm="1">
        <f t="array" ref="H187">Common_InputFunctions.Utility_DisplayArrayInTable(Common_SourceData.Common_SourceData_EFN2O_Data(), Table_SourceData_Common_EFN2O[[#Headers],[Production system j]], 0)</f>
        <v>Any</v>
      </c>
    </row>
    <row r="188" spans="4:68" ht="20.100000000000001" customHeight="1" x14ac:dyDescent="0.25">
      <c r="D188" s="29" t="str" cm="1">
        <f t="array" ref="D188">Common_InputFunctions.Utility_DisplayArrayInTable(Common_SourceData.Common_SourceData_EFN2O_Data(), Table_SourceData_Common_EFN2O[[#Headers],[Production system j]], 0)</f>
        <v>Irrigated crop</v>
      </c>
      <c r="E188" s="29" cm="1">
        <f t="array" ref="E188">Common_InputFunctions.Utility_DisplayArrayInTable(Common_SourceData.Common_SourceData_EFN2O_Data(), Table_SourceData_Common_EFN2O[[#Headers],[Production system j]], 0)</f>
        <v>7.0000000000000001E-3</v>
      </c>
      <c r="F188" s="29" t="str" cm="1">
        <f t="array" ref="F188">Common_InputFunctions.Utility_DisplayArrayInTable(Common_SourceData.Common_SourceData_EFN2O_Data(), Table_SourceData_Common_EFN2O[[#Headers],[Production system j]], 0)</f>
        <v>Crop</v>
      </c>
      <c r="G188" s="29" t="str" cm="1">
        <f t="array" ref="G188">Common_InputFunctions.Utility_DisplayArrayInTable(Common_SourceData.Common_SourceData_EFN2O_Data(), Table_SourceData_Common_EFN2O[[#Headers],[Production system j]], 0)</f>
        <v>Any</v>
      </c>
      <c r="H188" s="29" t="str" cm="1">
        <f t="array" ref="H188">Common_InputFunctions.Utility_DisplayArrayInTable(Common_SourceData.Common_SourceData_EFN2O_Data(), Table_SourceData_Common_EFN2O[[#Headers],[Production system j]], 0)</f>
        <v>Any</v>
      </c>
    </row>
    <row r="189" spans="4:68" ht="20.100000000000001" customHeight="1" x14ac:dyDescent="0.25">
      <c r="D189" s="29" t="str" cm="1">
        <f t="array" ref="D189">Common_InputFunctions.Utility_DisplayArrayInTable(Common_SourceData.Common_SourceData_EFN2O_Data(), Table_SourceData_Common_EFN2O[[#Headers],[Production system j]], 0)</f>
        <v>Non-irrigated pasture</v>
      </c>
      <c r="E189" s="29" cm="1">
        <f t="array" ref="E189">Common_InputFunctions.Utility_DisplayArrayInTable(Common_SourceData.Common_SourceData_EFN2O_Data(), Table_SourceData_Common_EFN2O[[#Headers],[Production system j]], 0)</f>
        <v>1.8E-3</v>
      </c>
      <c r="F189" s="29" t="str" cm="1">
        <f t="array" ref="F189">Common_InputFunctions.Utility_DisplayArrayInTable(Common_SourceData.Common_SourceData_EFN2O_Data(), Table_SourceData_Common_EFN2O[[#Headers],[Production system j]], 0)</f>
        <v>Pasture</v>
      </c>
      <c r="G189" s="29" t="str" cm="1">
        <f t="array" ref="G189">Common_InputFunctions.Utility_DisplayArrayInTable(Common_SourceData.Common_SourceData_EFN2O_Data(), Table_SourceData_Common_EFN2O[[#Headers],[Production system j]], 0)</f>
        <v>Not irrigated</v>
      </c>
      <c r="H189" s="2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9" t="str" cm="1">
        <f t="array" ref="D190">Common_InputFunctions.Utility_DisplayArrayInTable(Common_SourceData.Common_SourceData_EFN2O_Data(), Table_SourceData_Common_EFN2O[[#Headers],[Production system j]], 0)</f>
        <v>Non-irrigated pasture</v>
      </c>
      <c r="E190" s="29" cm="1">
        <f t="array" ref="E190">Common_InputFunctions.Utility_DisplayArrayInTable(Common_SourceData.Common_SourceData_EFN2O_Data(), Table_SourceData_Common_EFN2O[[#Headers],[Production system j]], 0)</f>
        <v>1.8E-3</v>
      </c>
      <c r="F190" s="29" t="str" cm="1">
        <f t="array" ref="F190">Common_InputFunctions.Utility_DisplayArrayInTable(Common_SourceData.Common_SourceData_EFN2O_Data(), Table_SourceData_Common_EFN2O[[#Headers],[Production system j]], 0)</f>
        <v>Pasture</v>
      </c>
      <c r="G190" s="29" t="str" cm="1">
        <f t="array" ref="G190">Common_InputFunctions.Utility_DisplayArrayInTable(Common_SourceData.Common_SourceData_EFN2O_Data(), Table_SourceData_Common_EFN2O[[#Headers],[Production system j]], 0)</f>
        <v>Not irrigated</v>
      </c>
      <c r="H190" s="2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9" t="str" cm="1">
        <f t="array" ref="D191">Common_InputFunctions.Utility_DisplayArrayInTable(Common_SourceData.Common_SourceData_EFN2O_Data(), Table_SourceData_Common_EFN2O[[#Headers],[Production system j]], 0)</f>
        <v>Non-irrigated crop (low rainfall)</v>
      </c>
      <c r="E191" s="29" cm="1">
        <f t="array" ref="E191">Common_InputFunctions.Utility_DisplayArrayInTable(Common_SourceData.Common_SourceData_EFN2O_Data(), Table_SourceData_Common_EFN2O[[#Headers],[Production system j]], 0)</f>
        <v>2.8999999999999998E-3</v>
      </c>
      <c r="F191" s="29" t="str" cm="1">
        <f t="array" ref="F191">Common_InputFunctions.Utility_DisplayArrayInTable(Common_SourceData.Common_SourceData_EFN2O_Data(), Table_SourceData_Common_EFN2O[[#Headers],[Production system j]], 0)</f>
        <v>Crop</v>
      </c>
      <c r="G191" s="29" t="str" cm="1">
        <f t="array" ref="G191">Common_InputFunctions.Utility_DisplayArrayInTable(Common_SourceData.Common_SourceData_EFN2O_Data(), Table_SourceData_Common_EFN2O[[#Headers],[Production system j]], 0)</f>
        <v>Not irrigated</v>
      </c>
      <c r="H191" s="2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9" t="str" cm="1">
        <f t="array" ref="D192">Common_InputFunctions.Utility_DisplayArrayInTable(Common_SourceData.Common_SourceData_EFN2O_Data(), Table_SourceData_Common_EFN2O[[#Headers],[Production system j]], 0)</f>
        <v>Non-irrigated crop (high rainfall)</v>
      </c>
      <c r="E192" s="29" cm="1">
        <f t="array" ref="E192">Common_InputFunctions.Utility_DisplayArrayInTable(Common_SourceData.Common_SourceData_EFN2O_Data(), Table_SourceData_Common_EFN2O[[#Headers],[Production system j]], 0)</f>
        <v>8.0000000000000002E-3</v>
      </c>
      <c r="F192" s="29" t="str" cm="1">
        <f t="array" ref="F192">Common_InputFunctions.Utility_DisplayArrayInTable(Common_SourceData.Common_SourceData_EFN2O_Data(), Table_SourceData_Common_EFN2O[[#Headers],[Production system j]], 0)</f>
        <v>Crop</v>
      </c>
      <c r="G192" s="29" t="str" cm="1">
        <f t="array" ref="G192">Common_InputFunctions.Utility_DisplayArrayInTable(Common_SourceData.Common_SourceData_EFN2O_Data(), Table_SourceData_Common_EFN2O[[#Headers],[Production system j]], 0)</f>
        <v>Not irrigated</v>
      </c>
      <c r="H192" s="2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9" t="str" cm="1">
        <f t="array" ref="D193">Common_InputFunctions.Utility_DisplayArrayInTable(Common_SourceData.Common_SourceData_EFN2O_Data(), Table_SourceData_Common_EFN2O[[#Headers],[Production system j]], 0)</f>
        <v>Sugar</v>
      </c>
      <c r="E193" s="29" cm="1">
        <f t="array" ref="E193">Common_InputFunctions.Utility_DisplayArrayInTable(Common_SourceData.Common_SourceData_EFN2O_Data(), Table_SourceData_Common_EFN2O[[#Headers],[Production system j]], 0)</f>
        <v>1.9900000000000001E-2</v>
      </c>
      <c r="F193" s="29" t="str" cm="1">
        <f t="array" ref="F193">Common_InputFunctions.Utility_DisplayArrayInTable(Common_SourceData.Common_SourceData_EFN2O_Data(), Table_SourceData_Common_EFN2O[[#Headers],[Production system j]], 0)</f>
        <v>Sugar</v>
      </c>
      <c r="G193" s="29" t="str" cm="1">
        <f t="array" ref="G193">Common_InputFunctions.Utility_DisplayArrayInTable(Common_SourceData.Common_SourceData_EFN2O_Data(), Table_SourceData_Common_EFN2O[[#Headers],[Production system j]], 0)</f>
        <v>Any</v>
      </c>
      <c r="H193" s="29" t="str" cm="1">
        <f t="array" ref="H193">Common_InputFunctions.Utility_DisplayArrayInTable(Common_SourceData.Common_SourceData_EFN2O_Data(), Table_SourceData_Common_EFN2O[[#Headers],[Production system j]], 0)</f>
        <v>Any</v>
      </c>
    </row>
    <row r="194" spans="4:8" ht="20.100000000000001" customHeight="1" x14ac:dyDescent="0.25">
      <c r="D194" s="29" t="str" cm="1">
        <f t="array" ref="D194">Common_InputFunctions.Utility_DisplayArrayInTable(Common_SourceData.Common_SourceData_EFN2O_Data(), Table_SourceData_Common_EFN2O[[#Headers],[Production system j]], 0)</f>
        <v>Cotton</v>
      </c>
      <c r="E194" s="29" cm="1">
        <f t="array" ref="E194">Common_InputFunctions.Utility_DisplayArrayInTable(Common_SourceData.Common_SourceData_EFN2O_Data(), Table_SourceData_Common_EFN2O[[#Headers],[Production system j]], 0)</f>
        <v>5.3E-3</v>
      </c>
      <c r="F194" s="29" t="str" cm="1">
        <f t="array" ref="F194">Common_InputFunctions.Utility_DisplayArrayInTable(Common_SourceData.Common_SourceData_EFN2O_Data(), Table_SourceData_Common_EFN2O[[#Headers],[Production system j]], 0)</f>
        <v>Cotton</v>
      </c>
      <c r="G194" s="29" t="str" cm="1">
        <f t="array" ref="G194">Common_InputFunctions.Utility_DisplayArrayInTable(Common_SourceData.Common_SourceData_EFN2O_Data(), Table_SourceData_Common_EFN2O[[#Headers],[Production system j]], 0)</f>
        <v>Any</v>
      </c>
      <c r="H194" s="29" t="str" cm="1">
        <f t="array" ref="H194">Common_InputFunctions.Utility_DisplayArrayInTable(Common_SourceData.Common_SourceData_EFN2O_Data(), Table_SourceData_Common_EFN2O[[#Headers],[Production system j]], 0)</f>
        <v>Any</v>
      </c>
    </row>
    <row r="195" spans="4:8" ht="20.100000000000001" customHeight="1" x14ac:dyDescent="0.25">
      <c r="D195" s="29" t="str" cm="1">
        <f t="array" ref="D195">Common_InputFunctions.Utility_DisplayArrayInTable(Common_SourceData.Common_SourceData_EFN2O_Data(), Table_SourceData_Common_EFN2O[[#Headers],[Production system j]], 0)</f>
        <v>Horticultural crops</v>
      </c>
      <c r="E195" s="29" cm="1">
        <f t="array" ref="E195">Common_InputFunctions.Utility_DisplayArrayInTable(Common_SourceData.Common_SourceData_EFN2O_Data(), Table_SourceData_Common_EFN2O[[#Headers],[Production system j]], 0)</f>
        <v>6.4000000000000003E-3</v>
      </c>
      <c r="F195" s="29" t="str" cm="1">
        <f t="array" ref="F195">Common_InputFunctions.Utility_DisplayArrayInTable(Common_SourceData.Common_SourceData_EFN2O_Data(), Table_SourceData_Common_EFN2O[[#Headers],[Production system j]], 0)</f>
        <v>Horticultural crops</v>
      </c>
      <c r="G195" s="29" t="str" cm="1">
        <f t="array" ref="G195">Common_InputFunctions.Utility_DisplayArrayInTable(Common_SourceData.Common_SourceData_EFN2O_Data(), Table_SourceData_Common_EFN2O[[#Headers],[Production system j]], 0)</f>
        <v>Any</v>
      </c>
      <c r="H195" s="29" t="str" cm="1">
        <f t="array" ref="H195">Common_InputFunctions.Utility_DisplayArrayInTable(Common_SourceData.Common_SourceData_EFN2O_Data(), Table_SourceData_Common_EFN2O[[#Headers],[Production system j]], 0)</f>
        <v>Any</v>
      </c>
    </row>
    <row r="196" spans="4:8" ht="20.100000000000001" customHeight="1" x14ac:dyDescent="0.25">
      <c r="D196" s="29" t="str" cm="1">
        <f t="array" ref="D196">Common_InputFunctions.Utility_DisplayArrayInTable(Common_SourceData.Common_SourceData_EFN2O_Data(), Table_SourceData_Common_EFN2O[[#Headers],[Production system j]], 0)</f>
        <v>Rice (continuous flooding)</v>
      </c>
      <c r="E196" s="29" cm="1">
        <f t="array" ref="E196">Common_InputFunctions.Utility_DisplayArrayInTable(Common_SourceData.Common_SourceData_EFN2O_Data(), Table_SourceData_Common_EFN2O[[#Headers],[Production system j]], 0)</f>
        <v>3.0000000000000001E-3</v>
      </c>
      <c r="F196" s="29" t="str" cm="1">
        <f t="array" ref="F196">Common_InputFunctions.Utility_DisplayArrayInTable(Common_SourceData.Common_SourceData_EFN2O_Data(), Table_SourceData_Common_EFN2O[[#Headers],[Production system j]], 0)</f>
        <v>Rice</v>
      </c>
      <c r="G196" s="29" t="str" cm="1">
        <f t="array" ref="G196">Common_InputFunctions.Utility_DisplayArrayInTable(Common_SourceData.Common_SourceData_EFN2O_Data(), Table_SourceData_Common_EFN2O[[#Headers],[Production system j]], 0)</f>
        <v>Continuous flooding</v>
      </c>
      <c r="H196" s="29" t="str" cm="1">
        <f t="array" ref="H196">Common_InputFunctions.Utility_DisplayArrayInTable(Common_SourceData.Common_SourceData_EFN2O_Data(), Table_SourceData_Common_EFN2O[[#Headers],[Production system j]], 0)</f>
        <v>Any</v>
      </c>
    </row>
    <row r="197" spans="4:8" x14ac:dyDescent="0.25">
      <c r="D197" s="29" t="str" cm="1">
        <f t="array" ref="D197">Common_InputFunctions.Utility_DisplayArrayInTable(Common_SourceData.Common_SourceData_EFN2O_Data(), Table_SourceData_Common_EFN2O[[#Headers],[Production system j]], 0)</f>
        <v>Rice (single and multiple drainage, or alternate wetting and drying)</v>
      </c>
      <c r="E197" s="29" cm="1">
        <f t="array" ref="E197">Common_InputFunctions.Utility_DisplayArrayInTable(Common_SourceData.Common_SourceData_EFN2O_Data(), Table_SourceData_Common_EFN2O[[#Headers],[Production system j]], 0)</f>
        <v>5.0000000000000001E-3</v>
      </c>
      <c r="F197" s="29" t="str" cm="1">
        <f t="array" ref="F197">Common_InputFunctions.Utility_DisplayArrayInTable(Common_SourceData.Common_SourceData_EFN2O_Data(), Table_SourceData_Common_EFN2O[[#Headers],[Production system j]], 0)</f>
        <v>Rice</v>
      </c>
      <c r="G197" s="29" t="str" cm="1">
        <f t="array" ref="G197">Common_InputFunctions.Utility_DisplayArrayInTable(Common_SourceData.Common_SourceData_EFN2O_Data(), Table_SourceData_Common_EFN2O[[#Headers],[Production system j]], 0)</f>
        <v>Single and multiple drainage, or alternate wetting and drying</v>
      </c>
      <c r="H197" s="29" t="str" cm="1">
        <f t="array" ref="H197">Common_InputFunctions.Utility_DisplayArrayInTable(Common_SourceData.Common_SourceData_EFN2O_Data(), Table_SourceData_Common_EFN2O[[#Headers],[Production system j]], 0)</f>
        <v>Any</v>
      </c>
    </row>
    <row r="198" spans="4:8" x14ac:dyDescent="0.25">
      <c r="D198" s="29" t="str" cm="1">
        <f t="array" ref="D198">Common_InputFunctions.Utility_DisplayArrayInTable(Common_SourceData.Common_SourceData_EFN2O_Data(), Table_SourceData_Common_EFN2O[[#Headers],[Production system j]], 0)</f>
        <v>Aquaculture</v>
      </c>
      <c r="E198" s="29" cm="1">
        <f t="array" ref="E198">Common_InputFunctions.Utility_DisplayArrayInTable(Common_SourceData.Common_SourceData_EFN2O_Data(), Table_SourceData_Common_EFN2O[[#Headers],[Production system j]], 0)</f>
        <v>2.5999999999999999E-3</v>
      </c>
      <c r="F198" s="29" t="str" cm="1">
        <f t="array" ref="F198">Common_InputFunctions.Utility_DisplayArrayInTable(Common_SourceData.Common_SourceData_EFN2O_Data(), Table_SourceData_Common_EFN2O[[#Headers],[Production system j]], 0)</f>
        <v>Aquaculture</v>
      </c>
      <c r="G198" s="29" t="str" cm="1">
        <f t="array" ref="G198">Common_InputFunctions.Utility_DisplayArrayInTable(Common_SourceData.Common_SourceData_EFN2O_Data(), Table_SourceData_Common_EFN2O[[#Headers],[Production system j]], 0)</f>
        <v>Any</v>
      </c>
      <c r="H198" s="29" t="str" cm="1">
        <f t="array" ref="H198">Common_InputFunctions.Utility_DisplayArrayInTable(Common_SourceData.Common_SourceData_EFN2O_Data(), Table_SourceData_Common_EFN2O[[#Headers],[Production system j]], 0)</f>
        <v>Any</v>
      </c>
    </row>
    <row r="199" spans="4:8" x14ac:dyDescent="0.25">
      <c r="D199" s="29" t="str" cm="1">
        <f t="array" ref="D199">Common_InputFunctions.Utility_DisplayArrayInTable(Common_SourceData.Common_SourceData_EFN2O_Data(), Table_SourceData_Common_EFN2O[[#Headers],[Production system j]], 0)</f>
        <v>Forestry</v>
      </c>
      <c r="E199" s="29" cm="1">
        <f t="array" ref="E199">Common_InputFunctions.Utility_DisplayArrayInTable(Common_SourceData.Common_SourceData_EFN2O_Data(), Table_SourceData_Common_EFN2O[[#Headers],[Production system j]], 0)</f>
        <v>1.8E-3</v>
      </c>
      <c r="F199" s="29" t="str" cm="1">
        <f t="array" ref="F199">Common_InputFunctions.Utility_DisplayArrayInTable(Common_SourceData.Common_SourceData_EFN2O_Data(), Table_SourceData_Common_EFN2O[[#Headers],[Production system j]], 0)</f>
        <v>Forestry</v>
      </c>
      <c r="G199" s="29" t="str" cm="1">
        <f t="array" ref="G199">Common_InputFunctions.Utility_DisplayArrayInTable(Common_SourceData.Common_SourceData_EFN2O_Data(), Table_SourceData_Common_EFN2O[[#Headers],[Production system j]], 0)</f>
        <v>Any</v>
      </c>
      <c r="H199" s="2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5"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29" t="s">
        <v>32</v>
      </c>
      <c r="E206" s="29" t="s">
        <v>66</v>
      </c>
    </row>
    <row r="207" spans="4:8" x14ac:dyDescent="0.25">
      <c r="D207" s="29" t="str" cm="1">
        <f t="array" ref="D207">Common_InputFunctions.Utility_DisplayArrayInTable(Common_SourceData.Common_SourceData_EFPastureRangeAndPaddock_Data(), Table_SourceData_EFPastureRangeAndPaddock[[#Headers],[Climate zone]], 0)</f>
        <v>Wet climate zone</v>
      </c>
      <c r="E207" s="2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9" t="s">
        <v>67</v>
      </c>
      <c r="E212" s="29" t="s">
        <v>68</v>
      </c>
    </row>
    <row r="213" spans="4:5" x14ac:dyDescent="0.25">
      <c r="D213" s="29" t="str" cm="1">
        <f t="array" ref="D213">Common_InputFunctions.Utility_DisplayArrayInTable(Common_SourceData.Common_SourceData_MonthsToSeasons_Data(), Table_SourceData_Common_MonthToSeason[[#Headers],[Month]], 0)</f>
        <v>January</v>
      </c>
      <c r="E213" s="2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9" t="s">
        <v>69</v>
      </c>
      <c r="E231" s="29" t="s">
        <v>70</v>
      </c>
      <c r="F231" s="36" t="s">
        <v>71</v>
      </c>
      <c r="G231" s="29" t="s">
        <v>72</v>
      </c>
      <c r="H231" s="29" t="s">
        <v>73</v>
      </c>
      <c r="I231" s="29" t="s">
        <v>74</v>
      </c>
      <c r="J231" s="29" t="s">
        <v>75</v>
      </c>
      <c r="K231" s="29" t="s">
        <v>76</v>
      </c>
      <c r="L231" s="29" t="s">
        <v>77</v>
      </c>
      <c r="M231" s="29" t="s">
        <v>78</v>
      </c>
      <c r="N231" s="29" t="s">
        <v>79</v>
      </c>
      <c r="O231" s="29" t="s">
        <v>80</v>
      </c>
      <c r="P231" s="29" t="s">
        <v>81</v>
      </c>
      <c r="Q231" s="29" t="s">
        <v>82</v>
      </c>
      <c r="R231" s="29" t="s">
        <v>83</v>
      </c>
      <c r="S231" s="29" t="s">
        <v>84</v>
      </c>
    </row>
    <row r="232" spans="4:19" x14ac:dyDescent="0.25">
      <c r="D232" s="29" t="str" cm="1">
        <f t="array" ref="D232">Common_InputFunctions.Utility_DisplayArrayInTable(Common_SourceData.Common_SourceData_MCFTemperatureZone_Data(),Table_SourceData_Common_MCFTemperatureZone[[#Headers],[Temperature zone]],0)</f>
        <v>Cool</v>
      </c>
      <c r="E232" s="29" t="str" cm="1">
        <f t="array" ref="E232">Common_InputFunctions.Utility_DisplayArrayInTable(Common_SourceData.Common_SourceData_MCFTemperatureZone_Data(),Table_SourceData_Common_MCFTemperatureZone[[#Headers],[Temperature zone]],0)</f>
        <v>≤10</v>
      </c>
      <c r="F232" s="29" cm="1">
        <f t="array" ref="F232">Common_InputFunctions.Utility_DisplayArrayInTable(Common_SourceData.Common_SourceData_MCFTemperatureZone_Data(),Table_SourceData_Common_MCFTemperatureZone[[#Headers],[Temperature zone]],0)</f>
        <v>0.66</v>
      </c>
      <c r="G232" s="29" cm="1">
        <f t="array" ref="G232">Common_InputFunctions.Utility_DisplayArrayInTable(Common_SourceData.Common_SourceData_MCFTemperatureZone_Data(),Table_SourceData_Common_MCFTemperatureZone[[#Headers],[Temperature zone]],0)</f>
        <v>0.1</v>
      </c>
      <c r="H232" s="29" cm="1">
        <f t="array" ref="H232">Common_InputFunctions.Utility_DisplayArrayInTable(Common_SourceData.Common_SourceData_MCFTemperatureZone_Data(),Table_SourceData_Common_MCFTemperatureZone[[#Headers],[Temperature zone]],0)</f>
        <v>0.1</v>
      </c>
      <c r="I232" s="29" cm="1">
        <f t="array" ref="I232">Common_InputFunctions.Utility_DisplayArrayInTable(Common_SourceData.Common_SourceData_MCFTemperatureZone_Data(),Table_SourceData_Common_MCFTemperatureZone[[#Headers],[Temperature zone]],0)</f>
        <v>1E-3</v>
      </c>
      <c r="J232" s="29" cm="1">
        <f t="array" ref="J232">Common_InputFunctions.Utility_DisplayArrayInTable(Common_SourceData.Common_SourceData_MCFTemperatureZone_Data(),Table_SourceData_Common_MCFTemperatureZone[[#Headers],[Temperature zone]],0)</f>
        <v>5.0000000000000001E-3</v>
      </c>
      <c r="K232" s="29" cm="1">
        <f t="array" ref="K232">Common_InputFunctions.Utility_DisplayArrayInTable(Common_SourceData.Common_SourceData_MCFTemperatureZone_Data(),Table_SourceData_Common_MCFTemperatureZone[[#Headers],[Temperature zone]],0)</f>
        <v>0.02</v>
      </c>
      <c r="L232" s="29" cm="1">
        <f t="array" ref="L232">Common_InputFunctions.Utility_DisplayArrayInTable(Common_SourceData.Common_SourceData_MCFTemperatureZone_Data(),Table_SourceData_Common_MCFTemperatureZone[[#Headers],[Temperature zone]],0)</f>
        <v>0.03</v>
      </c>
      <c r="M232" s="29" cm="1">
        <f t="array" ref="M232">Common_InputFunctions.Utility_DisplayArrayInTable(Common_SourceData.Common_SourceData_MCFTemperatureZone_Data(),Table_SourceData_Common_MCFTemperatureZone[[#Headers],[Temperature zone]],0)</f>
        <v>0.04</v>
      </c>
      <c r="N232" s="29" cm="1">
        <f t="array" ref="N232">Common_InputFunctions.Utility_DisplayArrayInTable(Common_SourceData.Common_SourceData_MCFTemperatureZone_Data(),Table_SourceData_Common_MCFTemperatureZone[[#Headers],[Temperature zone]],0)</f>
        <v>1.4999999999999999E-2</v>
      </c>
      <c r="O232" s="29" cm="1">
        <f t="array" ref="O232">Common_InputFunctions.Utility_DisplayArrayInTable(Common_SourceData.Common_SourceData_MCFTemperatureZone_Data(),Table_SourceData_Common_MCFTemperatureZone[[#Headers],[Temperature zone]],0)</f>
        <v>1.4999999999999999E-2</v>
      </c>
      <c r="P232" s="29" cm="1">
        <f t="array" ref="P232">Common_InputFunctions.Utility_DisplayArrayInTable(Common_SourceData.Common_SourceData_MCFTemperatureZone_Data(),Table_SourceData_Common_MCFTemperatureZone[[#Headers],[Temperature zone]],0)</f>
        <v>0</v>
      </c>
      <c r="Q232" s="29" cm="1">
        <f t="array" ref="Q232">Common_InputFunctions.Utility_DisplayArrayInTable(Common_SourceData.Common_SourceData_MCFTemperatureZone_Data(),Table_SourceData_Common_MCFTemperatureZone[[#Headers],[Temperature zone]],0)</f>
        <v>0</v>
      </c>
      <c r="R232" s="29" cm="1">
        <f t="array" ref="R232">Common_InputFunctions.Utility_DisplayArrayInTable(Common_SourceData.Common_SourceData_MCFTemperatureZone_Data(),Table_SourceData_Common_MCFTemperatureZone[[#Headers],[Temperature zone]],0)</f>
        <v>4.7000000000000002E-3</v>
      </c>
      <c r="S232" s="2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9" cm="1">
        <f t="array" ref="E233">Common_InputFunctions.Utility_DisplayArrayInTable(Common_SourceData.Common_SourceData_MCFTemperatureZone_Data(),Table_SourceData_Common_MCFTemperatureZone[[#Headers],[Temperature zone]],0)</f>
        <v>11</v>
      </c>
      <c r="F233" s="29" cm="1">
        <f t="array" ref="F233">Common_InputFunctions.Utility_DisplayArrayInTable(Common_SourceData.Common_SourceData_MCFTemperatureZone_Data(),Table_SourceData_Common_MCFTemperatureZone[[#Headers],[Temperature zone]],0)</f>
        <v>0.68</v>
      </c>
      <c r="G233" s="29" cm="1">
        <f t="array" ref="G233">Common_InputFunctions.Utility_DisplayArrayInTable(Common_SourceData.Common_SourceData_MCFTemperatureZone_Data(),Table_SourceData_Common_MCFTemperatureZone[[#Headers],[Temperature zone]],0)</f>
        <v>0.1</v>
      </c>
      <c r="H233" s="29" cm="1">
        <f t="array" ref="H233">Common_InputFunctions.Utility_DisplayArrayInTable(Common_SourceData.Common_SourceData_MCFTemperatureZone_Data(),Table_SourceData_Common_MCFTemperatureZone[[#Headers],[Temperature zone]],0)</f>
        <v>0.11</v>
      </c>
      <c r="I233" s="29" cm="1">
        <f t="array" ref="I233">Common_InputFunctions.Utility_DisplayArrayInTable(Common_SourceData.Common_SourceData_MCFTemperatureZone_Data(),Table_SourceData_Common_MCFTemperatureZone[[#Headers],[Temperature zone]],0)</f>
        <v>1E-3</v>
      </c>
      <c r="J233" s="29" cm="1">
        <f t="array" ref="J233">Common_InputFunctions.Utility_DisplayArrayInTable(Common_SourceData.Common_SourceData_MCFTemperatureZone_Data(),Table_SourceData_Common_MCFTemperatureZone[[#Headers],[Temperature zone]],0)</f>
        <v>5.0000000000000001E-3</v>
      </c>
      <c r="K233" s="29" cm="1">
        <f t="array" ref="K233">Common_InputFunctions.Utility_DisplayArrayInTable(Common_SourceData.Common_SourceData_MCFTemperatureZone_Data(),Table_SourceData_Common_MCFTemperatureZone[[#Headers],[Temperature zone]],0)</f>
        <v>0.02</v>
      </c>
      <c r="L233" s="29" cm="1">
        <f t="array" ref="L233">Common_InputFunctions.Utility_DisplayArrayInTable(Common_SourceData.Common_SourceData_MCFTemperatureZone_Data(),Table_SourceData_Common_MCFTemperatureZone[[#Headers],[Temperature zone]],0)</f>
        <v>0.03</v>
      </c>
      <c r="M233" s="29" cm="1">
        <f t="array" ref="M233">Common_InputFunctions.Utility_DisplayArrayInTable(Common_SourceData.Common_SourceData_MCFTemperatureZone_Data(),Table_SourceData_Common_MCFTemperatureZone[[#Headers],[Temperature zone]],0)</f>
        <v>0.04</v>
      </c>
      <c r="N233" s="29" cm="1">
        <f t="array" ref="N233">Common_InputFunctions.Utility_DisplayArrayInTable(Common_SourceData.Common_SourceData_MCFTemperatureZone_Data(),Table_SourceData_Common_MCFTemperatureZone[[#Headers],[Temperature zone]],0)</f>
        <v>1.4999999999999999E-2</v>
      </c>
      <c r="O233" s="29" cm="1">
        <f t="array" ref="O233">Common_InputFunctions.Utility_DisplayArrayInTable(Common_SourceData.Common_SourceData_MCFTemperatureZone_Data(),Table_SourceData_Common_MCFTemperatureZone[[#Headers],[Temperature zone]],0)</f>
        <v>1.4999999999999999E-2</v>
      </c>
      <c r="P233" s="29" cm="1">
        <f t="array" ref="P233">Common_InputFunctions.Utility_DisplayArrayInTable(Common_SourceData.Common_SourceData_MCFTemperatureZone_Data(),Table_SourceData_Common_MCFTemperatureZone[[#Headers],[Temperature zone]],0)</f>
        <v>0</v>
      </c>
      <c r="Q233" s="29" cm="1">
        <f t="array" ref="Q233">Common_InputFunctions.Utility_DisplayArrayInTable(Common_SourceData.Common_SourceData_MCFTemperatureZone_Data(),Table_SourceData_Common_MCFTemperatureZone[[#Headers],[Temperature zone]],0)</f>
        <v>0</v>
      </c>
      <c r="R233" s="29" cm="1">
        <f t="array" ref="R233">Common_InputFunctions.Utility_DisplayArrayInTable(Common_SourceData.Common_SourceData_MCFTemperatureZone_Data(),Table_SourceData_Common_MCFTemperatureZone[[#Headers],[Temperature zone]],0)</f>
        <v>4.7000000000000002E-3</v>
      </c>
      <c r="S233" s="2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9" cm="1">
        <f t="array" ref="E234">Common_InputFunctions.Utility_DisplayArrayInTable(Common_SourceData.Common_SourceData_MCFTemperatureZone_Data(),Table_SourceData_Common_MCFTemperatureZone[[#Headers],[Temperature zone]],0)</f>
        <v>12</v>
      </c>
      <c r="F234" s="29" cm="1">
        <f t="array" ref="F234">Common_InputFunctions.Utility_DisplayArrayInTable(Common_SourceData.Common_SourceData_MCFTemperatureZone_Data(),Table_SourceData_Common_MCFTemperatureZone[[#Headers],[Temperature zone]],0)</f>
        <v>0.7</v>
      </c>
      <c r="G234" s="29" cm="1">
        <f t="array" ref="G234">Common_InputFunctions.Utility_DisplayArrayInTable(Common_SourceData.Common_SourceData_MCFTemperatureZone_Data(),Table_SourceData_Common_MCFTemperatureZone[[#Headers],[Temperature zone]],0)</f>
        <v>0.1</v>
      </c>
      <c r="H234" s="29" cm="1">
        <f t="array" ref="H234">Common_InputFunctions.Utility_DisplayArrayInTable(Common_SourceData.Common_SourceData_MCFTemperatureZone_Data(),Table_SourceData_Common_MCFTemperatureZone[[#Headers],[Temperature zone]],0)</f>
        <v>0.13</v>
      </c>
      <c r="I234" s="29" cm="1">
        <f t="array" ref="I234">Common_InputFunctions.Utility_DisplayArrayInTable(Common_SourceData.Common_SourceData_MCFTemperatureZone_Data(),Table_SourceData_Common_MCFTemperatureZone[[#Headers],[Temperature zone]],0)</f>
        <v>1E-3</v>
      </c>
      <c r="J234" s="29" cm="1">
        <f t="array" ref="J234">Common_InputFunctions.Utility_DisplayArrayInTable(Common_SourceData.Common_SourceData_MCFTemperatureZone_Data(),Table_SourceData_Common_MCFTemperatureZone[[#Headers],[Temperature zone]],0)</f>
        <v>5.0000000000000001E-3</v>
      </c>
      <c r="K234" s="29" cm="1">
        <f t="array" ref="K234">Common_InputFunctions.Utility_DisplayArrayInTable(Common_SourceData.Common_SourceData_MCFTemperatureZone_Data(),Table_SourceData_Common_MCFTemperatureZone[[#Headers],[Temperature zone]],0)</f>
        <v>0.02</v>
      </c>
      <c r="L234" s="29" cm="1">
        <f t="array" ref="L234">Common_InputFunctions.Utility_DisplayArrayInTable(Common_SourceData.Common_SourceData_MCFTemperatureZone_Data(),Table_SourceData_Common_MCFTemperatureZone[[#Headers],[Temperature zone]],0)</f>
        <v>0.03</v>
      </c>
      <c r="M234" s="29" cm="1">
        <f t="array" ref="M234">Common_InputFunctions.Utility_DisplayArrayInTable(Common_SourceData.Common_SourceData_MCFTemperatureZone_Data(),Table_SourceData_Common_MCFTemperatureZone[[#Headers],[Temperature zone]],0)</f>
        <v>0.04</v>
      </c>
      <c r="N234" s="29" cm="1">
        <f t="array" ref="N234">Common_InputFunctions.Utility_DisplayArrayInTable(Common_SourceData.Common_SourceData_MCFTemperatureZone_Data(),Table_SourceData_Common_MCFTemperatureZone[[#Headers],[Temperature zone]],0)</f>
        <v>1.4999999999999999E-2</v>
      </c>
      <c r="O234" s="29" cm="1">
        <f t="array" ref="O234">Common_InputFunctions.Utility_DisplayArrayInTable(Common_SourceData.Common_SourceData_MCFTemperatureZone_Data(),Table_SourceData_Common_MCFTemperatureZone[[#Headers],[Temperature zone]],0)</f>
        <v>1.4999999999999999E-2</v>
      </c>
      <c r="P234" s="29" cm="1">
        <f t="array" ref="P234">Common_InputFunctions.Utility_DisplayArrayInTable(Common_SourceData.Common_SourceData_MCFTemperatureZone_Data(),Table_SourceData_Common_MCFTemperatureZone[[#Headers],[Temperature zone]],0)</f>
        <v>0</v>
      </c>
      <c r="Q234" s="29" cm="1">
        <f t="array" ref="Q234">Common_InputFunctions.Utility_DisplayArrayInTable(Common_SourceData.Common_SourceData_MCFTemperatureZone_Data(),Table_SourceData_Common_MCFTemperatureZone[[#Headers],[Temperature zone]],0)</f>
        <v>0</v>
      </c>
      <c r="R234" s="29" cm="1">
        <f t="array" ref="R234">Common_InputFunctions.Utility_DisplayArrayInTable(Common_SourceData.Common_SourceData_MCFTemperatureZone_Data(),Table_SourceData_Common_MCFTemperatureZone[[#Headers],[Temperature zone]],0)</f>
        <v>4.7000000000000002E-3</v>
      </c>
      <c r="S234" s="2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9" cm="1">
        <f t="array" ref="E235">Common_InputFunctions.Utility_DisplayArrayInTable(Common_SourceData.Common_SourceData_MCFTemperatureZone_Data(),Table_SourceData_Common_MCFTemperatureZone[[#Headers],[Temperature zone]],0)</f>
        <v>13</v>
      </c>
      <c r="F235" s="29" cm="1">
        <f t="array" ref="F235">Common_InputFunctions.Utility_DisplayArrayInTable(Common_SourceData.Common_SourceData_MCFTemperatureZone_Data(),Table_SourceData_Common_MCFTemperatureZone[[#Headers],[Temperature zone]],0)</f>
        <v>0.71</v>
      </c>
      <c r="G235" s="29" cm="1">
        <f t="array" ref="G235">Common_InputFunctions.Utility_DisplayArrayInTable(Common_SourceData.Common_SourceData_MCFTemperatureZone_Data(),Table_SourceData_Common_MCFTemperatureZone[[#Headers],[Temperature zone]],0)</f>
        <v>0.1</v>
      </c>
      <c r="H235" s="29" cm="1">
        <f t="array" ref="H235">Common_InputFunctions.Utility_DisplayArrayInTable(Common_SourceData.Common_SourceData_MCFTemperatureZone_Data(),Table_SourceData_Common_MCFTemperatureZone[[#Headers],[Temperature zone]],0)</f>
        <v>0.14000000000000001</v>
      </c>
      <c r="I235" s="29" cm="1">
        <f t="array" ref="I235">Common_InputFunctions.Utility_DisplayArrayInTable(Common_SourceData.Common_SourceData_MCFTemperatureZone_Data(),Table_SourceData_Common_MCFTemperatureZone[[#Headers],[Temperature zone]],0)</f>
        <v>1E-3</v>
      </c>
      <c r="J235" s="29" cm="1">
        <f t="array" ref="J235">Common_InputFunctions.Utility_DisplayArrayInTable(Common_SourceData.Common_SourceData_MCFTemperatureZone_Data(),Table_SourceData_Common_MCFTemperatureZone[[#Headers],[Temperature zone]],0)</f>
        <v>5.0000000000000001E-3</v>
      </c>
      <c r="K235" s="29" cm="1">
        <f t="array" ref="K235">Common_InputFunctions.Utility_DisplayArrayInTable(Common_SourceData.Common_SourceData_MCFTemperatureZone_Data(),Table_SourceData_Common_MCFTemperatureZone[[#Headers],[Temperature zone]],0)</f>
        <v>0.02</v>
      </c>
      <c r="L235" s="29" cm="1">
        <f t="array" ref="L235">Common_InputFunctions.Utility_DisplayArrayInTable(Common_SourceData.Common_SourceData_MCFTemperatureZone_Data(),Table_SourceData_Common_MCFTemperatureZone[[#Headers],[Temperature zone]],0)</f>
        <v>0.03</v>
      </c>
      <c r="M235" s="29" cm="1">
        <f t="array" ref="M235">Common_InputFunctions.Utility_DisplayArrayInTable(Common_SourceData.Common_SourceData_MCFTemperatureZone_Data(),Table_SourceData_Common_MCFTemperatureZone[[#Headers],[Temperature zone]],0)</f>
        <v>0.04</v>
      </c>
      <c r="N235" s="29" cm="1">
        <f t="array" ref="N235">Common_InputFunctions.Utility_DisplayArrayInTable(Common_SourceData.Common_SourceData_MCFTemperatureZone_Data(),Table_SourceData_Common_MCFTemperatureZone[[#Headers],[Temperature zone]],0)</f>
        <v>1.4999999999999999E-2</v>
      </c>
      <c r="O235" s="29" cm="1">
        <f t="array" ref="O235">Common_InputFunctions.Utility_DisplayArrayInTable(Common_SourceData.Common_SourceData_MCFTemperatureZone_Data(),Table_SourceData_Common_MCFTemperatureZone[[#Headers],[Temperature zone]],0)</f>
        <v>1.4999999999999999E-2</v>
      </c>
      <c r="P235" s="29" cm="1">
        <f t="array" ref="P235">Common_InputFunctions.Utility_DisplayArrayInTable(Common_SourceData.Common_SourceData_MCFTemperatureZone_Data(),Table_SourceData_Common_MCFTemperatureZone[[#Headers],[Temperature zone]],0)</f>
        <v>0</v>
      </c>
      <c r="Q235" s="29" cm="1">
        <f t="array" ref="Q235">Common_InputFunctions.Utility_DisplayArrayInTable(Common_SourceData.Common_SourceData_MCFTemperatureZone_Data(),Table_SourceData_Common_MCFTemperatureZone[[#Headers],[Temperature zone]],0)</f>
        <v>0</v>
      </c>
      <c r="R235" s="29" cm="1">
        <f t="array" ref="R235">Common_InputFunctions.Utility_DisplayArrayInTable(Common_SourceData.Common_SourceData_MCFTemperatureZone_Data(),Table_SourceData_Common_MCFTemperatureZone[[#Headers],[Temperature zone]],0)</f>
        <v>4.7000000000000002E-3</v>
      </c>
      <c r="S235" s="2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9" cm="1">
        <f t="array" ref="E236">Common_InputFunctions.Utility_DisplayArrayInTable(Common_SourceData.Common_SourceData_MCFTemperatureZone_Data(),Table_SourceData_Common_MCFTemperatureZone[[#Headers],[Temperature zone]],0)</f>
        <v>14</v>
      </c>
      <c r="F236" s="29" cm="1">
        <f t="array" ref="F236">Common_InputFunctions.Utility_DisplayArrayInTable(Common_SourceData.Common_SourceData_MCFTemperatureZone_Data(),Table_SourceData_Common_MCFTemperatureZone[[#Headers],[Temperature zone]],0)</f>
        <v>0.73</v>
      </c>
      <c r="G236" s="29" cm="1">
        <f t="array" ref="G236">Common_InputFunctions.Utility_DisplayArrayInTable(Common_SourceData.Common_SourceData_MCFTemperatureZone_Data(),Table_SourceData_Common_MCFTemperatureZone[[#Headers],[Temperature zone]],0)</f>
        <v>0.1</v>
      </c>
      <c r="H236" s="29" cm="1">
        <f t="array" ref="H236">Common_InputFunctions.Utility_DisplayArrayInTable(Common_SourceData.Common_SourceData_MCFTemperatureZone_Data(),Table_SourceData_Common_MCFTemperatureZone[[#Headers],[Temperature zone]],0)</f>
        <v>0.15</v>
      </c>
      <c r="I236" s="29" cm="1">
        <f t="array" ref="I236">Common_InputFunctions.Utility_DisplayArrayInTable(Common_SourceData.Common_SourceData_MCFTemperatureZone_Data(),Table_SourceData_Common_MCFTemperatureZone[[#Headers],[Temperature zone]],0)</f>
        <v>1E-3</v>
      </c>
      <c r="J236" s="29" cm="1">
        <f t="array" ref="J236">Common_InputFunctions.Utility_DisplayArrayInTable(Common_SourceData.Common_SourceData_MCFTemperatureZone_Data(),Table_SourceData_Common_MCFTemperatureZone[[#Headers],[Temperature zone]],0)</f>
        <v>5.0000000000000001E-3</v>
      </c>
      <c r="K236" s="29" cm="1">
        <f t="array" ref="K236">Common_InputFunctions.Utility_DisplayArrayInTable(Common_SourceData.Common_SourceData_MCFTemperatureZone_Data(),Table_SourceData_Common_MCFTemperatureZone[[#Headers],[Temperature zone]],0)</f>
        <v>0.02</v>
      </c>
      <c r="L236" s="29" cm="1">
        <f t="array" ref="L236">Common_InputFunctions.Utility_DisplayArrayInTable(Common_SourceData.Common_SourceData_MCFTemperatureZone_Data(),Table_SourceData_Common_MCFTemperatureZone[[#Headers],[Temperature zone]],0)</f>
        <v>0.03</v>
      </c>
      <c r="M236" s="29" cm="1">
        <f t="array" ref="M236">Common_InputFunctions.Utility_DisplayArrayInTable(Common_SourceData.Common_SourceData_MCFTemperatureZone_Data(),Table_SourceData_Common_MCFTemperatureZone[[#Headers],[Temperature zone]],0)</f>
        <v>0.04</v>
      </c>
      <c r="N236" s="29" cm="1">
        <f t="array" ref="N236">Common_InputFunctions.Utility_DisplayArrayInTable(Common_SourceData.Common_SourceData_MCFTemperatureZone_Data(),Table_SourceData_Common_MCFTemperatureZone[[#Headers],[Temperature zone]],0)</f>
        <v>1.4999999999999999E-2</v>
      </c>
      <c r="O236" s="29" cm="1">
        <f t="array" ref="O236">Common_InputFunctions.Utility_DisplayArrayInTable(Common_SourceData.Common_SourceData_MCFTemperatureZone_Data(),Table_SourceData_Common_MCFTemperatureZone[[#Headers],[Temperature zone]],0)</f>
        <v>1.4999999999999999E-2</v>
      </c>
      <c r="P236" s="29" cm="1">
        <f t="array" ref="P236">Common_InputFunctions.Utility_DisplayArrayInTable(Common_SourceData.Common_SourceData_MCFTemperatureZone_Data(),Table_SourceData_Common_MCFTemperatureZone[[#Headers],[Temperature zone]],0)</f>
        <v>0</v>
      </c>
      <c r="Q236" s="29" cm="1">
        <f t="array" ref="Q236">Common_InputFunctions.Utility_DisplayArrayInTable(Common_SourceData.Common_SourceData_MCFTemperatureZone_Data(),Table_SourceData_Common_MCFTemperatureZone[[#Headers],[Temperature zone]],0)</f>
        <v>0</v>
      </c>
      <c r="R236" s="29" cm="1">
        <f t="array" ref="R236">Common_InputFunctions.Utility_DisplayArrayInTable(Common_SourceData.Common_SourceData_MCFTemperatureZone_Data(),Table_SourceData_Common_MCFTemperatureZone[[#Headers],[Temperature zone]],0)</f>
        <v>4.7000000000000002E-3</v>
      </c>
      <c r="S236" s="2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9" cm="1">
        <f t="array" ref="E237">Common_InputFunctions.Utility_DisplayArrayInTable(Common_SourceData.Common_SourceData_MCFTemperatureZone_Data(),Table_SourceData_Common_MCFTemperatureZone[[#Headers],[Temperature zone]],0)</f>
        <v>15</v>
      </c>
      <c r="F237" s="29" cm="1">
        <f t="array" ref="F237">Common_InputFunctions.Utility_DisplayArrayInTable(Common_SourceData.Common_SourceData_MCFTemperatureZone_Data(),Table_SourceData_Common_MCFTemperatureZone[[#Headers],[Temperature zone]],0)</f>
        <v>0.74</v>
      </c>
      <c r="G237" s="29" cm="1">
        <f t="array" ref="G237">Common_InputFunctions.Utility_DisplayArrayInTable(Common_SourceData.Common_SourceData_MCFTemperatureZone_Data(),Table_SourceData_Common_MCFTemperatureZone[[#Headers],[Temperature zone]],0)</f>
        <v>0.1</v>
      </c>
      <c r="H237" s="29" cm="1">
        <f t="array" ref="H237">Common_InputFunctions.Utility_DisplayArrayInTable(Common_SourceData.Common_SourceData_MCFTemperatureZone_Data(),Table_SourceData_Common_MCFTemperatureZone[[#Headers],[Temperature zone]],0)</f>
        <v>0.17</v>
      </c>
      <c r="I237" s="29" cm="1">
        <f t="array" ref="I237">Common_InputFunctions.Utility_DisplayArrayInTable(Common_SourceData.Common_SourceData_MCFTemperatureZone_Data(),Table_SourceData_Common_MCFTemperatureZone[[#Headers],[Temperature zone]],0)</f>
        <v>5.0000000000000001E-3</v>
      </c>
      <c r="J237" s="29" cm="1">
        <f t="array" ref="J237">Common_InputFunctions.Utility_DisplayArrayInTable(Common_SourceData.Common_SourceData_MCFTemperatureZone_Data(),Table_SourceData_Common_MCFTemperatureZone[[#Headers],[Temperature zone]],0)</f>
        <v>0.01</v>
      </c>
      <c r="K237" s="29" cm="1">
        <f t="array" ref="K237">Common_InputFunctions.Utility_DisplayArrayInTable(Common_SourceData.Common_SourceData_MCFTemperatureZone_Data(),Table_SourceData_Common_MCFTemperatureZone[[#Headers],[Temperature zone]],0)</f>
        <v>0.02</v>
      </c>
      <c r="L237" s="29" cm="1">
        <f t="array" ref="L237">Common_InputFunctions.Utility_DisplayArrayInTable(Common_SourceData.Common_SourceData_MCFTemperatureZone_Data(),Table_SourceData_Common_MCFTemperatureZone[[#Headers],[Temperature zone]],0)</f>
        <v>0.03</v>
      </c>
      <c r="M237" s="29" cm="1">
        <f t="array" ref="M237">Common_InputFunctions.Utility_DisplayArrayInTable(Common_SourceData.Common_SourceData_MCFTemperatureZone_Data(),Table_SourceData_Common_MCFTemperatureZone[[#Headers],[Temperature zone]],0)</f>
        <v>0.04</v>
      </c>
      <c r="N237" s="29" cm="1">
        <f t="array" ref="N237">Common_InputFunctions.Utility_DisplayArrayInTable(Common_SourceData.Common_SourceData_MCFTemperatureZone_Data(),Table_SourceData_Common_MCFTemperatureZone[[#Headers],[Temperature zone]],0)</f>
        <v>1.4999999999999999E-2</v>
      </c>
      <c r="O237" s="29" cm="1">
        <f t="array" ref="O237">Common_InputFunctions.Utility_DisplayArrayInTable(Common_SourceData.Common_SourceData_MCFTemperatureZone_Data(),Table_SourceData_Common_MCFTemperatureZone[[#Headers],[Temperature zone]],0)</f>
        <v>1.4999999999999999E-2</v>
      </c>
      <c r="P237" s="29" cm="1">
        <f t="array" ref="P237">Common_InputFunctions.Utility_DisplayArrayInTable(Common_SourceData.Common_SourceData_MCFTemperatureZone_Data(),Table_SourceData_Common_MCFTemperatureZone[[#Headers],[Temperature zone]],0)</f>
        <v>0</v>
      </c>
      <c r="Q237" s="29" cm="1">
        <f t="array" ref="Q237">Common_InputFunctions.Utility_DisplayArrayInTable(Common_SourceData.Common_SourceData_MCFTemperatureZone_Data(),Table_SourceData_Common_MCFTemperatureZone[[#Headers],[Temperature zone]],0)</f>
        <v>0</v>
      </c>
      <c r="R237" s="29" cm="1">
        <f t="array" ref="R237">Common_InputFunctions.Utility_DisplayArrayInTable(Common_SourceData.Common_SourceData_MCFTemperatureZone_Data(),Table_SourceData_Common_MCFTemperatureZone[[#Headers],[Temperature zone]],0)</f>
        <v>4.7000000000000002E-3</v>
      </c>
      <c r="S237" s="2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9" cm="1">
        <f t="array" ref="E238">Common_InputFunctions.Utility_DisplayArrayInTable(Common_SourceData.Common_SourceData_MCFTemperatureZone_Data(),Table_SourceData_Common_MCFTemperatureZone[[#Headers],[Temperature zone]],0)</f>
        <v>16</v>
      </c>
      <c r="F238" s="29" cm="1">
        <f t="array" ref="F238">Common_InputFunctions.Utility_DisplayArrayInTable(Common_SourceData.Common_SourceData_MCFTemperatureZone_Data(),Table_SourceData_Common_MCFTemperatureZone[[#Headers],[Temperature zone]],0)</f>
        <v>0.75</v>
      </c>
      <c r="G238" s="29" cm="1">
        <f t="array" ref="G238">Common_InputFunctions.Utility_DisplayArrayInTable(Common_SourceData.Common_SourceData_MCFTemperatureZone_Data(),Table_SourceData_Common_MCFTemperatureZone[[#Headers],[Temperature zone]],0)</f>
        <v>0.1</v>
      </c>
      <c r="H238" s="29" cm="1">
        <f t="array" ref="H238">Common_InputFunctions.Utility_DisplayArrayInTable(Common_SourceData.Common_SourceData_MCFTemperatureZone_Data(),Table_SourceData_Common_MCFTemperatureZone[[#Headers],[Temperature zone]],0)</f>
        <v>0.18</v>
      </c>
      <c r="I238" s="29" cm="1">
        <f t="array" ref="I238">Common_InputFunctions.Utility_DisplayArrayInTable(Common_SourceData.Common_SourceData_MCFTemperatureZone_Data(),Table_SourceData_Common_MCFTemperatureZone[[#Headers],[Temperature zone]],0)</f>
        <v>5.0000000000000001E-3</v>
      </c>
      <c r="J238" s="29" cm="1">
        <f t="array" ref="J238">Common_InputFunctions.Utility_DisplayArrayInTable(Common_SourceData.Common_SourceData_MCFTemperatureZone_Data(),Table_SourceData_Common_MCFTemperatureZone[[#Headers],[Temperature zone]],0)</f>
        <v>0.01</v>
      </c>
      <c r="K238" s="29" cm="1">
        <f t="array" ref="K238">Common_InputFunctions.Utility_DisplayArrayInTable(Common_SourceData.Common_SourceData_MCFTemperatureZone_Data(),Table_SourceData_Common_MCFTemperatureZone[[#Headers],[Temperature zone]],0)</f>
        <v>0.02</v>
      </c>
      <c r="L238" s="29" cm="1">
        <f t="array" ref="L238">Common_InputFunctions.Utility_DisplayArrayInTable(Common_SourceData.Common_SourceData_MCFTemperatureZone_Data(),Table_SourceData_Common_MCFTemperatureZone[[#Headers],[Temperature zone]],0)</f>
        <v>0.03</v>
      </c>
      <c r="M238" s="29" cm="1">
        <f t="array" ref="M238">Common_InputFunctions.Utility_DisplayArrayInTable(Common_SourceData.Common_SourceData_MCFTemperatureZone_Data(),Table_SourceData_Common_MCFTemperatureZone[[#Headers],[Temperature zone]],0)</f>
        <v>0.04</v>
      </c>
      <c r="N238" s="29" cm="1">
        <f t="array" ref="N238">Common_InputFunctions.Utility_DisplayArrayInTable(Common_SourceData.Common_SourceData_MCFTemperatureZone_Data(),Table_SourceData_Common_MCFTemperatureZone[[#Headers],[Temperature zone]],0)</f>
        <v>1.4999999999999999E-2</v>
      </c>
      <c r="O238" s="29" cm="1">
        <f t="array" ref="O238">Common_InputFunctions.Utility_DisplayArrayInTable(Common_SourceData.Common_SourceData_MCFTemperatureZone_Data(),Table_SourceData_Common_MCFTemperatureZone[[#Headers],[Temperature zone]],0)</f>
        <v>1.4999999999999999E-2</v>
      </c>
      <c r="P238" s="29" cm="1">
        <f t="array" ref="P238">Common_InputFunctions.Utility_DisplayArrayInTable(Common_SourceData.Common_SourceData_MCFTemperatureZone_Data(),Table_SourceData_Common_MCFTemperatureZone[[#Headers],[Temperature zone]],0)</f>
        <v>0</v>
      </c>
      <c r="Q238" s="29" cm="1">
        <f t="array" ref="Q238">Common_InputFunctions.Utility_DisplayArrayInTable(Common_SourceData.Common_SourceData_MCFTemperatureZone_Data(),Table_SourceData_Common_MCFTemperatureZone[[#Headers],[Temperature zone]],0)</f>
        <v>0</v>
      </c>
      <c r="R238" s="29" cm="1">
        <f t="array" ref="R238">Common_InputFunctions.Utility_DisplayArrayInTable(Common_SourceData.Common_SourceData_MCFTemperatureZone_Data(),Table_SourceData_Common_MCFTemperatureZone[[#Headers],[Temperature zone]],0)</f>
        <v>4.7000000000000002E-3</v>
      </c>
      <c r="S238" s="2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9" cm="1">
        <f t="array" ref="E239">Common_InputFunctions.Utility_DisplayArrayInTable(Common_SourceData.Common_SourceData_MCFTemperatureZone_Data(),Table_SourceData_Common_MCFTemperatureZone[[#Headers],[Temperature zone]],0)</f>
        <v>17</v>
      </c>
      <c r="F239" s="29" cm="1">
        <f t="array" ref="F239">Common_InputFunctions.Utility_DisplayArrayInTable(Common_SourceData.Common_SourceData_MCFTemperatureZone_Data(),Table_SourceData_Common_MCFTemperatureZone[[#Headers],[Temperature zone]],0)</f>
        <v>0.76</v>
      </c>
      <c r="G239" s="29" cm="1">
        <f t="array" ref="G239">Common_InputFunctions.Utility_DisplayArrayInTable(Common_SourceData.Common_SourceData_MCFTemperatureZone_Data(),Table_SourceData_Common_MCFTemperatureZone[[#Headers],[Temperature zone]],0)</f>
        <v>0.1</v>
      </c>
      <c r="H239" s="29" cm="1">
        <f t="array" ref="H239">Common_InputFunctions.Utility_DisplayArrayInTable(Common_SourceData.Common_SourceData_MCFTemperatureZone_Data(),Table_SourceData_Common_MCFTemperatureZone[[#Headers],[Temperature zone]],0)</f>
        <v>0.2</v>
      </c>
      <c r="I239" s="29" cm="1">
        <f t="array" ref="I239">Common_InputFunctions.Utility_DisplayArrayInTable(Common_SourceData.Common_SourceData_MCFTemperatureZone_Data(),Table_SourceData_Common_MCFTemperatureZone[[#Headers],[Temperature zone]],0)</f>
        <v>5.0000000000000001E-3</v>
      </c>
      <c r="J239" s="29" cm="1">
        <f t="array" ref="J239">Common_InputFunctions.Utility_DisplayArrayInTable(Common_SourceData.Common_SourceData_MCFTemperatureZone_Data(),Table_SourceData_Common_MCFTemperatureZone[[#Headers],[Temperature zone]],0)</f>
        <v>0.01</v>
      </c>
      <c r="K239" s="29" cm="1">
        <f t="array" ref="K239">Common_InputFunctions.Utility_DisplayArrayInTable(Common_SourceData.Common_SourceData_MCFTemperatureZone_Data(),Table_SourceData_Common_MCFTemperatureZone[[#Headers],[Temperature zone]],0)</f>
        <v>0.02</v>
      </c>
      <c r="L239" s="29" cm="1">
        <f t="array" ref="L239">Common_InputFunctions.Utility_DisplayArrayInTable(Common_SourceData.Common_SourceData_MCFTemperatureZone_Data(),Table_SourceData_Common_MCFTemperatureZone[[#Headers],[Temperature zone]],0)</f>
        <v>0.03</v>
      </c>
      <c r="M239" s="29" cm="1">
        <f t="array" ref="M239">Common_InputFunctions.Utility_DisplayArrayInTable(Common_SourceData.Common_SourceData_MCFTemperatureZone_Data(),Table_SourceData_Common_MCFTemperatureZone[[#Headers],[Temperature zone]],0)</f>
        <v>0.04</v>
      </c>
      <c r="N239" s="29" cm="1">
        <f t="array" ref="N239">Common_InputFunctions.Utility_DisplayArrayInTable(Common_SourceData.Common_SourceData_MCFTemperatureZone_Data(),Table_SourceData_Common_MCFTemperatureZone[[#Headers],[Temperature zone]],0)</f>
        <v>1.4999999999999999E-2</v>
      </c>
      <c r="O239" s="29" cm="1">
        <f t="array" ref="O239">Common_InputFunctions.Utility_DisplayArrayInTable(Common_SourceData.Common_SourceData_MCFTemperatureZone_Data(),Table_SourceData_Common_MCFTemperatureZone[[#Headers],[Temperature zone]],0)</f>
        <v>1.4999999999999999E-2</v>
      </c>
      <c r="P239" s="29" cm="1">
        <f t="array" ref="P239">Common_InputFunctions.Utility_DisplayArrayInTable(Common_SourceData.Common_SourceData_MCFTemperatureZone_Data(),Table_SourceData_Common_MCFTemperatureZone[[#Headers],[Temperature zone]],0)</f>
        <v>0</v>
      </c>
      <c r="Q239" s="29" cm="1">
        <f t="array" ref="Q239">Common_InputFunctions.Utility_DisplayArrayInTable(Common_SourceData.Common_SourceData_MCFTemperatureZone_Data(),Table_SourceData_Common_MCFTemperatureZone[[#Headers],[Temperature zone]],0)</f>
        <v>0</v>
      </c>
      <c r="R239" s="29" cm="1">
        <f t="array" ref="R239">Common_InputFunctions.Utility_DisplayArrayInTable(Common_SourceData.Common_SourceData_MCFTemperatureZone_Data(),Table_SourceData_Common_MCFTemperatureZone[[#Headers],[Temperature zone]],0)</f>
        <v>4.7000000000000002E-3</v>
      </c>
      <c r="S239" s="2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9" cm="1">
        <f t="array" ref="E240">Common_InputFunctions.Utility_DisplayArrayInTable(Common_SourceData.Common_SourceData_MCFTemperatureZone_Data(),Table_SourceData_Common_MCFTemperatureZone[[#Headers],[Temperature zone]],0)</f>
        <v>18</v>
      </c>
      <c r="F240" s="29" cm="1">
        <f t="array" ref="F240">Common_InputFunctions.Utility_DisplayArrayInTable(Common_SourceData.Common_SourceData_MCFTemperatureZone_Data(),Table_SourceData_Common_MCFTemperatureZone[[#Headers],[Temperature zone]],0)</f>
        <v>0.77</v>
      </c>
      <c r="G240" s="29" cm="1">
        <f t="array" ref="G240">Common_InputFunctions.Utility_DisplayArrayInTable(Common_SourceData.Common_SourceData_MCFTemperatureZone_Data(),Table_SourceData_Common_MCFTemperatureZone[[#Headers],[Temperature zone]],0)</f>
        <v>0.1</v>
      </c>
      <c r="H240" s="29" cm="1">
        <f t="array" ref="H240">Common_InputFunctions.Utility_DisplayArrayInTable(Common_SourceData.Common_SourceData_MCFTemperatureZone_Data(),Table_SourceData_Common_MCFTemperatureZone[[#Headers],[Temperature zone]],0)</f>
        <v>0.22</v>
      </c>
      <c r="I240" s="29" cm="1">
        <f t="array" ref="I240">Common_InputFunctions.Utility_DisplayArrayInTable(Common_SourceData.Common_SourceData_MCFTemperatureZone_Data(),Table_SourceData_Common_MCFTemperatureZone[[#Headers],[Temperature zone]],0)</f>
        <v>5.0000000000000001E-3</v>
      </c>
      <c r="J240" s="29" cm="1">
        <f t="array" ref="J240">Common_InputFunctions.Utility_DisplayArrayInTable(Common_SourceData.Common_SourceData_MCFTemperatureZone_Data(),Table_SourceData_Common_MCFTemperatureZone[[#Headers],[Temperature zone]],0)</f>
        <v>0.01</v>
      </c>
      <c r="K240" s="29" cm="1">
        <f t="array" ref="K240">Common_InputFunctions.Utility_DisplayArrayInTable(Common_SourceData.Common_SourceData_MCFTemperatureZone_Data(),Table_SourceData_Common_MCFTemperatureZone[[#Headers],[Temperature zone]],0)</f>
        <v>0.02</v>
      </c>
      <c r="L240" s="29" cm="1">
        <f t="array" ref="L240">Common_InputFunctions.Utility_DisplayArrayInTable(Common_SourceData.Common_SourceData_MCFTemperatureZone_Data(),Table_SourceData_Common_MCFTemperatureZone[[#Headers],[Temperature zone]],0)</f>
        <v>0.03</v>
      </c>
      <c r="M240" s="29" cm="1">
        <f t="array" ref="M240">Common_InputFunctions.Utility_DisplayArrayInTable(Common_SourceData.Common_SourceData_MCFTemperatureZone_Data(),Table_SourceData_Common_MCFTemperatureZone[[#Headers],[Temperature zone]],0)</f>
        <v>0.04</v>
      </c>
      <c r="N240" s="29" cm="1">
        <f t="array" ref="N240">Common_InputFunctions.Utility_DisplayArrayInTable(Common_SourceData.Common_SourceData_MCFTemperatureZone_Data(),Table_SourceData_Common_MCFTemperatureZone[[#Headers],[Temperature zone]],0)</f>
        <v>1.4999999999999999E-2</v>
      </c>
      <c r="O240" s="29" cm="1">
        <f t="array" ref="O240">Common_InputFunctions.Utility_DisplayArrayInTable(Common_SourceData.Common_SourceData_MCFTemperatureZone_Data(),Table_SourceData_Common_MCFTemperatureZone[[#Headers],[Temperature zone]],0)</f>
        <v>1.4999999999999999E-2</v>
      </c>
      <c r="P240" s="29" cm="1">
        <f t="array" ref="P240">Common_InputFunctions.Utility_DisplayArrayInTable(Common_SourceData.Common_SourceData_MCFTemperatureZone_Data(),Table_SourceData_Common_MCFTemperatureZone[[#Headers],[Temperature zone]],0)</f>
        <v>0</v>
      </c>
      <c r="Q240" s="29" cm="1">
        <f t="array" ref="Q240">Common_InputFunctions.Utility_DisplayArrayInTable(Common_SourceData.Common_SourceData_MCFTemperatureZone_Data(),Table_SourceData_Common_MCFTemperatureZone[[#Headers],[Temperature zone]],0)</f>
        <v>0</v>
      </c>
      <c r="R240" s="29" cm="1">
        <f t="array" ref="R240">Common_InputFunctions.Utility_DisplayArrayInTable(Common_SourceData.Common_SourceData_MCFTemperatureZone_Data(),Table_SourceData_Common_MCFTemperatureZone[[#Headers],[Temperature zone]],0)</f>
        <v>4.7000000000000002E-3</v>
      </c>
      <c r="S240" s="2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9" cm="1">
        <f t="array" ref="E241">Common_InputFunctions.Utility_DisplayArrayInTable(Common_SourceData.Common_SourceData_MCFTemperatureZone_Data(),Table_SourceData_Common_MCFTemperatureZone[[#Headers],[Temperature zone]],0)</f>
        <v>19</v>
      </c>
      <c r="F241" s="29" cm="1">
        <f t="array" ref="F241">Common_InputFunctions.Utility_DisplayArrayInTable(Common_SourceData.Common_SourceData_MCFTemperatureZone_Data(),Table_SourceData_Common_MCFTemperatureZone[[#Headers],[Temperature zone]],0)</f>
        <v>0.77</v>
      </c>
      <c r="G241" s="29" cm="1">
        <f t="array" ref="G241">Common_InputFunctions.Utility_DisplayArrayInTable(Common_SourceData.Common_SourceData_MCFTemperatureZone_Data(),Table_SourceData_Common_MCFTemperatureZone[[#Headers],[Temperature zone]],0)</f>
        <v>0.1</v>
      </c>
      <c r="H241" s="29" cm="1">
        <f t="array" ref="H241">Common_InputFunctions.Utility_DisplayArrayInTable(Common_SourceData.Common_SourceData_MCFTemperatureZone_Data(),Table_SourceData_Common_MCFTemperatureZone[[#Headers],[Temperature zone]],0)</f>
        <v>0.24</v>
      </c>
      <c r="I241" s="29" cm="1">
        <f t="array" ref="I241">Common_InputFunctions.Utility_DisplayArrayInTable(Common_SourceData.Common_SourceData_MCFTemperatureZone_Data(),Table_SourceData_Common_MCFTemperatureZone[[#Headers],[Temperature zone]],0)</f>
        <v>5.0000000000000001E-3</v>
      </c>
      <c r="J241" s="29" cm="1">
        <f t="array" ref="J241">Common_InputFunctions.Utility_DisplayArrayInTable(Common_SourceData.Common_SourceData_MCFTemperatureZone_Data(),Table_SourceData_Common_MCFTemperatureZone[[#Headers],[Temperature zone]],0)</f>
        <v>0.01</v>
      </c>
      <c r="K241" s="29" cm="1">
        <f t="array" ref="K241">Common_InputFunctions.Utility_DisplayArrayInTable(Common_SourceData.Common_SourceData_MCFTemperatureZone_Data(),Table_SourceData_Common_MCFTemperatureZone[[#Headers],[Temperature zone]],0)</f>
        <v>0.02</v>
      </c>
      <c r="L241" s="29" cm="1">
        <f t="array" ref="L241">Common_InputFunctions.Utility_DisplayArrayInTable(Common_SourceData.Common_SourceData_MCFTemperatureZone_Data(),Table_SourceData_Common_MCFTemperatureZone[[#Headers],[Temperature zone]],0)</f>
        <v>0.03</v>
      </c>
      <c r="M241" s="29" cm="1">
        <f t="array" ref="M241">Common_InputFunctions.Utility_DisplayArrayInTable(Common_SourceData.Common_SourceData_MCFTemperatureZone_Data(),Table_SourceData_Common_MCFTemperatureZone[[#Headers],[Temperature zone]],0)</f>
        <v>0.04</v>
      </c>
      <c r="N241" s="29" cm="1">
        <f t="array" ref="N241">Common_InputFunctions.Utility_DisplayArrayInTable(Common_SourceData.Common_SourceData_MCFTemperatureZone_Data(),Table_SourceData_Common_MCFTemperatureZone[[#Headers],[Temperature zone]],0)</f>
        <v>1.4999999999999999E-2</v>
      </c>
      <c r="O241" s="29" cm="1">
        <f t="array" ref="O241">Common_InputFunctions.Utility_DisplayArrayInTable(Common_SourceData.Common_SourceData_MCFTemperatureZone_Data(),Table_SourceData_Common_MCFTemperatureZone[[#Headers],[Temperature zone]],0)</f>
        <v>1.4999999999999999E-2</v>
      </c>
      <c r="P241" s="29" cm="1">
        <f t="array" ref="P241">Common_InputFunctions.Utility_DisplayArrayInTable(Common_SourceData.Common_SourceData_MCFTemperatureZone_Data(),Table_SourceData_Common_MCFTemperatureZone[[#Headers],[Temperature zone]],0)</f>
        <v>0</v>
      </c>
      <c r="Q241" s="29" cm="1">
        <f t="array" ref="Q241">Common_InputFunctions.Utility_DisplayArrayInTable(Common_SourceData.Common_SourceData_MCFTemperatureZone_Data(),Table_SourceData_Common_MCFTemperatureZone[[#Headers],[Temperature zone]],0)</f>
        <v>0</v>
      </c>
      <c r="R241" s="29" cm="1">
        <f t="array" ref="R241">Common_InputFunctions.Utility_DisplayArrayInTable(Common_SourceData.Common_SourceData_MCFTemperatureZone_Data(),Table_SourceData_Common_MCFTemperatureZone[[#Headers],[Temperature zone]],0)</f>
        <v>4.7000000000000002E-3</v>
      </c>
      <c r="S241" s="2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9" cm="1">
        <f t="array" ref="E242">Common_InputFunctions.Utility_DisplayArrayInTable(Common_SourceData.Common_SourceData_MCFTemperatureZone_Data(),Table_SourceData_Common_MCFTemperatureZone[[#Headers],[Temperature zone]],0)</f>
        <v>20</v>
      </c>
      <c r="F242" s="29" cm="1">
        <f t="array" ref="F242">Common_InputFunctions.Utility_DisplayArrayInTable(Common_SourceData.Common_SourceData_MCFTemperatureZone_Data(),Table_SourceData_Common_MCFTemperatureZone[[#Headers],[Temperature zone]],0)</f>
        <v>0.78</v>
      </c>
      <c r="G242" s="29" cm="1">
        <f t="array" ref="G242">Common_InputFunctions.Utility_DisplayArrayInTable(Common_SourceData.Common_SourceData_MCFTemperatureZone_Data(),Table_SourceData_Common_MCFTemperatureZone[[#Headers],[Temperature zone]],0)</f>
        <v>0.1</v>
      </c>
      <c r="H242" s="29" cm="1">
        <f t="array" ref="H242">Common_InputFunctions.Utility_DisplayArrayInTable(Common_SourceData.Common_SourceData_MCFTemperatureZone_Data(),Table_SourceData_Common_MCFTemperatureZone[[#Headers],[Temperature zone]],0)</f>
        <v>0.26</v>
      </c>
      <c r="I242" s="29" cm="1">
        <f t="array" ref="I242">Common_InputFunctions.Utility_DisplayArrayInTable(Common_SourceData.Common_SourceData_MCFTemperatureZone_Data(),Table_SourceData_Common_MCFTemperatureZone[[#Headers],[Temperature zone]],0)</f>
        <v>5.0000000000000001E-3</v>
      </c>
      <c r="J242" s="29" cm="1">
        <f t="array" ref="J242">Common_InputFunctions.Utility_DisplayArrayInTable(Common_SourceData.Common_SourceData_MCFTemperatureZone_Data(),Table_SourceData_Common_MCFTemperatureZone[[#Headers],[Temperature zone]],0)</f>
        <v>0.01</v>
      </c>
      <c r="K242" s="29" cm="1">
        <f t="array" ref="K242">Common_InputFunctions.Utility_DisplayArrayInTable(Common_SourceData.Common_SourceData_MCFTemperatureZone_Data(),Table_SourceData_Common_MCFTemperatureZone[[#Headers],[Temperature zone]],0)</f>
        <v>0.02</v>
      </c>
      <c r="L242" s="29" cm="1">
        <f t="array" ref="L242">Common_InputFunctions.Utility_DisplayArrayInTable(Common_SourceData.Common_SourceData_MCFTemperatureZone_Data(),Table_SourceData_Common_MCFTemperatureZone[[#Headers],[Temperature zone]],0)</f>
        <v>0.03</v>
      </c>
      <c r="M242" s="29" cm="1">
        <f t="array" ref="M242">Common_InputFunctions.Utility_DisplayArrayInTable(Common_SourceData.Common_SourceData_MCFTemperatureZone_Data(),Table_SourceData_Common_MCFTemperatureZone[[#Headers],[Temperature zone]],0)</f>
        <v>0.04</v>
      </c>
      <c r="N242" s="29" cm="1">
        <f t="array" ref="N242">Common_InputFunctions.Utility_DisplayArrayInTable(Common_SourceData.Common_SourceData_MCFTemperatureZone_Data(),Table_SourceData_Common_MCFTemperatureZone[[#Headers],[Temperature zone]],0)</f>
        <v>1.4999999999999999E-2</v>
      </c>
      <c r="O242" s="29" cm="1">
        <f t="array" ref="O242">Common_InputFunctions.Utility_DisplayArrayInTable(Common_SourceData.Common_SourceData_MCFTemperatureZone_Data(),Table_SourceData_Common_MCFTemperatureZone[[#Headers],[Temperature zone]],0)</f>
        <v>1.4999999999999999E-2</v>
      </c>
      <c r="P242" s="29" cm="1">
        <f t="array" ref="P242">Common_InputFunctions.Utility_DisplayArrayInTable(Common_SourceData.Common_SourceData_MCFTemperatureZone_Data(),Table_SourceData_Common_MCFTemperatureZone[[#Headers],[Temperature zone]],0)</f>
        <v>0</v>
      </c>
      <c r="Q242" s="29" cm="1">
        <f t="array" ref="Q242">Common_InputFunctions.Utility_DisplayArrayInTable(Common_SourceData.Common_SourceData_MCFTemperatureZone_Data(),Table_SourceData_Common_MCFTemperatureZone[[#Headers],[Temperature zone]],0)</f>
        <v>0</v>
      </c>
      <c r="R242" s="29" cm="1">
        <f t="array" ref="R242">Common_InputFunctions.Utility_DisplayArrayInTable(Common_SourceData.Common_SourceData_MCFTemperatureZone_Data(),Table_SourceData_Common_MCFTemperatureZone[[#Headers],[Temperature zone]],0)</f>
        <v>4.7000000000000002E-3</v>
      </c>
      <c r="S242" s="2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9" cm="1">
        <f t="array" ref="E243">Common_InputFunctions.Utility_DisplayArrayInTable(Common_SourceData.Common_SourceData_MCFTemperatureZone_Data(),Table_SourceData_Common_MCFTemperatureZone[[#Headers],[Temperature zone]],0)</f>
        <v>21</v>
      </c>
      <c r="F243" s="29" cm="1">
        <f t="array" ref="F243">Common_InputFunctions.Utility_DisplayArrayInTable(Common_SourceData.Common_SourceData_MCFTemperatureZone_Data(),Table_SourceData_Common_MCFTemperatureZone[[#Headers],[Temperature zone]],0)</f>
        <v>0.78</v>
      </c>
      <c r="G243" s="29" cm="1">
        <f t="array" ref="G243">Common_InputFunctions.Utility_DisplayArrayInTable(Common_SourceData.Common_SourceData_MCFTemperatureZone_Data(),Table_SourceData_Common_MCFTemperatureZone[[#Headers],[Temperature zone]],0)</f>
        <v>0.1</v>
      </c>
      <c r="H243" s="29" cm="1">
        <f t="array" ref="H243">Common_InputFunctions.Utility_DisplayArrayInTable(Common_SourceData.Common_SourceData_MCFTemperatureZone_Data(),Table_SourceData_Common_MCFTemperatureZone[[#Headers],[Temperature zone]],0)</f>
        <v>0.28999999999999998</v>
      </c>
      <c r="I243" s="29" cm="1">
        <f t="array" ref="I243">Common_InputFunctions.Utility_DisplayArrayInTable(Common_SourceData.Common_SourceData_MCFTemperatureZone_Data(),Table_SourceData_Common_MCFTemperatureZone[[#Headers],[Temperature zone]],0)</f>
        <v>5.0000000000000001E-3</v>
      </c>
      <c r="J243" s="29" cm="1">
        <f t="array" ref="J243">Common_InputFunctions.Utility_DisplayArrayInTable(Common_SourceData.Common_SourceData_MCFTemperatureZone_Data(),Table_SourceData_Common_MCFTemperatureZone[[#Headers],[Temperature zone]],0)</f>
        <v>0.01</v>
      </c>
      <c r="K243" s="29" cm="1">
        <f t="array" ref="K243">Common_InputFunctions.Utility_DisplayArrayInTable(Common_SourceData.Common_SourceData_MCFTemperatureZone_Data(),Table_SourceData_Common_MCFTemperatureZone[[#Headers],[Temperature zone]],0)</f>
        <v>0.02</v>
      </c>
      <c r="L243" s="29" cm="1">
        <f t="array" ref="L243">Common_InputFunctions.Utility_DisplayArrayInTable(Common_SourceData.Common_SourceData_MCFTemperatureZone_Data(),Table_SourceData_Common_MCFTemperatureZone[[#Headers],[Temperature zone]],0)</f>
        <v>0.03</v>
      </c>
      <c r="M243" s="29" cm="1">
        <f t="array" ref="M243">Common_InputFunctions.Utility_DisplayArrayInTable(Common_SourceData.Common_SourceData_MCFTemperatureZone_Data(),Table_SourceData_Common_MCFTemperatureZone[[#Headers],[Temperature zone]],0)</f>
        <v>0.04</v>
      </c>
      <c r="N243" s="29" cm="1">
        <f t="array" ref="N243">Common_InputFunctions.Utility_DisplayArrayInTable(Common_SourceData.Common_SourceData_MCFTemperatureZone_Data(),Table_SourceData_Common_MCFTemperatureZone[[#Headers],[Temperature zone]],0)</f>
        <v>1.4999999999999999E-2</v>
      </c>
      <c r="O243" s="29" cm="1">
        <f t="array" ref="O243">Common_InputFunctions.Utility_DisplayArrayInTable(Common_SourceData.Common_SourceData_MCFTemperatureZone_Data(),Table_SourceData_Common_MCFTemperatureZone[[#Headers],[Temperature zone]],0)</f>
        <v>1.4999999999999999E-2</v>
      </c>
      <c r="P243" s="29" cm="1">
        <f t="array" ref="P243">Common_InputFunctions.Utility_DisplayArrayInTable(Common_SourceData.Common_SourceData_MCFTemperatureZone_Data(),Table_SourceData_Common_MCFTemperatureZone[[#Headers],[Temperature zone]],0)</f>
        <v>0</v>
      </c>
      <c r="Q243" s="29" cm="1">
        <f t="array" ref="Q243">Common_InputFunctions.Utility_DisplayArrayInTable(Common_SourceData.Common_SourceData_MCFTemperatureZone_Data(),Table_SourceData_Common_MCFTemperatureZone[[#Headers],[Temperature zone]],0)</f>
        <v>0</v>
      </c>
      <c r="R243" s="29" cm="1">
        <f t="array" ref="R243">Common_InputFunctions.Utility_DisplayArrayInTable(Common_SourceData.Common_SourceData_MCFTemperatureZone_Data(),Table_SourceData_Common_MCFTemperatureZone[[#Headers],[Temperature zone]],0)</f>
        <v>4.7000000000000002E-3</v>
      </c>
      <c r="S243" s="2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9" cm="1">
        <f t="array" ref="E244">Common_InputFunctions.Utility_DisplayArrayInTable(Common_SourceData.Common_SourceData_MCFTemperatureZone_Data(),Table_SourceData_Common_MCFTemperatureZone[[#Headers],[Temperature zone]],0)</f>
        <v>22</v>
      </c>
      <c r="F244" s="29" cm="1">
        <f t="array" ref="F244">Common_InputFunctions.Utility_DisplayArrayInTable(Common_SourceData.Common_SourceData_MCFTemperatureZone_Data(),Table_SourceData_Common_MCFTemperatureZone[[#Headers],[Temperature zone]],0)</f>
        <v>0.78</v>
      </c>
      <c r="G244" s="29" cm="1">
        <f t="array" ref="G244">Common_InputFunctions.Utility_DisplayArrayInTable(Common_SourceData.Common_SourceData_MCFTemperatureZone_Data(),Table_SourceData_Common_MCFTemperatureZone[[#Headers],[Temperature zone]],0)</f>
        <v>0.1</v>
      </c>
      <c r="H244" s="29" cm="1">
        <f t="array" ref="H244">Common_InputFunctions.Utility_DisplayArrayInTable(Common_SourceData.Common_SourceData_MCFTemperatureZone_Data(),Table_SourceData_Common_MCFTemperatureZone[[#Headers],[Temperature zone]],0)</f>
        <v>0.31</v>
      </c>
      <c r="I244" s="29" cm="1">
        <f t="array" ref="I244">Common_InputFunctions.Utility_DisplayArrayInTable(Common_SourceData.Common_SourceData_MCFTemperatureZone_Data(),Table_SourceData_Common_MCFTemperatureZone[[#Headers],[Temperature zone]],0)</f>
        <v>5.0000000000000001E-3</v>
      </c>
      <c r="J244" s="29" cm="1">
        <f t="array" ref="J244">Common_InputFunctions.Utility_DisplayArrayInTable(Common_SourceData.Common_SourceData_MCFTemperatureZone_Data(),Table_SourceData_Common_MCFTemperatureZone[[#Headers],[Temperature zone]],0)</f>
        <v>0.01</v>
      </c>
      <c r="K244" s="29" cm="1">
        <f t="array" ref="K244">Common_InputFunctions.Utility_DisplayArrayInTable(Common_SourceData.Common_SourceData_MCFTemperatureZone_Data(),Table_SourceData_Common_MCFTemperatureZone[[#Headers],[Temperature zone]],0)</f>
        <v>0.02</v>
      </c>
      <c r="L244" s="29" cm="1">
        <f t="array" ref="L244">Common_InputFunctions.Utility_DisplayArrayInTable(Common_SourceData.Common_SourceData_MCFTemperatureZone_Data(),Table_SourceData_Common_MCFTemperatureZone[[#Headers],[Temperature zone]],0)</f>
        <v>0.03</v>
      </c>
      <c r="M244" s="29" cm="1">
        <f t="array" ref="M244">Common_InputFunctions.Utility_DisplayArrayInTable(Common_SourceData.Common_SourceData_MCFTemperatureZone_Data(),Table_SourceData_Common_MCFTemperatureZone[[#Headers],[Temperature zone]],0)</f>
        <v>0.04</v>
      </c>
      <c r="N244" s="29" cm="1">
        <f t="array" ref="N244">Common_InputFunctions.Utility_DisplayArrayInTable(Common_SourceData.Common_SourceData_MCFTemperatureZone_Data(),Table_SourceData_Common_MCFTemperatureZone[[#Headers],[Temperature zone]],0)</f>
        <v>1.4999999999999999E-2</v>
      </c>
      <c r="O244" s="29" cm="1">
        <f t="array" ref="O244">Common_InputFunctions.Utility_DisplayArrayInTable(Common_SourceData.Common_SourceData_MCFTemperatureZone_Data(),Table_SourceData_Common_MCFTemperatureZone[[#Headers],[Temperature zone]],0)</f>
        <v>1.4999999999999999E-2</v>
      </c>
      <c r="P244" s="29" cm="1">
        <f t="array" ref="P244">Common_InputFunctions.Utility_DisplayArrayInTable(Common_SourceData.Common_SourceData_MCFTemperatureZone_Data(),Table_SourceData_Common_MCFTemperatureZone[[#Headers],[Temperature zone]],0)</f>
        <v>0</v>
      </c>
      <c r="Q244" s="29" cm="1">
        <f t="array" ref="Q244">Common_InputFunctions.Utility_DisplayArrayInTable(Common_SourceData.Common_SourceData_MCFTemperatureZone_Data(),Table_SourceData_Common_MCFTemperatureZone[[#Headers],[Temperature zone]],0)</f>
        <v>0</v>
      </c>
      <c r="R244" s="29" cm="1">
        <f t="array" ref="R244">Common_InputFunctions.Utility_DisplayArrayInTable(Common_SourceData.Common_SourceData_MCFTemperatureZone_Data(),Table_SourceData_Common_MCFTemperatureZone[[#Headers],[Temperature zone]],0)</f>
        <v>4.7000000000000002E-3</v>
      </c>
      <c r="S244" s="2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9" cm="1">
        <f t="array" ref="E245">Common_InputFunctions.Utility_DisplayArrayInTable(Common_SourceData.Common_SourceData_MCFTemperatureZone_Data(),Table_SourceData_Common_MCFTemperatureZone[[#Headers],[Temperature zone]],0)</f>
        <v>23</v>
      </c>
      <c r="F245" s="29" cm="1">
        <f t="array" ref="F245">Common_InputFunctions.Utility_DisplayArrayInTable(Common_SourceData.Common_SourceData_MCFTemperatureZone_Data(),Table_SourceData_Common_MCFTemperatureZone[[#Headers],[Temperature zone]],0)</f>
        <v>0.79</v>
      </c>
      <c r="G245" s="29" cm="1">
        <f t="array" ref="G245">Common_InputFunctions.Utility_DisplayArrayInTable(Common_SourceData.Common_SourceData_MCFTemperatureZone_Data(),Table_SourceData_Common_MCFTemperatureZone[[#Headers],[Temperature zone]],0)</f>
        <v>0.1</v>
      </c>
      <c r="H245" s="29" cm="1">
        <f t="array" ref="H245">Common_InputFunctions.Utility_DisplayArrayInTable(Common_SourceData.Common_SourceData_MCFTemperatureZone_Data(),Table_SourceData_Common_MCFTemperatureZone[[#Headers],[Temperature zone]],0)</f>
        <v>0.34</v>
      </c>
      <c r="I245" s="29" cm="1">
        <f t="array" ref="I245">Common_InputFunctions.Utility_DisplayArrayInTable(Common_SourceData.Common_SourceData_MCFTemperatureZone_Data(),Table_SourceData_Common_MCFTemperatureZone[[#Headers],[Temperature zone]],0)</f>
        <v>5.0000000000000001E-3</v>
      </c>
      <c r="J245" s="29" cm="1">
        <f t="array" ref="J245">Common_InputFunctions.Utility_DisplayArrayInTable(Common_SourceData.Common_SourceData_MCFTemperatureZone_Data(),Table_SourceData_Common_MCFTemperatureZone[[#Headers],[Temperature zone]],0)</f>
        <v>0.01</v>
      </c>
      <c r="K245" s="29" cm="1">
        <f t="array" ref="K245">Common_InputFunctions.Utility_DisplayArrayInTable(Common_SourceData.Common_SourceData_MCFTemperatureZone_Data(),Table_SourceData_Common_MCFTemperatureZone[[#Headers],[Temperature zone]],0)</f>
        <v>0.02</v>
      </c>
      <c r="L245" s="29" cm="1">
        <f t="array" ref="L245">Common_InputFunctions.Utility_DisplayArrayInTable(Common_SourceData.Common_SourceData_MCFTemperatureZone_Data(),Table_SourceData_Common_MCFTemperatureZone[[#Headers],[Temperature zone]],0)</f>
        <v>0.03</v>
      </c>
      <c r="M245" s="29" cm="1">
        <f t="array" ref="M245">Common_InputFunctions.Utility_DisplayArrayInTable(Common_SourceData.Common_SourceData_MCFTemperatureZone_Data(),Table_SourceData_Common_MCFTemperatureZone[[#Headers],[Temperature zone]],0)</f>
        <v>0.04</v>
      </c>
      <c r="N245" s="29" cm="1">
        <f t="array" ref="N245">Common_InputFunctions.Utility_DisplayArrayInTable(Common_SourceData.Common_SourceData_MCFTemperatureZone_Data(),Table_SourceData_Common_MCFTemperatureZone[[#Headers],[Temperature zone]],0)</f>
        <v>1.4999999999999999E-2</v>
      </c>
      <c r="O245" s="29" cm="1">
        <f t="array" ref="O245">Common_InputFunctions.Utility_DisplayArrayInTable(Common_SourceData.Common_SourceData_MCFTemperatureZone_Data(),Table_SourceData_Common_MCFTemperatureZone[[#Headers],[Temperature zone]],0)</f>
        <v>1.4999999999999999E-2</v>
      </c>
      <c r="P245" s="29" cm="1">
        <f t="array" ref="P245">Common_InputFunctions.Utility_DisplayArrayInTable(Common_SourceData.Common_SourceData_MCFTemperatureZone_Data(),Table_SourceData_Common_MCFTemperatureZone[[#Headers],[Temperature zone]],0)</f>
        <v>0</v>
      </c>
      <c r="Q245" s="29" cm="1">
        <f t="array" ref="Q245">Common_InputFunctions.Utility_DisplayArrayInTable(Common_SourceData.Common_SourceData_MCFTemperatureZone_Data(),Table_SourceData_Common_MCFTemperatureZone[[#Headers],[Temperature zone]],0)</f>
        <v>0</v>
      </c>
      <c r="R245" s="29" cm="1">
        <f t="array" ref="R245">Common_InputFunctions.Utility_DisplayArrayInTable(Common_SourceData.Common_SourceData_MCFTemperatureZone_Data(),Table_SourceData_Common_MCFTemperatureZone[[#Headers],[Temperature zone]],0)</f>
        <v>4.7000000000000002E-3</v>
      </c>
      <c r="S245" s="2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9" cm="1">
        <f t="array" ref="E246">Common_InputFunctions.Utility_DisplayArrayInTable(Common_SourceData.Common_SourceData_MCFTemperatureZone_Data(),Table_SourceData_Common_MCFTemperatureZone[[#Headers],[Temperature zone]],0)</f>
        <v>24</v>
      </c>
      <c r="F246" s="29" cm="1">
        <f t="array" ref="F246">Common_InputFunctions.Utility_DisplayArrayInTable(Common_SourceData.Common_SourceData_MCFTemperatureZone_Data(),Table_SourceData_Common_MCFTemperatureZone[[#Headers],[Temperature zone]],0)</f>
        <v>0.79</v>
      </c>
      <c r="G246" s="29" cm="1">
        <f t="array" ref="G246">Common_InputFunctions.Utility_DisplayArrayInTable(Common_SourceData.Common_SourceData_MCFTemperatureZone_Data(),Table_SourceData_Common_MCFTemperatureZone[[#Headers],[Temperature zone]],0)</f>
        <v>0.1</v>
      </c>
      <c r="H246" s="29" cm="1">
        <f t="array" ref="H246">Common_InputFunctions.Utility_DisplayArrayInTable(Common_SourceData.Common_SourceData_MCFTemperatureZone_Data(),Table_SourceData_Common_MCFTemperatureZone[[#Headers],[Temperature zone]],0)</f>
        <v>0.37</v>
      </c>
      <c r="I246" s="29" cm="1">
        <f t="array" ref="I246">Common_InputFunctions.Utility_DisplayArrayInTable(Common_SourceData.Common_SourceData_MCFTemperatureZone_Data(),Table_SourceData_Common_MCFTemperatureZone[[#Headers],[Temperature zone]],0)</f>
        <v>5.0000000000000001E-3</v>
      </c>
      <c r="J246" s="29" cm="1">
        <f t="array" ref="J246">Common_InputFunctions.Utility_DisplayArrayInTable(Common_SourceData.Common_SourceData_MCFTemperatureZone_Data(),Table_SourceData_Common_MCFTemperatureZone[[#Headers],[Temperature zone]],0)</f>
        <v>0.01</v>
      </c>
      <c r="K246" s="29" cm="1">
        <f t="array" ref="K246">Common_InputFunctions.Utility_DisplayArrayInTable(Common_SourceData.Common_SourceData_MCFTemperatureZone_Data(),Table_SourceData_Common_MCFTemperatureZone[[#Headers],[Temperature zone]],0)</f>
        <v>0.02</v>
      </c>
      <c r="L246" s="29" cm="1">
        <f t="array" ref="L246">Common_InputFunctions.Utility_DisplayArrayInTable(Common_SourceData.Common_SourceData_MCFTemperatureZone_Data(),Table_SourceData_Common_MCFTemperatureZone[[#Headers],[Temperature zone]],0)</f>
        <v>0.03</v>
      </c>
      <c r="M246" s="29" cm="1">
        <f t="array" ref="M246">Common_InputFunctions.Utility_DisplayArrayInTable(Common_SourceData.Common_SourceData_MCFTemperatureZone_Data(),Table_SourceData_Common_MCFTemperatureZone[[#Headers],[Temperature zone]],0)</f>
        <v>0.04</v>
      </c>
      <c r="N246" s="29" cm="1">
        <f t="array" ref="N246">Common_InputFunctions.Utility_DisplayArrayInTable(Common_SourceData.Common_SourceData_MCFTemperatureZone_Data(),Table_SourceData_Common_MCFTemperatureZone[[#Headers],[Temperature zone]],0)</f>
        <v>1.4999999999999999E-2</v>
      </c>
      <c r="O246" s="29" cm="1">
        <f t="array" ref="O246">Common_InputFunctions.Utility_DisplayArrayInTable(Common_SourceData.Common_SourceData_MCFTemperatureZone_Data(),Table_SourceData_Common_MCFTemperatureZone[[#Headers],[Temperature zone]],0)</f>
        <v>1.4999999999999999E-2</v>
      </c>
      <c r="P246" s="29" cm="1">
        <f t="array" ref="P246">Common_InputFunctions.Utility_DisplayArrayInTable(Common_SourceData.Common_SourceData_MCFTemperatureZone_Data(),Table_SourceData_Common_MCFTemperatureZone[[#Headers],[Temperature zone]],0)</f>
        <v>0</v>
      </c>
      <c r="Q246" s="29" cm="1">
        <f t="array" ref="Q246">Common_InputFunctions.Utility_DisplayArrayInTable(Common_SourceData.Common_SourceData_MCFTemperatureZone_Data(),Table_SourceData_Common_MCFTemperatureZone[[#Headers],[Temperature zone]],0)</f>
        <v>0</v>
      </c>
      <c r="R246" s="29" cm="1">
        <f t="array" ref="R246">Common_InputFunctions.Utility_DisplayArrayInTable(Common_SourceData.Common_SourceData_MCFTemperatureZone_Data(),Table_SourceData_Common_MCFTemperatureZone[[#Headers],[Temperature zone]],0)</f>
        <v>4.7000000000000002E-3</v>
      </c>
      <c r="S246" s="2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9" cm="1">
        <f t="array" ref="E247">Common_InputFunctions.Utility_DisplayArrayInTable(Common_SourceData.Common_SourceData_MCFTemperatureZone_Data(),Table_SourceData_Common_MCFTemperatureZone[[#Headers],[Temperature zone]],0)</f>
        <v>25</v>
      </c>
      <c r="F247" s="29" cm="1">
        <f t="array" ref="F247">Common_InputFunctions.Utility_DisplayArrayInTable(Common_SourceData.Common_SourceData_MCFTemperatureZone_Data(),Table_SourceData_Common_MCFTemperatureZone[[#Headers],[Temperature zone]],0)</f>
        <v>0.79</v>
      </c>
      <c r="G247" s="29" cm="1">
        <f t="array" ref="G247">Common_InputFunctions.Utility_DisplayArrayInTable(Common_SourceData.Common_SourceData_MCFTemperatureZone_Data(),Table_SourceData_Common_MCFTemperatureZone[[#Headers],[Temperature zone]],0)</f>
        <v>0.1</v>
      </c>
      <c r="H247" s="29" cm="1">
        <f t="array" ref="H247">Common_InputFunctions.Utility_DisplayArrayInTable(Common_SourceData.Common_SourceData_MCFTemperatureZone_Data(),Table_SourceData_Common_MCFTemperatureZone[[#Headers],[Temperature zone]],0)</f>
        <v>0.41</v>
      </c>
      <c r="I247" s="29" cm="1">
        <f t="array" ref="I247">Common_InputFunctions.Utility_DisplayArrayInTable(Common_SourceData.Common_SourceData_MCFTemperatureZone_Data(),Table_SourceData_Common_MCFTemperatureZone[[#Headers],[Temperature zone]],0)</f>
        <v>5.0000000000000001E-3</v>
      </c>
      <c r="J247" s="29" cm="1">
        <f t="array" ref="J247">Common_InputFunctions.Utility_DisplayArrayInTable(Common_SourceData.Common_SourceData_MCFTemperatureZone_Data(),Table_SourceData_Common_MCFTemperatureZone[[#Headers],[Temperature zone]],0)</f>
        <v>0.01</v>
      </c>
      <c r="K247" s="29" cm="1">
        <f t="array" ref="K247">Common_InputFunctions.Utility_DisplayArrayInTable(Common_SourceData.Common_SourceData_MCFTemperatureZone_Data(),Table_SourceData_Common_MCFTemperatureZone[[#Headers],[Temperature zone]],0)</f>
        <v>0.02</v>
      </c>
      <c r="L247" s="29" cm="1">
        <f t="array" ref="L247">Common_InputFunctions.Utility_DisplayArrayInTable(Common_SourceData.Common_SourceData_MCFTemperatureZone_Data(),Table_SourceData_Common_MCFTemperatureZone[[#Headers],[Temperature zone]],0)</f>
        <v>0.03</v>
      </c>
      <c r="M247" s="29" cm="1">
        <f t="array" ref="M247">Common_InputFunctions.Utility_DisplayArrayInTable(Common_SourceData.Common_SourceData_MCFTemperatureZone_Data(),Table_SourceData_Common_MCFTemperatureZone[[#Headers],[Temperature zone]],0)</f>
        <v>0.04</v>
      </c>
      <c r="N247" s="29" cm="1">
        <f t="array" ref="N247">Common_InputFunctions.Utility_DisplayArrayInTable(Common_SourceData.Common_SourceData_MCFTemperatureZone_Data(),Table_SourceData_Common_MCFTemperatureZone[[#Headers],[Temperature zone]],0)</f>
        <v>1.4999999999999999E-2</v>
      </c>
      <c r="O247" s="29" cm="1">
        <f t="array" ref="O247">Common_InputFunctions.Utility_DisplayArrayInTable(Common_SourceData.Common_SourceData_MCFTemperatureZone_Data(),Table_SourceData_Common_MCFTemperatureZone[[#Headers],[Temperature zone]],0)</f>
        <v>1.4999999999999999E-2</v>
      </c>
      <c r="P247" s="29" cm="1">
        <f t="array" ref="P247">Common_InputFunctions.Utility_DisplayArrayInTable(Common_SourceData.Common_SourceData_MCFTemperatureZone_Data(),Table_SourceData_Common_MCFTemperatureZone[[#Headers],[Temperature zone]],0)</f>
        <v>0</v>
      </c>
      <c r="Q247" s="29" cm="1">
        <f t="array" ref="Q247">Common_InputFunctions.Utility_DisplayArrayInTable(Common_SourceData.Common_SourceData_MCFTemperatureZone_Data(),Table_SourceData_Common_MCFTemperatureZone[[#Headers],[Temperature zone]],0)</f>
        <v>0</v>
      </c>
      <c r="R247" s="29" cm="1">
        <f t="array" ref="R247">Common_InputFunctions.Utility_DisplayArrayInTable(Common_SourceData.Common_SourceData_MCFTemperatureZone_Data(),Table_SourceData_Common_MCFTemperatureZone[[#Headers],[Temperature zone]],0)</f>
        <v>4.7000000000000002E-3</v>
      </c>
      <c r="S247" s="2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9" cm="1">
        <f t="array" ref="E248">Common_InputFunctions.Utility_DisplayArrayInTable(Common_SourceData.Common_SourceData_MCFTemperatureZone_Data(),Table_SourceData_Common_MCFTemperatureZone[[#Headers],[Temperature zone]],0)</f>
        <v>26</v>
      </c>
      <c r="F248" s="29" cm="1">
        <f t="array" ref="F248">Common_InputFunctions.Utility_DisplayArrayInTable(Common_SourceData.Common_SourceData_MCFTemperatureZone_Data(),Table_SourceData_Common_MCFTemperatureZone[[#Headers],[Temperature zone]],0)</f>
        <v>0.79</v>
      </c>
      <c r="G248" s="29" cm="1">
        <f t="array" ref="G248">Common_InputFunctions.Utility_DisplayArrayInTable(Common_SourceData.Common_SourceData_MCFTemperatureZone_Data(),Table_SourceData_Common_MCFTemperatureZone[[#Headers],[Temperature zone]],0)</f>
        <v>0.1</v>
      </c>
      <c r="H248" s="29" cm="1">
        <f t="array" ref="H248">Common_InputFunctions.Utility_DisplayArrayInTable(Common_SourceData.Common_SourceData_MCFTemperatureZone_Data(),Table_SourceData_Common_MCFTemperatureZone[[#Headers],[Temperature zone]],0)</f>
        <v>0.44</v>
      </c>
      <c r="I248" s="29" cm="1">
        <f t="array" ref="I248">Common_InputFunctions.Utility_DisplayArrayInTable(Common_SourceData.Common_SourceData_MCFTemperatureZone_Data(),Table_SourceData_Common_MCFTemperatureZone[[#Headers],[Temperature zone]],0)</f>
        <v>0.01</v>
      </c>
      <c r="J248" s="29" cm="1">
        <f t="array" ref="J248">Common_InputFunctions.Utility_DisplayArrayInTable(Common_SourceData.Common_SourceData_MCFTemperatureZone_Data(),Table_SourceData_Common_MCFTemperatureZone[[#Headers],[Temperature zone]],0)</f>
        <v>1.4999999999999999E-2</v>
      </c>
      <c r="K248" s="29" cm="1">
        <f t="array" ref="K248">Common_InputFunctions.Utility_DisplayArrayInTable(Common_SourceData.Common_SourceData_MCFTemperatureZone_Data(),Table_SourceData_Common_MCFTemperatureZone[[#Headers],[Temperature zone]],0)</f>
        <v>0.02</v>
      </c>
      <c r="L248" s="29" cm="1">
        <f t="array" ref="L248">Common_InputFunctions.Utility_DisplayArrayInTable(Common_SourceData.Common_SourceData_MCFTemperatureZone_Data(),Table_SourceData_Common_MCFTemperatureZone[[#Headers],[Temperature zone]],0)</f>
        <v>0.03</v>
      </c>
      <c r="M248" s="29" cm="1">
        <f t="array" ref="M248">Common_InputFunctions.Utility_DisplayArrayInTable(Common_SourceData.Common_SourceData_MCFTemperatureZone_Data(),Table_SourceData_Common_MCFTemperatureZone[[#Headers],[Temperature zone]],0)</f>
        <v>0.04</v>
      </c>
      <c r="N248" s="29" cm="1">
        <f t="array" ref="N248">Common_InputFunctions.Utility_DisplayArrayInTable(Common_SourceData.Common_SourceData_MCFTemperatureZone_Data(),Table_SourceData_Common_MCFTemperatureZone[[#Headers],[Temperature zone]],0)</f>
        <v>1.4999999999999999E-2</v>
      </c>
      <c r="O248" s="29" cm="1">
        <f t="array" ref="O248">Common_InputFunctions.Utility_DisplayArrayInTable(Common_SourceData.Common_SourceData_MCFTemperatureZone_Data(),Table_SourceData_Common_MCFTemperatureZone[[#Headers],[Temperature zone]],0)</f>
        <v>1.4999999999999999E-2</v>
      </c>
      <c r="P248" s="29" cm="1">
        <f t="array" ref="P248">Common_InputFunctions.Utility_DisplayArrayInTable(Common_SourceData.Common_SourceData_MCFTemperatureZone_Data(),Table_SourceData_Common_MCFTemperatureZone[[#Headers],[Temperature zone]],0)</f>
        <v>0</v>
      </c>
      <c r="Q248" s="29" cm="1">
        <f t="array" ref="Q248">Common_InputFunctions.Utility_DisplayArrayInTable(Common_SourceData.Common_SourceData_MCFTemperatureZone_Data(),Table_SourceData_Common_MCFTemperatureZone[[#Headers],[Temperature zone]],0)</f>
        <v>0</v>
      </c>
      <c r="R248" s="29" cm="1">
        <f t="array" ref="R248">Common_InputFunctions.Utility_DisplayArrayInTable(Common_SourceData.Common_SourceData_MCFTemperatureZone_Data(),Table_SourceData_Common_MCFTemperatureZone[[#Headers],[Temperature zone]],0)</f>
        <v>4.7000000000000002E-3</v>
      </c>
      <c r="S248" s="2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9" cm="1">
        <f t="array" ref="E249">Common_InputFunctions.Utility_DisplayArrayInTable(Common_SourceData.Common_SourceData_MCFTemperatureZone_Data(),Table_SourceData_Common_MCFTemperatureZone[[#Headers],[Temperature zone]],0)</f>
        <v>27</v>
      </c>
      <c r="F249" s="29" cm="1">
        <f t="array" ref="F249">Common_InputFunctions.Utility_DisplayArrayInTable(Common_SourceData.Common_SourceData_MCFTemperatureZone_Data(),Table_SourceData_Common_MCFTemperatureZone[[#Headers],[Temperature zone]],0)</f>
        <v>0.8</v>
      </c>
      <c r="G249" s="29" cm="1">
        <f t="array" ref="G249">Common_InputFunctions.Utility_DisplayArrayInTable(Common_SourceData.Common_SourceData_MCFTemperatureZone_Data(),Table_SourceData_Common_MCFTemperatureZone[[#Headers],[Temperature zone]],0)</f>
        <v>0.1</v>
      </c>
      <c r="H249" s="29" cm="1">
        <f t="array" ref="H249">Common_InputFunctions.Utility_DisplayArrayInTable(Common_SourceData.Common_SourceData_MCFTemperatureZone_Data(),Table_SourceData_Common_MCFTemperatureZone[[#Headers],[Temperature zone]],0)</f>
        <v>0.48</v>
      </c>
      <c r="I249" s="29" cm="1">
        <f t="array" ref="I249">Common_InputFunctions.Utility_DisplayArrayInTable(Common_SourceData.Common_SourceData_MCFTemperatureZone_Data(),Table_SourceData_Common_MCFTemperatureZone[[#Headers],[Temperature zone]],0)</f>
        <v>0.01</v>
      </c>
      <c r="J249" s="29" cm="1">
        <f t="array" ref="J249">Common_InputFunctions.Utility_DisplayArrayInTable(Common_SourceData.Common_SourceData_MCFTemperatureZone_Data(),Table_SourceData_Common_MCFTemperatureZone[[#Headers],[Temperature zone]],0)</f>
        <v>1.4999999999999999E-2</v>
      </c>
      <c r="K249" s="29" cm="1">
        <f t="array" ref="K249">Common_InputFunctions.Utility_DisplayArrayInTable(Common_SourceData.Common_SourceData_MCFTemperatureZone_Data(),Table_SourceData_Common_MCFTemperatureZone[[#Headers],[Temperature zone]],0)</f>
        <v>0.02</v>
      </c>
      <c r="L249" s="29" cm="1">
        <f t="array" ref="L249">Common_InputFunctions.Utility_DisplayArrayInTable(Common_SourceData.Common_SourceData_MCFTemperatureZone_Data(),Table_SourceData_Common_MCFTemperatureZone[[#Headers],[Temperature zone]],0)</f>
        <v>0.03</v>
      </c>
      <c r="M249" s="29" cm="1">
        <f t="array" ref="M249">Common_InputFunctions.Utility_DisplayArrayInTable(Common_SourceData.Common_SourceData_MCFTemperatureZone_Data(),Table_SourceData_Common_MCFTemperatureZone[[#Headers],[Temperature zone]],0)</f>
        <v>0.04</v>
      </c>
      <c r="N249" s="29" cm="1">
        <f t="array" ref="N249">Common_InputFunctions.Utility_DisplayArrayInTable(Common_SourceData.Common_SourceData_MCFTemperatureZone_Data(),Table_SourceData_Common_MCFTemperatureZone[[#Headers],[Temperature zone]],0)</f>
        <v>1.4999999999999999E-2</v>
      </c>
      <c r="O249" s="29" cm="1">
        <f t="array" ref="O249">Common_InputFunctions.Utility_DisplayArrayInTable(Common_SourceData.Common_SourceData_MCFTemperatureZone_Data(),Table_SourceData_Common_MCFTemperatureZone[[#Headers],[Temperature zone]],0)</f>
        <v>1.4999999999999999E-2</v>
      </c>
      <c r="P249" s="29" cm="1">
        <f t="array" ref="P249">Common_InputFunctions.Utility_DisplayArrayInTable(Common_SourceData.Common_SourceData_MCFTemperatureZone_Data(),Table_SourceData_Common_MCFTemperatureZone[[#Headers],[Temperature zone]],0)</f>
        <v>0</v>
      </c>
      <c r="Q249" s="29" cm="1">
        <f t="array" ref="Q249">Common_InputFunctions.Utility_DisplayArrayInTable(Common_SourceData.Common_SourceData_MCFTemperatureZone_Data(),Table_SourceData_Common_MCFTemperatureZone[[#Headers],[Temperature zone]],0)</f>
        <v>0</v>
      </c>
      <c r="R249" s="29" cm="1">
        <f t="array" ref="R249">Common_InputFunctions.Utility_DisplayArrayInTable(Common_SourceData.Common_SourceData_MCFTemperatureZone_Data(),Table_SourceData_Common_MCFTemperatureZone[[#Headers],[Temperature zone]],0)</f>
        <v>4.7000000000000002E-3</v>
      </c>
      <c r="S249" s="2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9" t="str" cm="1">
        <f t="array" ref="E250">Common_InputFunctions.Utility_DisplayArrayInTable(Common_SourceData.Common_SourceData_MCFTemperatureZone_Data(),Table_SourceData_Common_MCFTemperatureZone[[#Headers],[Temperature zone]],0)</f>
        <v>≥28</v>
      </c>
      <c r="F250" s="29" cm="1">
        <f t="array" ref="F250">Common_InputFunctions.Utility_DisplayArrayInTable(Common_SourceData.Common_SourceData_MCFTemperatureZone_Data(),Table_SourceData_Common_MCFTemperatureZone[[#Headers],[Temperature zone]],0)</f>
        <v>0.8</v>
      </c>
      <c r="G250" s="29" cm="1">
        <f t="array" ref="G250">Common_InputFunctions.Utility_DisplayArrayInTable(Common_SourceData.Common_SourceData_MCFTemperatureZone_Data(),Table_SourceData_Common_MCFTemperatureZone[[#Headers],[Temperature zone]],0)</f>
        <v>0.1</v>
      </c>
      <c r="H250" s="29" cm="1">
        <f t="array" ref="H250">Common_InputFunctions.Utility_DisplayArrayInTable(Common_SourceData.Common_SourceData_MCFTemperatureZone_Data(),Table_SourceData_Common_MCFTemperatureZone[[#Headers],[Temperature zone]],0)</f>
        <v>0.5</v>
      </c>
      <c r="I250" s="29" cm="1">
        <f t="array" ref="I250">Common_InputFunctions.Utility_DisplayArrayInTable(Common_SourceData.Common_SourceData_MCFTemperatureZone_Data(),Table_SourceData_Common_MCFTemperatureZone[[#Headers],[Temperature zone]],0)</f>
        <v>0.01</v>
      </c>
      <c r="J250" s="29" cm="1">
        <f t="array" ref="J250">Common_InputFunctions.Utility_DisplayArrayInTable(Common_SourceData.Common_SourceData_MCFTemperatureZone_Data(),Table_SourceData_Common_MCFTemperatureZone[[#Headers],[Temperature zone]],0)</f>
        <v>1.4999999999999999E-2</v>
      </c>
      <c r="K250" s="29" cm="1">
        <f t="array" ref="K250">Common_InputFunctions.Utility_DisplayArrayInTable(Common_SourceData.Common_SourceData_MCFTemperatureZone_Data(),Table_SourceData_Common_MCFTemperatureZone[[#Headers],[Temperature zone]],0)</f>
        <v>0.02</v>
      </c>
      <c r="L250" s="29" cm="1">
        <f t="array" ref="L250">Common_InputFunctions.Utility_DisplayArrayInTable(Common_SourceData.Common_SourceData_MCFTemperatureZone_Data(),Table_SourceData_Common_MCFTemperatureZone[[#Headers],[Temperature zone]],0)</f>
        <v>0.03</v>
      </c>
      <c r="M250" s="29" cm="1">
        <f t="array" ref="M250">Common_InputFunctions.Utility_DisplayArrayInTable(Common_SourceData.Common_SourceData_MCFTemperatureZone_Data(),Table_SourceData_Common_MCFTemperatureZone[[#Headers],[Temperature zone]],0)</f>
        <v>0.04</v>
      </c>
      <c r="N250" s="29" cm="1">
        <f t="array" ref="N250">Common_InputFunctions.Utility_DisplayArrayInTable(Common_SourceData.Common_SourceData_MCFTemperatureZone_Data(),Table_SourceData_Common_MCFTemperatureZone[[#Headers],[Temperature zone]],0)</f>
        <v>1.4999999999999999E-2</v>
      </c>
      <c r="O250" s="29" cm="1">
        <f t="array" ref="O250">Common_InputFunctions.Utility_DisplayArrayInTable(Common_SourceData.Common_SourceData_MCFTemperatureZone_Data(),Table_SourceData_Common_MCFTemperatureZone[[#Headers],[Temperature zone]],0)</f>
        <v>1.4999999999999999E-2</v>
      </c>
      <c r="P250" s="29" cm="1">
        <f t="array" ref="P250">Common_InputFunctions.Utility_DisplayArrayInTable(Common_SourceData.Common_SourceData_MCFTemperatureZone_Data(),Table_SourceData_Common_MCFTemperatureZone[[#Headers],[Temperature zone]],0)</f>
        <v>0</v>
      </c>
      <c r="Q250" s="29" cm="1">
        <f t="array" ref="Q250">Common_InputFunctions.Utility_DisplayArrayInTable(Common_SourceData.Common_SourceData_MCFTemperatureZone_Data(),Table_SourceData_Common_MCFTemperatureZone[[#Headers],[Temperature zone]],0)</f>
        <v>0</v>
      </c>
      <c r="R250" s="29" cm="1">
        <f t="array" ref="R250">Common_InputFunctions.Utility_DisplayArrayInTable(Common_SourceData.Common_SourceData_MCFTemperatureZone_Data(),Table_SourceData_Common_MCFTemperatureZone[[#Headers],[Temperature zone]],0)</f>
        <v>4.7000000000000002E-3</v>
      </c>
      <c r="S250" s="2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29" t="s">
        <v>85</v>
      </c>
      <c r="E257" s="29" t="s">
        <v>86</v>
      </c>
    </row>
    <row r="258" spans="4:5" x14ac:dyDescent="0.25">
      <c r="D258" s="29" t="str" cm="1">
        <f t="array" ref="D258">Common_InputFunctions.Utility_DisplayArrayInTable(Common_SourceData.Common_SourceData_EFOrganicFertiliserAndCropResidues_Data(), Table_SourceData_Common_EFOrganicFertCropResidues[[#Headers],[Climate Zone]], 0)</f>
        <v>Wet climate zone</v>
      </c>
      <c r="E258" s="2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DAB85-7B5D-42BF-8449-997D977E3765}">
  <dimension ref="A1:A65"/>
  <sheetViews>
    <sheetView workbookViewId="0" zoomScale="100" zoomScaleNormal="100">
      <selection activeCell="A65" sqref="A65"/>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HYPERLINK("#'5.1.1.1-2 Inorganic fert N2O'!A1", "5.1.1.1-2 Inorganic fert N2O")</f>
        <v>5.1.1.1-2 Inorganic fert N2O</v>
      </c>
    </row>
    <row r="31" spans="1:1" ht="15.75" x14ac:dyDescent="0.25">
      <c r="A31" s="5" t="str">
        <f>HYPERLINK("#'5.1.1.3-4 Inorganic fert CO2'!A1", "5.1.1.3-4 Inorganic fert CO2")</f>
        <v>5.1.1.3-4 Inorganic fert CO2</v>
      </c>
    </row>
    <row r="32" spans="1:1" ht="15.75" x14ac:dyDescent="0.25">
      <c r="A32" s="5" t="str">
        <f>HYPERLINK("#'5.2.1.1-2 Organic Fert N2O'!A1", "5.2.1.1-2 Organic fert N2O")</f>
        <v>5.2.1.1-2 Organic fert N2O</v>
      </c>
    </row>
    <row r="33" spans="1:1" ht="15.75" x14ac:dyDescent="0.25">
      <c r="A33" s="5" t="str">
        <f>HYPERLINK("#'5.3.1.1-2 Lime CO2'!A1", "5.3.1.1-2 Lime CO2")</f>
        <v>5.3.1.1-2 Lime CO2</v>
      </c>
    </row>
    <row r="34" spans="1:1" ht="15.75" x14ac:dyDescent="0.25">
      <c r="A34" s="5" t="str">
        <f>HYPERLINK("#'5.4.1.1-4 Atmos deposition'!A1", "5.4.1.1-4 Atmos. deposition")</f>
        <v>5.4.1.1-4 Atmos. deposition</v>
      </c>
    </row>
    <row r="35" spans="1:1" ht="15.75" x14ac:dyDescent="0.25">
      <c r="A35" s="5" t="str">
        <f>HYPERLINK("#'5.5.1.1-2 Leaching and runoff'!A1", "5.5.1.1-2 Leaching &amp; runoff")</f>
        <v>5.5.1.1-2 Leaching &amp; runoff</v>
      </c>
    </row>
    <row r="36" spans="1:1" ht="15.75" x14ac:dyDescent="0.25">
      <c r="A36" s="5" t="str">
        <f>HYPERLINK("#'6.2.1.1-2 Pasture residue N2O'!A1", "6.2.1.1-2 Pasture residue N2O")</f>
        <v>6.2.1.1-2 Pasture residue N2O</v>
      </c>
    </row>
    <row r="37" spans="1:1" ht="15.75" x14ac:dyDescent="0.25">
      <c r="A37" s="5" t="str">
        <f>HYPERLINK("#'6.3.1.1-2 Leach runoff pasture'!A1", "6.3.1.1-2 Leach &amp; runoff (pasture)")</f>
        <v>6.3.1.1-2 Leach &amp; runoff (pasture)</v>
      </c>
    </row>
    <row r="38" spans="1:1" ht="15.75" x14ac:dyDescent="0.25">
      <c r="A38" s="5" t="str">
        <f>HYPERLINK("#'8.1.1.1-2 Transport fuel'!A1", "8.1.1.1-2 Transport fuel")</f>
        <v>8.1.1.1-2 Transport fuel</v>
      </c>
    </row>
    <row r="39" spans="1:1" ht="15.75" x14ac:dyDescent="0.25">
      <c r="A39" s="5" t="str">
        <f>HYPERLINK("#'8.2.1.1-2 Stationary fuel'!A1", "8.2.1.1-2 Stationary fuel")</f>
        <v>8.2.1.1-2 Stationary fuel</v>
      </c>
    </row>
    <row r="40" spans="1:1" ht="15.75" x14ac:dyDescent="0.25">
      <c r="A40" s="5" t="str">
        <f>HYPERLINK("#'14.1.1-2 Purchased electricity'!A1", "14.1.1-2 Purchased electricity")</f>
        <v>14.1.1-2 Purchased electricity</v>
      </c>
    </row>
    <row r="41" spans="1:1" ht="15.75" x14ac:dyDescent="0.25">
      <c r="A41" s="5" t="str">
        <f>HYPERLINK("#'15 Scope 3'!A1", "15 Scope 3")</f>
        <v>15 Scope 3</v>
      </c>
    </row>
    <row r="42" spans="1:1" ht="15.75" x14ac:dyDescent="0.25">
      <c r="A42" s="5" t="str">
        <f>HYPERLINK("#'Calcs - Manure sent off-site'!A1", "Calcs - Manure sent off-site")</f>
        <v>Calcs - Manure sent off-site</v>
      </c>
    </row>
    <row r="43" spans="1:1" ht="15.75" x14ac:dyDescent="0.25">
      <c r="A43" s="5" t="str">
        <f>HYPERLINK("#'4.3.1.1-2 Methane'!A1", "4.3.1.1-2 Methane")</f>
        <v>4.3.1.1-2 Methane</v>
      </c>
    </row>
    <row r="44" spans="1:1" ht="15.75" x14ac:dyDescent="0.25">
      <c r="A44" s="5" t="str">
        <f>HYPERLINK("#'4.3.1.3-4 Direct N20'!A1", "4.3.1.3-4 Direct N20")</f>
        <v>4.3.1.3-4 Direct N20</v>
      </c>
    </row>
    <row r="45" spans="1:1" ht="15.75" x14ac:dyDescent="0.25">
      <c r="A45" s="5" t="str">
        <f>HYPERLINK("#'4.3.1.5 Atmos deposition'!A1", "4.3.1.5 Atmos deposition")</f>
        <v>4.3.1.5 Atmos deposition</v>
      </c>
    </row>
    <row r="46" spans="1:1" ht="15.75" x14ac:dyDescent="0.25">
      <c r="A46" s="5" t="str">
        <f>HYPERLINK("#'4.3.1.6-7 Leaching and runoff'!A1", "4.3.1.6-7 Leaching and runoff")</f>
        <v>4.3.1.6-7 Leaching and runoff</v>
      </c>
    </row>
    <row r="47" spans="1:1" ht="15.75" x14ac:dyDescent="0.25">
      <c r="A47" s="5" t="str">
        <f>HYPERLINK("#'4.3.1.8 Manure applied to soils'!A1", "4.3.1.8 Manure applied to soils")</f>
        <v>4.3.1.8 Manure applied to soils</v>
      </c>
    </row>
    <row r="48" spans="1:1" ht="15.75" x14ac:dyDescent="0.25">
      <c r="A48" s="5" t="str">
        <f>HYPERLINK("#'4.3.1.9 Soil direct N2O'!A1", "4.3.1.9 Soil direct N2O")</f>
        <v>4.3.1.9 Soil direct N2O</v>
      </c>
    </row>
    <row r="49" spans="1:1" ht="15.75" x14ac:dyDescent="0.25">
      <c r="A49" s="5" t="str">
        <f>HYPERLINK("#'4.3.1.10-11 Soil Atmos Dep'!A1", "4.3.1.10-11 Soil Atmos Dep")</f>
        <v>4.3.1.10-11 Soil Atmos Dep</v>
      </c>
    </row>
    <row r="50" spans="1:1" ht="15.75" x14ac:dyDescent="0.25">
      <c r="A50" s="5" t="str">
        <f>HYPERLINK("#'4.3.1.12-13 Soil leach runoff'!A1", "4.3.1.12-13 Soil leach runoff")</f>
        <v>4.3.1.12-13 Soil leach runoff</v>
      </c>
    </row>
    <row r="51" spans="1:1" ht="15.75" x14ac:dyDescent="0.25">
      <c r="A51" s="5" t="str">
        <f>HYPERLINK("#'3.3.1.1-2 Enteric Methane'!A1", "3.3.1.1-2 Enteric Methane")</f>
        <v>3.3.1.1-2 Enteric Methane</v>
      </c>
    </row>
    <row r="52" spans="1:1" ht="15.75" x14ac:dyDescent="0.25">
      <c r="A52" s="5" t="str">
        <f>HYPERLINK("#'10.1.1-2 Solid waste treatment'!A1", "10.1.1-2 Solid waste treatment")</f>
        <v>10.1.1-2 Solid waste treatment</v>
      </c>
    </row>
    <row r="55" spans="1:1" x14ac:dyDescent="0.25">
      <c r="A55" s="100" t="s">
        <v>1</v>
      </c>
    </row>
    <row r="56" spans="1:1" ht="15.75" x14ac:dyDescent="0.25">
      <c r="A56" s="5" t="str">
        <f>HYPERLINK("#'Constants - Dairy'!A1", "Constants - Dairy")</f>
        <v>Constants - Dairy</v>
      </c>
    </row>
    <row r="57" spans="1:1" ht="15.75" x14ac:dyDescent="0.25">
      <c r="A57" s="5" t="str">
        <f>HYPERLINK("#'Constants - Ag Residue'!A1", "Constants - Ag residue")</f>
        <v>Constants - Ag residue</v>
      </c>
    </row>
    <row r="58" spans="1:1" ht="15.75" x14ac:dyDescent="0.25">
      <c r="A58" s="5" t="str">
        <f>HYPERLINK("#'Constants - Common Livestock'!A1", "Constants - Common Livestock")</f>
        <v>Constants - Common Livestock</v>
      </c>
    </row>
    <row r="59" spans="1:1" ht="15.75" x14ac:dyDescent="0.25">
      <c r="A59" s="5" t="str">
        <f>HYPERLINK("#'Constants - Electricity'!A1", "Constants - Electricity")</f>
        <v>Constants - Electricity</v>
      </c>
    </row>
    <row r="60" spans="1:1" ht="15.75" x14ac:dyDescent="0.25">
      <c r="A60" s="5" t="str">
        <f>HYPERLINK("#'Constants - Fertiliser'!A1", "Constants - Fertiliser")</f>
        <v>Constants - Fertiliser</v>
      </c>
    </row>
    <row r="61" spans="1:1" ht="15.75" x14ac:dyDescent="0.25">
      <c r="A61" s="5" t="str">
        <f>HYPERLINK("#'Constants - Fuel'!A1", "Constants - Fuel")</f>
        <v>Constants - Fuel</v>
      </c>
    </row>
    <row r="62" spans="1:1" ht="15.75" x14ac:dyDescent="0.25">
      <c r="A62" s="5" t="str">
        <f>HYPERLINK("#'Constants - Scope 3'!A1", "Constants - Scope 3")</f>
        <v>Constants - Scope 3</v>
      </c>
    </row>
    <row r="63" spans="1:1" ht="15.75" x14ac:dyDescent="0.25">
      <c r="A63" s="5" t="str">
        <f>HYPERLINK("#'Constants - Common'!A1", "Constants - Common")</f>
        <v>Constants - Common</v>
      </c>
    </row>
    <row r="64" spans="1:1" ht="15.75" x14ac:dyDescent="0.25">
      <c r="A64" s="148" t="str">
        <f>HYPERLINK("#'Acknowledgements'!A1", "Acknowledgements")</f>
        <v>Acknowledgements</v>
      </c>
    </row>
    <row r="65" spans="1:1" ht="15.75" x14ac:dyDescent="0.25">
      <c r="A65" s="5" t="str">
        <f>HYPERLINK("#'Constants - Solid Waste'!A1", "Constants - Solid Waste")</f>
        <v>Constants - Solid Waste</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C0DCE-0A29-45EF-9650-587F86DEB45A}">
  <sheetPr>
    <tabColor theme="5" tint="-0.249977111117893"/>
  </sheetPr>
  <dimension ref="A1:L38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878</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2" t="s">
        <v>879</v>
      </c>
    </row>
    <row r="6" spans="1:10" ht="20.100000000000001" customHeight="1" x14ac:dyDescent="0.25"/>
    <row r="7" spans="1:10" ht="20.100000000000001" customHeight="1" x14ac:dyDescent="0.25">
      <c r="D7" s="45" t="s">
        <v>753</v>
      </c>
      <c r="E7" s="48"/>
    </row>
    <row r="8" spans="1:10" ht="20.100000000000001" customHeight="1" x14ac:dyDescent="0.25">
      <c r="A8" s="7" t="s">
        <v>0</v>
      </c>
    </row>
    <row r="9" spans="1:10" ht="20.100000000000001" customHeight="1" x14ac:dyDescent="0.25">
      <c r="A9" s="5" t="str">
        <f>HYPERLINK("#'Input - Enterprise'!A1", "Enterprise")</f>
        <v>Enterprise</v>
      </c>
      <c r="D9" s="94" t="s">
        <v>754</v>
      </c>
      <c r="E9" s="94" t="s">
        <v>880</v>
      </c>
      <c r="F9" s="94" t="s">
        <v>881</v>
      </c>
      <c r="G9" s="94" t="s">
        <v>882</v>
      </c>
      <c r="H9" s="94" t="s">
        <v>883</v>
      </c>
      <c r="I9" s="94" t="s">
        <v>884</v>
      </c>
    </row>
    <row r="10" spans="1:10" ht="20.100000000000001" customHeight="1" x14ac:dyDescent="0.25">
      <c r="A10" s="5" t="str">
        <f>HYPERLINK("#'Input - Site'!A1", "Site")</f>
        <v>Site</v>
      </c>
      <c r="D10" s="29" t="s">
        <v>885</v>
      </c>
      <c r="E10" s="23" t="s">
        <v>886</v>
      </c>
      <c r="F10" s="23" t="s">
        <v>887</v>
      </c>
      <c r="G10" s="23" t="s">
        <v>888</v>
      </c>
      <c r="H10" s="85">
        <v>50</v>
      </c>
      <c r="I10" s="23" t="s">
        <v>20</v>
      </c>
    </row>
    <row r="11" spans="1:10" ht="20.100000000000001" customHeight="1" x14ac:dyDescent="0.25">
      <c r="A11" s="5" t="str">
        <f>HYPERLINK("#'Input - Dairy'!A1", "Dairy")</f>
        <v>Dairy</v>
      </c>
      <c r="D11" s="29" t="s">
        <v>889</v>
      </c>
      <c r="E11" s="23" t="s">
        <v>886</v>
      </c>
      <c r="F11" s="23" t="s">
        <v>887</v>
      </c>
      <c r="G11" s="23" t="s">
        <v>890</v>
      </c>
      <c r="H11" s="85">
        <v>50</v>
      </c>
      <c r="I11" s="23" t="s">
        <v>891</v>
      </c>
    </row>
    <row r="12" spans="1:10" ht="20.100000000000001" customHeight="1" x14ac:dyDescent="0.25">
      <c r="A12" s="5" t="str">
        <f>HYPERLINK("#'Input - Dairy (Enteric)'!A1", "Dairy (Enteric)")</f>
        <v>Dairy (Enteric)</v>
      </c>
      <c r="D12" s="29" t="s">
        <v>892</v>
      </c>
      <c r="E12" s="23" t="s">
        <v>886</v>
      </c>
      <c r="F12" s="23" t="s">
        <v>893</v>
      </c>
      <c r="G12" s="23" t="s">
        <v>888</v>
      </c>
      <c r="H12" s="85">
        <v>50</v>
      </c>
      <c r="I12" s="23" t="s">
        <v>20</v>
      </c>
    </row>
    <row r="13" spans="1:10" ht="20.100000000000001" customHeight="1" x14ac:dyDescent="0.25">
      <c r="A13" s="5" t="str">
        <f>HYPERLINK("#'Input - Livestock sales'!A1", "Livestock sales")</f>
        <v>Livestock sales</v>
      </c>
      <c r="D13" s="29" t="s">
        <v>894</v>
      </c>
      <c r="E13" s="23" t="s">
        <v>886</v>
      </c>
      <c r="F13" s="23" t="s">
        <v>893</v>
      </c>
      <c r="G13" s="23" t="s">
        <v>890</v>
      </c>
      <c r="H13" s="85">
        <v>50</v>
      </c>
      <c r="I13" s="23" t="s">
        <v>891</v>
      </c>
    </row>
    <row r="14" spans="1:10" ht="20.100000000000001" customHeight="1" x14ac:dyDescent="0.25">
      <c r="A14" s="5" t="str">
        <f>HYPERLINK("#'Input - Dairy cattle purchases'!A1", "Dairy cattle purchases")</f>
        <v>Dairy cattle purchases</v>
      </c>
      <c r="D14" s="29" t="s">
        <v>895</v>
      </c>
      <c r="E14" s="23" t="s">
        <v>896</v>
      </c>
      <c r="F14" s="23" t="s">
        <v>893</v>
      </c>
      <c r="G14" s="23" t="s">
        <v>888</v>
      </c>
      <c r="H14" s="85">
        <v>50</v>
      </c>
      <c r="I14" s="23" t="s">
        <v>20</v>
      </c>
    </row>
    <row r="15" spans="1:10" ht="20.100000000000001" customHeight="1" x14ac:dyDescent="0.25">
      <c r="A15" s="5" t="str">
        <f>HYPERLINK("#'Input - Pasture'!A1", "Pasture")</f>
        <v>Pasture</v>
      </c>
      <c r="D15" s="29" t="s">
        <v>897</v>
      </c>
      <c r="E15" s="23" t="s">
        <v>896</v>
      </c>
      <c r="F15" s="23" t="s">
        <v>893</v>
      </c>
      <c r="G15" s="23" t="s">
        <v>888</v>
      </c>
      <c r="H15" s="85">
        <v>50</v>
      </c>
      <c r="I15" s="23" t="s">
        <v>891</v>
      </c>
    </row>
    <row r="16" spans="1:10" ht="20.100000000000001" customHeight="1" x14ac:dyDescent="0.25">
      <c r="A16" s="5" t="str">
        <f>HYPERLINK("#'Input - Fert Prod System'!A1", "Fert Prod System")</f>
        <v>Fert Prod System</v>
      </c>
      <c r="D16" s="29" t="s">
        <v>898</v>
      </c>
      <c r="E16" s="23" t="s">
        <v>896</v>
      </c>
      <c r="F16" s="23" t="s">
        <v>893</v>
      </c>
      <c r="G16" s="23" t="s">
        <v>890</v>
      </c>
      <c r="H16" s="85">
        <v>50</v>
      </c>
      <c r="I16" s="23" t="s">
        <v>20</v>
      </c>
    </row>
    <row r="17" spans="1:11" ht="20.100000000000001" customHeight="1" x14ac:dyDescent="0.25">
      <c r="A17" s="5" t="str">
        <f>HYPERLINK("#'Input - Fertiliser'!A1", "Fertiliser")</f>
        <v>Fertiliser</v>
      </c>
      <c r="D17" s="29" t="s">
        <v>899</v>
      </c>
      <c r="E17" s="23" t="s">
        <v>896</v>
      </c>
      <c r="F17" s="23" t="s">
        <v>893</v>
      </c>
      <c r="G17" s="23" t="s">
        <v>890</v>
      </c>
      <c r="H17" s="85">
        <v>50</v>
      </c>
      <c r="I17" s="23" t="s">
        <v>891</v>
      </c>
    </row>
    <row r="18" spans="1:11" ht="20.100000000000001" customHeight="1" x14ac:dyDescent="0.25">
      <c r="A18" s="5" t="str">
        <f>HYPERLINK("#'Input - Fuel'!A1", "Fuel")</f>
        <v>Fuel</v>
      </c>
      <c r="D18" s="29" t="s">
        <v>900</v>
      </c>
      <c r="E18" s="23" t="s">
        <v>896</v>
      </c>
      <c r="F18" s="23" t="s">
        <v>887</v>
      </c>
      <c r="G18" s="23" t="s">
        <v>888</v>
      </c>
      <c r="H18" s="85">
        <v>50</v>
      </c>
      <c r="I18" s="23" t="s">
        <v>20</v>
      </c>
    </row>
    <row r="19" spans="1:11" ht="20.100000000000001" customHeight="1" x14ac:dyDescent="0.25">
      <c r="A19" s="5" t="str">
        <f>HYPERLINK("#'Input - Electricity'!A1", "Electricity")</f>
        <v>Electricity</v>
      </c>
      <c r="D19" s="29" t="s">
        <v>901</v>
      </c>
      <c r="E19" s="23" t="s">
        <v>896</v>
      </c>
      <c r="F19" s="23" t="s">
        <v>887</v>
      </c>
      <c r="G19" s="23" t="s">
        <v>888</v>
      </c>
      <c r="H19" s="85">
        <v>50</v>
      </c>
      <c r="I19" s="23" t="s">
        <v>891</v>
      </c>
    </row>
    <row r="20" spans="1:11" ht="20.100000000000001" customHeight="1" x14ac:dyDescent="0.25">
      <c r="A20" s="5" t="str">
        <f>HYPERLINK("#'Input - Common farm inputs'!A1", "Common farm inputs")</f>
        <v>Common farm inputs</v>
      </c>
      <c r="D20" s="29" t="s">
        <v>902</v>
      </c>
      <c r="E20" s="23" t="s">
        <v>896</v>
      </c>
      <c r="F20" s="23" t="s">
        <v>887</v>
      </c>
      <c r="G20" s="23" t="s">
        <v>890</v>
      </c>
      <c r="H20" s="85">
        <v>50</v>
      </c>
      <c r="I20" s="23" t="s">
        <v>20</v>
      </c>
    </row>
    <row r="21" spans="1:11" ht="20.100000000000001" customHeight="1" x14ac:dyDescent="0.25">
      <c r="A21" s="5" t="str">
        <f>HYPERLINK("#'Input - Crop pasture farm input'!A1", "Crop pasture farm input")</f>
        <v>Crop pasture farm input</v>
      </c>
      <c r="D21" s="29" t="s">
        <v>903</v>
      </c>
      <c r="E21" s="23" t="s">
        <v>896</v>
      </c>
      <c r="F21" s="23" t="s">
        <v>887</v>
      </c>
      <c r="G21" s="23" t="s">
        <v>890</v>
      </c>
      <c r="H21" s="85">
        <v>50</v>
      </c>
      <c r="I21" s="23" t="s">
        <v>891</v>
      </c>
    </row>
    <row r="22" spans="1:11" ht="20.100000000000001" customHeight="1" x14ac:dyDescent="0.25">
      <c r="A22" s="5" t="str">
        <f>HYPERLINK("#'Input - Livestock farm Inputs'!A1", "Livestock farm Inputs")</f>
        <v>Livestock farm Inputs</v>
      </c>
      <c r="D22" s="29" t="s">
        <v>904</v>
      </c>
      <c r="E22" s="23" t="s">
        <v>896</v>
      </c>
      <c r="F22" s="23" t="s">
        <v>905</v>
      </c>
      <c r="G22" s="23" t="s">
        <v>888</v>
      </c>
      <c r="H22" s="85">
        <v>50</v>
      </c>
      <c r="I22" s="23" t="s">
        <v>20</v>
      </c>
    </row>
    <row r="23" spans="1:11" ht="20.100000000000001" customHeight="1" x14ac:dyDescent="0.25">
      <c r="A23" s="5" t="str">
        <f>HYPERLINK("#'Input - Freight'!A1", "Freight")</f>
        <v>Freight</v>
      </c>
      <c r="D23" s="29" t="s">
        <v>906</v>
      </c>
      <c r="E23" s="23" t="s">
        <v>896</v>
      </c>
      <c r="F23" s="23" t="s">
        <v>905</v>
      </c>
      <c r="G23" s="23" t="s">
        <v>888</v>
      </c>
      <c r="H23" s="85">
        <v>50</v>
      </c>
      <c r="I23" s="23" t="s">
        <v>891</v>
      </c>
    </row>
    <row r="24" spans="1:11" ht="20.100000000000001" customHeight="1" x14ac:dyDescent="0.25">
      <c r="A24" s="5" t="str">
        <f>HYPERLINK("#'Input - Manure sent off-site'!A1", "Manure sent off-site")</f>
        <v>Manure sent off-site</v>
      </c>
      <c r="D24" s="29" t="s">
        <v>907</v>
      </c>
      <c r="E24" s="23" t="s">
        <v>896</v>
      </c>
      <c r="F24" s="23" t="s">
        <v>905</v>
      </c>
      <c r="G24" s="23" t="s">
        <v>890</v>
      </c>
      <c r="H24" s="85">
        <v>50</v>
      </c>
      <c r="I24" s="23" t="s">
        <v>20</v>
      </c>
    </row>
    <row r="25" spans="1:11" ht="20.100000000000001" customHeight="1" x14ac:dyDescent="0.25">
      <c r="A25" s="98" t="str">
        <f>HYPERLINK("#'Input - Solid waste'!A1", "Solid waste")</f>
        <v>Solid waste</v>
      </c>
      <c r="D25" s="29" t="s">
        <v>908</v>
      </c>
      <c r="E25" s="23" t="s">
        <v>896</v>
      </c>
      <c r="F25" s="23" t="s">
        <v>905</v>
      </c>
      <c r="G25" s="23" t="s">
        <v>890</v>
      </c>
      <c r="H25" s="85">
        <v>50</v>
      </c>
      <c r="I25" s="23" t="s">
        <v>891</v>
      </c>
    </row>
    <row r="26" spans="1:11" ht="20.100000000000001" customHeight="1" x14ac:dyDescent="0.25">
      <c r="A26" s="5" t="str">
        <f>HYPERLINK("#'Input - Data quality'!A1", "Data quality")</f>
        <v>Data quality</v>
      </c>
      <c r="D26" s="29" t="s">
        <v>909</v>
      </c>
      <c r="E26" s="23" t="s">
        <v>910</v>
      </c>
      <c r="F26" s="23" t="s">
        <v>887</v>
      </c>
      <c r="G26" s="23" t="s">
        <v>890</v>
      </c>
      <c r="H26" s="85">
        <v>50</v>
      </c>
      <c r="I26" s="23" t="s">
        <v>20</v>
      </c>
    </row>
    <row r="27" spans="1:11" ht="20.100000000000001" customHeight="1" x14ac:dyDescent="0.25">
      <c r="D27" s="29" t="s">
        <v>911</v>
      </c>
      <c r="E27" s="23" t="s">
        <v>910</v>
      </c>
      <c r="F27" s="23" t="s">
        <v>887</v>
      </c>
      <c r="G27" s="23" t="s">
        <v>890</v>
      </c>
      <c r="H27" s="85">
        <v>50</v>
      </c>
      <c r="I27" s="23" t="s">
        <v>891</v>
      </c>
    </row>
    <row r="28" spans="1:11" ht="20.100000000000001" customHeight="1" x14ac:dyDescent="0.25">
      <c r="D28" s="29" t="s">
        <v>912</v>
      </c>
      <c r="E28" s="23" t="s">
        <v>910</v>
      </c>
      <c r="F28" s="23" t="s">
        <v>905</v>
      </c>
      <c r="G28" s="23" t="s">
        <v>890</v>
      </c>
      <c r="H28" s="85">
        <v>50</v>
      </c>
      <c r="I28" s="23" t="s">
        <v>20</v>
      </c>
    </row>
    <row r="29" spans="1:11" ht="20.100000000000001" customHeight="1" x14ac:dyDescent="0.25">
      <c r="A29" s="6" t="s">
        <v>2</v>
      </c>
      <c r="D29" s="29" t="s">
        <v>913</v>
      </c>
      <c r="E29" s="23" t="s">
        <v>910</v>
      </c>
      <c r="F29" s="23" t="s">
        <v>905</v>
      </c>
      <c r="G29" s="23" t="s">
        <v>890</v>
      </c>
      <c r="H29" s="85">
        <v>50</v>
      </c>
      <c r="I29" s="23" t="s">
        <v>891</v>
      </c>
      <c r="K29" s="180"/>
    </row>
    <row r="30" spans="1:11" ht="20.100000000000001" customHeight="1" x14ac:dyDescent="0.25">
      <c r="A30" s="5" t="str">
        <f>HYPERLINK("#'5.1.1.1-2 Inorganic fert N2O'!A1", "5.1.1.1-2 Inorganic fert N2O")</f>
        <v>5.1.1.1-2 Inorganic fert N2O</v>
      </c>
      <c r="D30" s="29" t="s">
        <v>914</v>
      </c>
      <c r="E30" s="23" t="s">
        <v>910</v>
      </c>
      <c r="F30" s="23" t="s">
        <v>905</v>
      </c>
      <c r="G30" s="23" t="s">
        <v>888</v>
      </c>
      <c r="H30" s="85">
        <v>50</v>
      </c>
      <c r="I30" s="23" t="s">
        <v>20</v>
      </c>
      <c r="K30" s="180"/>
    </row>
    <row r="31" spans="1:11" ht="20.100000000000001" customHeight="1" x14ac:dyDescent="0.25">
      <c r="A31" s="5" t="str">
        <f>HYPERLINK("#'5.1.1.3-4 Inorganic fert CO2'!A1", "5.1.1.3-4 Inorganic fert CO2")</f>
        <v>5.1.1.3-4 Inorganic fert CO2</v>
      </c>
      <c r="D31" s="29" t="s">
        <v>915</v>
      </c>
      <c r="E31" s="23" t="s">
        <v>910</v>
      </c>
      <c r="F31" s="23" t="s">
        <v>905</v>
      </c>
      <c r="G31" s="23" t="s">
        <v>888</v>
      </c>
      <c r="H31" s="85">
        <v>50</v>
      </c>
      <c r="I31" s="23" t="s">
        <v>891</v>
      </c>
      <c r="K31" s="180"/>
    </row>
    <row r="32" spans="1:11" ht="20.100000000000001" customHeight="1" x14ac:dyDescent="0.25">
      <c r="A32" s="5" t="str">
        <f>HYPERLINK("#'5.2.1.1-2 Organic Fert N2O'!A1", "5.2.1.1-2 Organic fert N2O")</f>
        <v>5.2.1.1-2 Organic fert N2O</v>
      </c>
      <c r="D32" s="29" t="s">
        <v>913</v>
      </c>
      <c r="E32" s="23" t="s">
        <v>910</v>
      </c>
      <c r="F32" s="23" t="s">
        <v>905</v>
      </c>
      <c r="G32" s="23" t="s">
        <v>890</v>
      </c>
      <c r="H32" s="85">
        <v>50</v>
      </c>
      <c r="I32" s="23" t="s">
        <v>891</v>
      </c>
      <c r="K32" s="180"/>
    </row>
    <row r="33" spans="1:12" ht="20.100000000000001" customHeight="1" x14ac:dyDescent="0.25">
      <c r="A33" s="5" t="str">
        <f>HYPERLINK("#'5.3.1.1-2 Lime CO2'!A1", "5.3.1.1-2 Lime CO2")</f>
        <v>5.3.1.1-2 Lime CO2</v>
      </c>
      <c r="K33" s="180"/>
    </row>
    <row r="34" spans="1:12" ht="20.100000000000001" customHeight="1" x14ac:dyDescent="0.25">
      <c r="A34" s="5" t="str">
        <f>HYPERLINK("#'5.4.1.1-4 Atmos deposition'!A1", "5.4.1.1-4 Atmos. deposition")</f>
        <v>5.4.1.1-4 Atmos. deposition</v>
      </c>
      <c r="K34" s="180"/>
    </row>
    <row r="35" spans="1:12" ht="20.100000000000001" customHeight="1" x14ac:dyDescent="0.25">
      <c r="A35" s="5" t="str">
        <f>HYPERLINK("#'5.5.1.1-2 Leaching and runoff'!A1", "5.5.1.1-2 Leaching &amp; runoff")</f>
        <v>5.5.1.1-2 Leaching &amp; runoff</v>
      </c>
    </row>
    <row r="36" spans="1:12" ht="20.100000000000001" customHeight="1" x14ac:dyDescent="0.25">
      <c r="A36" s="5" t="str">
        <f>HYPERLINK("#'6.2.1.1-2 Pasture residue N2O'!A1", "6.2.1.1-2 Pasture residue N2O")</f>
        <v>6.2.1.1-2 Pasture residue N2O</v>
      </c>
      <c r="L36" s="180"/>
    </row>
    <row r="37" spans="1:12" ht="20.100000000000001" customHeight="1" x14ac:dyDescent="0.25">
      <c r="A37" s="5" t="str">
        <f>HYPERLINK("#'6.3.1.1-2 Leach runoff pasture'!A1", "6.3.1.1-2 Leach &amp; runoff (pasture)")</f>
        <v>6.3.1.1-2 Leach &amp; runoff (pasture)</v>
      </c>
      <c r="L37" s="180"/>
    </row>
    <row r="38" spans="1:12" ht="20.100000000000001" customHeight="1" x14ac:dyDescent="0.25">
      <c r="A38" s="5" t="str">
        <f>HYPERLINK("#'8.1.1.1-2 Transport fuel'!A1", "8.1.1.1-2 Transport fuel")</f>
        <v>8.1.1.1-2 Transport fuel</v>
      </c>
      <c r="C38" s="168"/>
    </row>
    <row r="39" spans="1:12" ht="20.100000000000001" customHeight="1" x14ac:dyDescent="0.25">
      <c r="A39" s="5" t="str">
        <f>HYPERLINK("#'8.2.1.1-2 Stationary fuel'!A1", "8.2.1.1-2 Stationary fuel")</f>
        <v>8.2.1.1-2 Stationary fuel</v>
      </c>
      <c r="C39" s="168"/>
      <c r="J39" s="168"/>
    </row>
    <row r="40" spans="1:12" s="180" customFormat="1" ht="20.100000000000001" customHeight="1" x14ac:dyDescent="0.25">
      <c r="A40" s="5" t="str">
        <f>HYPERLINK("#'14.1.1-2 Purchased electricity'!A1", "14.1.1-2 Purchased electricity")</f>
        <v>14.1.1-2 Purchased electricity</v>
      </c>
      <c r="C40" s="1"/>
      <c r="D40" s="1"/>
      <c r="E40" s="1"/>
      <c r="F40" s="1"/>
      <c r="G40" s="1"/>
      <c r="H40" s="1"/>
      <c r="I40" s="1"/>
      <c r="J40" s="1"/>
    </row>
    <row r="41" spans="1:12" s="180" customFormat="1" ht="20.100000000000001" customHeight="1" x14ac:dyDescent="0.25">
      <c r="A41" s="5" t="str">
        <f>HYPERLINK("#'15 Scope 3'!A1", "15 Scope 3")</f>
        <v>15 Scope 3</v>
      </c>
      <c r="C41" s="1"/>
      <c r="D41" s="1"/>
      <c r="E41" s="1"/>
      <c r="F41" s="1"/>
      <c r="G41" s="1"/>
      <c r="H41" s="1"/>
      <c r="I41" s="1"/>
      <c r="J41" s="1"/>
      <c r="L41" s="180" t="s">
        <v>487</v>
      </c>
    </row>
    <row r="42" spans="1:12" ht="20.100000000000001" customHeight="1" x14ac:dyDescent="0.25">
      <c r="A42" s="5" t="str">
        <f>HYPERLINK("#'Calcs - Manure sent off-site'!A1", "Calcs - Manure sent off-site")</f>
        <v>Calcs - Manure sent off-site</v>
      </c>
    </row>
    <row r="43" spans="1:12" ht="20.100000000000001" customHeight="1" x14ac:dyDescent="0.25">
      <c r="A43" s="5" t="str">
        <f>HYPERLINK("#'4.3.1.1-2 Methane'!A1", "4.3.1.1-2 Methane")</f>
        <v>4.3.1.1-2 Methane</v>
      </c>
    </row>
    <row r="44" spans="1:12" ht="20.100000000000001" customHeight="1" x14ac:dyDescent="0.25">
      <c r="A44" s="5" t="str">
        <f>HYPERLINK("#'4.3.1.3-4 Direct N20'!A1", "4.3.1.3-4 Direct N20")</f>
        <v>4.3.1.3-4 Direct N20</v>
      </c>
    </row>
    <row r="45" spans="1:12" ht="20.100000000000001" customHeight="1" x14ac:dyDescent="0.25">
      <c r="A45" s="5" t="str">
        <f>HYPERLINK("#'4.3.1.5 Atmos deposition'!A1", "4.3.1.5 Atmos deposition")</f>
        <v>4.3.1.5 Atmos deposition</v>
      </c>
    </row>
    <row r="46" spans="1:12" ht="20.100000000000001" customHeight="1" x14ac:dyDescent="0.25">
      <c r="A46" s="5" t="str">
        <f>HYPERLINK("#'4.3.1.6-7 Leaching and runoff'!A1", "4.3.1.6-7 Leaching and runoff")</f>
        <v>4.3.1.6-7 Leaching and runoff</v>
      </c>
    </row>
    <row r="47" spans="1:12" ht="20.100000000000001" customHeight="1" x14ac:dyDescent="0.25">
      <c r="A47" s="5" t="str">
        <f>HYPERLINK("#'4.3.1.8 Manure applied to soils'!A1", "4.3.1.8 Manure applied to soils")</f>
        <v>4.3.1.8 Manure applied to soils</v>
      </c>
    </row>
    <row r="48" spans="1:12" ht="20.100000000000001" customHeight="1" x14ac:dyDescent="0.25">
      <c r="A48" s="5" t="str">
        <f>HYPERLINK("#'4.3.1.9 Soil direct N2O'!A1", "4.3.1.9 Soil direct N2O")</f>
        <v>4.3.1.9 Soil direct N2O</v>
      </c>
    </row>
    <row r="49" spans="1:1" ht="20.100000000000001" customHeight="1" x14ac:dyDescent="0.25">
      <c r="A49" s="5" t="str">
        <f>HYPERLINK("#'4.3.1.10-11 Soil Atmos Dep'!A1", "4.3.1.10-11 Soil Atmos Dep")</f>
        <v>4.3.1.10-11 Soil Atmos Dep</v>
      </c>
    </row>
    <row r="50" spans="1:1" ht="20.100000000000001" customHeight="1" x14ac:dyDescent="0.25">
      <c r="A50" s="5" t="str">
        <f>HYPERLINK("#'4.3.1.12-13 Soil leach runoff'!A1", "4.3.1.12-13 Soil leach runoff")</f>
        <v>4.3.1.12-13 Soil leach runoff</v>
      </c>
    </row>
    <row r="51" spans="1:1" ht="20.100000000000001" customHeight="1" x14ac:dyDescent="0.25">
      <c r="A51" s="5" t="str">
        <f>HYPERLINK("#'3.3.1.1-2 Enteric Methane'!A1", "3.3.1.1-2 Enteric Methane")</f>
        <v>3.3.1.1-2 Enteric Methane</v>
      </c>
    </row>
    <row r="52" spans="1:1" ht="20.100000000000001" customHeight="1" x14ac:dyDescent="0.25">
      <c r="A52" s="5" t="str">
        <f>HYPERLINK("#'10.1.1-2 Solid waste treatment'!A1", "10.1.1-2 Solid waste treatment")</f>
        <v>10.1.1-2 Solid waste treatment</v>
      </c>
    </row>
    <row r="53" spans="1:1" ht="20.100000000000001" customHeight="1" x14ac:dyDescent="0.25"/>
    <row r="54" spans="1:1" ht="20.100000000000001" customHeight="1" x14ac:dyDescent="0.25"/>
    <row r="55" spans="1:1" ht="20.100000000000001" customHeight="1" x14ac:dyDescent="0.25">
      <c r="A55" s="100" t="s">
        <v>1</v>
      </c>
    </row>
    <row r="56" spans="1:1" ht="20.100000000000001" customHeight="1" x14ac:dyDescent="0.25">
      <c r="A56" s="5" t="str">
        <f>HYPERLINK("#'Constants - Dairy'!A1", "Constants - Dairy")</f>
        <v>Constants - Dairy</v>
      </c>
    </row>
    <row r="57" spans="1:1" ht="20.100000000000001" customHeight="1" x14ac:dyDescent="0.25">
      <c r="A57" s="5" t="str">
        <f>HYPERLINK("#'Constants - Ag Residue'!A1", "Constants - Ag residue")</f>
        <v>Constants - Ag residue</v>
      </c>
    </row>
    <row r="58" spans="1:1" ht="20.100000000000001" customHeight="1" x14ac:dyDescent="0.25">
      <c r="A58" s="5" t="str">
        <f>HYPERLINK("#'Constants - Common Livestock'!A1", "Constants - Common Livestock")</f>
        <v>Constants - Common Livestock</v>
      </c>
    </row>
    <row r="59" spans="1:1" ht="20.100000000000001" customHeight="1" x14ac:dyDescent="0.25">
      <c r="A59" s="5" t="str">
        <f>HYPERLINK("#'Constants - Electricity'!A1", "Constants - Electricity")</f>
        <v>Constants - Electricity</v>
      </c>
    </row>
    <row r="60" spans="1:1" ht="20.100000000000001" customHeight="1" x14ac:dyDescent="0.25">
      <c r="A60" s="5" t="str">
        <f>HYPERLINK("#'Constants - Fertiliser'!A1", "Constants - Fertiliser")</f>
        <v>Constants - Fertiliser</v>
      </c>
    </row>
    <row r="61" spans="1:1" ht="20.100000000000001" customHeight="1" x14ac:dyDescent="0.25">
      <c r="A61" s="5" t="str">
        <f>HYPERLINK("#'Constants - Fuel'!A1", "Constants - Fuel")</f>
        <v>Constants - Fuel</v>
      </c>
    </row>
    <row r="62" spans="1:1" ht="20.100000000000001" customHeight="1" x14ac:dyDescent="0.25">
      <c r="A62" s="5" t="str">
        <f>HYPERLINK("#'Constants - Scope 3'!A1", "Constants - Scope 3")</f>
        <v>Constants - Scope 3</v>
      </c>
    </row>
    <row r="63" spans="1:1" ht="20.100000000000001" customHeight="1" x14ac:dyDescent="0.25">
      <c r="A63" s="5" t="str">
        <f>HYPERLINK("#'Constants - Common'!A1", "Constants - Common")</f>
        <v>Constants - Common</v>
      </c>
    </row>
    <row r="64" spans="1:1" ht="20.100000000000001" customHeight="1" x14ac:dyDescent="0.25">
      <c r="A64" s="5" t="str">
        <f>HYPERLINK("#'Acknowledgements'!A1", "Acknowledgements")</f>
        <v>Acknowledgements</v>
      </c>
    </row>
    <row r="65" spans="1:4" ht="20.100000000000001" customHeight="1" x14ac:dyDescent="0.25">
      <c r="A65" s="5" t="str">
        <f>HYPERLINK("#'Constants - Solid Waste'!A1", "Constants - Solid Waste")</f>
        <v>Constants - Solid Waste</v>
      </c>
    </row>
    <row r="66" spans="1:4" ht="20.100000000000001" customHeight="1" x14ac:dyDescent="0.25"/>
    <row r="67" spans="1:4" ht="20.100000000000001" customHeight="1" x14ac:dyDescent="0.25"/>
    <row r="68" spans="1:4" ht="20.100000000000001" customHeight="1" x14ac:dyDescent="0.25"/>
    <row r="69" spans="1:4" ht="20.100000000000001" customHeight="1" x14ac:dyDescent="0.25"/>
    <row r="70" spans="1:4" ht="20.100000000000001" customHeight="1" x14ac:dyDescent="0.25"/>
    <row r="71" spans="1:4" ht="20.100000000000001" customHeight="1" x14ac:dyDescent="0.25"/>
    <row r="72" spans="1:4" ht="20.100000000000001" customHeight="1" x14ac:dyDescent="0.25"/>
    <row r="73" spans="1:4" ht="20.100000000000001" customHeight="1" x14ac:dyDescent="0.25">
      <c r="D73" s="207"/>
    </row>
    <row r="74" spans="1:4" ht="20.100000000000001" customHeight="1" x14ac:dyDescent="0.25"/>
    <row r="75" spans="1:4" ht="20.100000000000001" customHeight="1" x14ac:dyDescent="0.25">
      <c r="D75" s="207"/>
    </row>
    <row r="76" spans="1:4" ht="20.100000000000001" customHeight="1" x14ac:dyDescent="0.25">
      <c r="D76" s="207"/>
    </row>
    <row r="77" spans="1:4" ht="20.100000000000001" customHeight="1" x14ac:dyDescent="0.25"/>
    <row r="78" spans="1:4" ht="20.100000000000001" customHeight="1" x14ac:dyDescent="0.25"/>
    <row r="79" spans="1:4" ht="20.100000000000001" customHeight="1" x14ac:dyDescent="0.25"/>
    <row r="80" spans="1: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1"/>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FDCEABAA-DD79-4352-A554-751F236CC031}">
      <formula1>INDIRECT("Table_WasteTypes_" &amp; SUBSTITUTE(E10, " ", "") &amp; "[Waste type w]")</formula1>
    </dataValidation>
    <dataValidation type="list" allowBlank="1" showInputMessage="1" showErrorMessage="1" sqref="I10:I32" xr:uid="{C4CE2EA4-74E2-43DA-AA75-C9B90EF6211F}">
      <formula1>"tonnes, cubic metres m3"</formula1>
    </dataValidation>
    <dataValidation type="list" allowBlank="1" showInputMessage="1" showErrorMessage="1" sqref="G10:G32" xr:uid="{741ED7C8-D17B-49A8-A86C-6A579129876E}">
      <formula1>"Treated on-site, Removed and treated off-site"</formula1>
    </dataValidation>
    <dataValidation type="list" allowBlank="1" showInputMessage="1" showErrorMessage="1" sqref="E10:E32" xr:uid="{FEDEBC27-3442-4DCA-ADF8-F6F927A7531D}">
      <formula1>INDIRECT(_xlfn.UNIQUE("Table_SourceData_WasteSolid_WasteTreatmentEFs[Treatment type t]"))</formula1>
    </dataValidation>
    <dataValidation type="list" allowBlank="1" showInputMessage="1" showErrorMessage="1" sqref="E35" xr:uid="{68CA1C3E-A1E8-4A37-8FF7-288D221F8D43}">
      <formula1>INDIRECT("Table_SourceData_ElectricityEFs[State, Territory or grid description]")</formula1>
    </dataValidation>
    <dataValidation type="list" allowBlank="1" showInputMessage="1" showErrorMessage="1" sqref="E89" xr:uid="{F0145927-320A-471E-A08B-8B74F633F642}">
      <formula1>INDIRECT("Table_SourceData_Swine_IrrigationMethods[Irrigation method]")</formula1>
    </dataValidation>
    <dataValidation type="list" allowBlank="1" showInputMessage="1" showErrorMessage="1" sqref="E273 E278 E283 E317 E312 E307 E185 E173 E149 E161" xr:uid="{A473487E-5A44-4487-B74D-E952B4A12368}">
      <formula1>"Yes, No"</formula1>
    </dataValidation>
    <dataValidation type="list" allowBlank="1" showInputMessage="1" showErrorMessage="1" sqref="E249" xr:uid="{7538D2E9-69E2-4CA0-A207-BCCF2773C77B}">
      <formula1>INDIRECT("Table_SourceData_Dairy_ProductionSystemTemplates[Area]")</formula1>
    </dataValidation>
    <dataValidation type="list" allowBlank="1" showInputMessage="1" showErrorMessage="1" sqref="D301" xr:uid="{AE09C5D1-4ECB-4827-8408-ECF47DDAE7B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68DF7-E2F0-48D2-857B-886BBF4418AB}">
  <dimension ref="A1:W305"/>
  <sheetViews>
    <sheetView showGridLines="0" topLeftCell="A48"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261</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8" t="s">
        <v>262</v>
      </c>
      <c r="E8" s="118"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7" t="s">
        <v>263</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264</v>
      </c>
      <c r="O16" s="122" t="s">
        <v>265</v>
      </c>
    </row>
    <row r="17" spans="1:23" ht="20.100000000000001" customHeight="1" x14ac:dyDescent="0.25">
      <c r="A17" s="5" t="str">
        <f>HYPERLINK("#'Input - Fertiliser'!A1", "Fertiliser")</f>
        <v>Fertiliser</v>
      </c>
      <c r="D17" s="123" t="s">
        <v>266</v>
      </c>
      <c r="O17" s="123" t="s">
        <v>267</v>
      </c>
    </row>
    <row r="18" spans="1:23" ht="20.100000000000001" customHeight="1" x14ac:dyDescent="0.25">
      <c r="A18" s="5" t="str">
        <f>HYPERLINK("#'Input - Fuel'!A1", "Fuel")</f>
        <v>Fuel</v>
      </c>
      <c r="D18" s="94" t="s">
        <v>213</v>
      </c>
      <c r="E18" s="94" t="s">
        <v>214</v>
      </c>
      <c r="F18" s="94" t="s">
        <v>215</v>
      </c>
      <c r="G18" s="94" t="s">
        <v>216</v>
      </c>
      <c r="H18" s="94" t="s">
        <v>217</v>
      </c>
      <c r="O18" s="94" t="s">
        <v>213</v>
      </c>
      <c r="P18" s="94" t="s">
        <v>214</v>
      </c>
      <c r="Q18" s="94" t="s">
        <v>215</v>
      </c>
      <c r="R18" s="94" t="s">
        <v>216</v>
      </c>
      <c r="S18" s="94" t="s">
        <v>217</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268</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268</v>
      </c>
      <c r="U19" s="26"/>
      <c r="V19" s="26"/>
    </row>
    <row r="20" spans="1:23" ht="20.100000000000001" customHeight="1" x14ac:dyDescent="0.25">
      <c r="A20" s="5" t="str">
        <f>HYPERLINK("#'Input - Common farm inputs'!A1", "Common farm inputs")</f>
        <v>Common farm inputs</v>
      </c>
    </row>
    <row r="21" spans="1:23" ht="20.100000000000001" customHeight="1" x14ac:dyDescent="0.25">
      <c r="A21" s="5" t="str">
        <f>HYPERLINK("#'Input - Crop pasture farm input'!A1", "Crop pasture farm input")</f>
        <v>Crop pasture farm input</v>
      </c>
      <c r="D21" s="122" t="s">
        <v>269</v>
      </c>
      <c r="O21" s="122" t="s">
        <v>270</v>
      </c>
    </row>
    <row r="22" spans="1:23" ht="20.100000000000001" customHeight="1" x14ac:dyDescent="0.25">
      <c r="A22" s="5" t="str">
        <f>HYPERLINK("#'Input - Livestock farm Inputs'!A1", "Livestock farm Inputs")</f>
        <v>Livestock farm Inputs</v>
      </c>
      <c r="D22" s="123" t="s">
        <v>271</v>
      </c>
      <c r="O22" s="123" t="s">
        <v>272</v>
      </c>
    </row>
    <row r="23" spans="1:23" ht="20.100000000000001" customHeight="1" x14ac:dyDescent="0.25">
      <c r="A23" s="5" t="str">
        <f>HYPERLINK("#'Input - Freight'!A1", "Freight")</f>
        <v>Freight</v>
      </c>
      <c r="D23" s="124" t="s">
        <v>213</v>
      </c>
      <c r="E23" s="124" t="s">
        <v>214</v>
      </c>
      <c r="F23" s="124" t="s">
        <v>215</v>
      </c>
      <c r="G23" s="124" t="s">
        <v>216</v>
      </c>
      <c r="H23" s="124" t="s">
        <v>217</v>
      </c>
      <c r="O23" s="124" t="s">
        <v>213</v>
      </c>
      <c r="P23" s="124" t="s">
        <v>214</v>
      </c>
      <c r="Q23" s="124" t="s">
        <v>215</v>
      </c>
      <c r="R23" s="124" t="s">
        <v>216</v>
      </c>
      <c r="S23" s="124" t="s">
        <v>217</v>
      </c>
    </row>
    <row r="24" spans="1:23" ht="20.100000000000001" customHeight="1" x14ac:dyDescent="0.25">
      <c r="A24" s="5" t="str">
        <f>HYPERLINK("#'Input - Manure sent off-site'!A1", "Manure sent off-site")</f>
        <v>Manure sent off-site</v>
      </c>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c r="A25" s="5" t="str">
        <f>HYPERLINK("#'Input - Solid waste'!A1", "Solid waste")</f>
        <v>Solid waste</v>
      </c>
    </row>
    <row r="26" spans="1:23" ht="20.100000000000001" customHeight="1" x14ac:dyDescent="0.25">
      <c r="A26" s="5" t="str">
        <f>HYPERLINK("#'Input - Data quality'!A1", "Data quality")</f>
        <v>Data quality</v>
      </c>
    </row>
    <row r="27" spans="1:23" ht="20.100000000000001" customHeight="1" x14ac:dyDescent="0.25">
      <c r="C27" s="101"/>
      <c r="D27" s="101"/>
      <c r="E27" s="101"/>
      <c r="F27" s="101"/>
      <c r="G27" s="101"/>
      <c r="H27" s="101"/>
      <c r="I27" s="101"/>
      <c r="J27" s="101"/>
      <c r="K27" s="101"/>
      <c r="L27" s="101"/>
      <c r="N27" s="101"/>
      <c r="O27" s="101"/>
      <c r="P27" s="101"/>
      <c r="Q27" s="101"/>
      <c r="R27" s="101"/>
      <c r="S27" s="101"/>
      <c r="T27" s="101"/>
      <c r="U27" s="101"/>
      <c r="V27" s="101"/>
      <c r="W27" s="101"/>
    </row>
    <row r="28" spans="1:23" ht="20.100000000000001" customHeight="1" x14ac:dyDescent="0.25">
      <c r="D28" s="2" t="str" cm="1">
        <f t="array" ref="D28">EntericMethane_Dairy_Equations.VEERG_3_3_1_1__5_MilkProductionFromMilkSolids_Title()</f>
        <v>Milk production converted from milk solids</v>
      </c>
    </row>
    <row r="29" spans="1:23" ht="20.100000000000001" customHeight="1" x14ac:dyDescent="0.25">
      <c r="A29" s="6" t="s">
        <v>2</v>
      </c>
      <c r="D29" s="27" t="str" cm="1">
        <f t="array" ref="D29">EntericMethane_Dairy_Equations.VEERG_3_3_1_1__5_MilkProductionFromMilkSolids_Source()</f>
        <v>VEERG 2026: 3.3.1.1, Equation (5)</v>
      </c>
    </row>
    <row r="30" spans="1:23" ht="20.100000000000001" customHeight="1" x14ac:dyDescent="0.25">
      <c r="A30" s="5" t="str">
        <f>HYPERLINK("#'5.1.1.1-2 Inorganic fert N2O'!A1", "5.1.1.1-2 Inorganic fert N2O")</f>
        <v>5.1.1.1-2 Inorganic fert N2O</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HYPERLINK("#'5.1.1.3-4 Inorganic fert CO2'!A1", "5.1.1.3-4 Inorganic fert CO2")</f>
        <v>5.1.1.3-4 Inorganic fert CO2</v>
      </c>
      <c r="D31" s="118" t="s">
        <v>262</v>
      </c>
      <c r="E31" s="118" t="str" cm="1">
        <f t="array" aca="1" ref="E31" ca="1">Common_InputFunctions.Utility_DisplayFunctionName(D50)</f>
        <v>=EntericMethane_Dairy_Equations.VEERG_3_3_1_1__5_MilkProductionFromMilkSolids</v>
      </c>
    </row>
    <row r="32" spans="1:23" ht="20.100000000000001" customHeight="1" x14ac:dyDescent="0.25">
      <c r="A32" s="5" t="str">
        <f>HYPERLINK("#'5.2.1.1-2 Organic Fert N2O'!A1", "5.2.1.1-2 Organic fert N2O")</f>
        <v>5.2.1.1-2 Organic fert N2O</v>
      </c>
    </row>
    <row r="33" spans="1:20" ht="20.100000000000001" customHeight="1" x14ac:dyDescent="0.25">
      <c r="A33" s="5" t="str">
        <f>HYPERLINK("#'5.3.1.1-2 Lime CO2'!A1", "5.3.1.1-2 Lime CO2")</f>
        <v>5.3.1.1-2 Lime CO2</v>
      </c>
    </row>
    <row r="34" spans="1:20" ht="20.100000000000001" customHeight="1" x14ac:dyDescent="0.25">
      <c r="A34" s="5" t="str">
        <f>HYPERLINK("#'5.4.1.1-4 Atmos deposition'!A1", "5.4.1.1-4 Atmos. deposition")</f>
        <v>5.4.1.1-4 Atmos. deposition</v>
      </c>
      <c r="D34" s="87" t="s">
        <v>263</v>
      </c>
      <c r="E34" s="1" t="str" cm="1">
        <f t="array" ref="E34">EntericMethane_Dairy_Equations.VEERG_3_3_1_1__5_MilkProductionFromMilkSolids_Variable()</f>
        <v>MP_j</v>
      </c>
    </row>
    <row r="35" spans="1:20" ht="20.100000000000001" customHeight="1" x14ac:dyDescent="0.25">
      <c r="A35" s="5" t="str">
        <f>HYPERLINK("#'5.5.1.1-2 Leaching and runoff'!A1", "5.5.1.1-2 Leaching &amp; runoff")</f>
        <v>5.5.1.1-2 Leaching &amp; runoff</v>
      </c>
      <c r="D35" s="87" t="s">
        <v>122</v>
      </c>
      <c r="E35" s="15" t="str" cm="1">
        <f t="array" ref="E35">EntericMethane_Dairy_Equations.VEERG_3_3_1_1__5_MilkProductionFromMilkSolids_Unit()</f>
        <v>L/head/day</v>
      </c>
    </row>
    <row r="36" spans="1:20" ht="20.100000000000001" customHeight="1" x14ac:dyDescent="0.25">
      <c r="A36" s="5" t="str">
        <f>HYPERLINK("#'6.2.1.1-2 Pasture residue N2O'!A1", "6.2.1.1-2 Pasture residue N2O")</f>
        <v>6.2.1.1-2 Pasture residue N2O</v>
      </c>
    </row>
    <row r="37" spans="1:20" ht="20.100000000000001" customHeight="1" x14ac:dyDescent="0.25">
      <c r="A37" s="5" t="str">
        <f>HYPERLINK("#'6.3.1.1-2 Leach runoff pasture'!A1", "6.3.1.1-2 Leach &amp; runoff (pasture)")</f>
        <v>6.3.1.1-2 Leach &amp; runoff (pasture)</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O37" s="120" t="str" cm="1">
        <f t="array" ref="O37:P40">_xlfn.CHOOSECOLS(EntericMethane_Dairy_Equations.VEERG_3_3_1_1__5_MilkProductionFromMilkSolids_Arguments_Method2(),1,2)</f>
        <v>MPU</v>
      </c>
      <c r="P37" s="125" t="str">
        <v>milk production unit</v>
      </c>
      <c r="Q37" s="126"/>
      <c r="R37" s="120" t="str" cm="1">
        <f t="array" ref="R37:S40">_xlfn.CHOOSECOLS(EntericMethane_Dairy_Equations.VEERG_3_3_1_1__5_MilkProductionFromMilkSolids_Arguments_Method2(),3,4)</f>
        <v/>
      </c>
      <c r="S37" s="121" t="str">
        <v>Input</v>
      </c>
      <c r="T37" s="120"/>
    </row>
    <row r="38" spans="1:20" ht="20.100000000000001" customHeight="1" x14ac:dyDescent="0.25">
      <c r="A38" s="5" t="str">
        <f>HYPERLINK("#'8.1.1.1-2 Transport fuel'!A1", "8.1.1.1-2 Transport fuel")</f>
        <v>8.1.1.1-2 Transport fuel</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O38" s="120" t="str">
        <v>MS_j</v>
      </c>
      <c r="P38" s="125" t="str">
        <v>daily production of milk solids</v>
      </c>
      <c r="Q38" s="126"/>
      <c r="R38" s="120" t="str">
        <v>kg MS/head/day</v>
      </c>
      <c r="S38" s="121" t="str">
        <v>Input</v>
      </c>
      <c r="T38" s="127"/>
    </row>
    <row r="39" spans="1:20" ht="20.100000000000001" customHeight="1" x14ac:dyDescent="0.25">
      <c r="A39" s="5" t="str">
        <f>HYPERLINK("#'8.2.1.1-2 Stationary fuel'!A1", "8.2.1.1-2 Stationary fuel")</f>
        <v>8.2.1.1-2 Stationary fuel</v>
      </c>
      <c r="D39" s="120" t="str">
        <v>FC_j</v>
      </c>
      <c r="E39" s="125" t="str">
        <v>fat content in fat and protein corrected milk</v>
      </c>
      <c r="F39" s="126"/>
      <c r="G39" s="120" t="str">
        <v>per cent</v>
      </c>
      <c r="H39" s="121" t="str">
        <v>Input</v>
      </c>
      <c r="I39" s="120">
        <f>INDEX(X_Table_Dairy_MilkSolidAttributes,2,2)*100</f>
        <v>4</v>
      </c>
      <c r="O39" s="120" t="str">
        <v>FC_j</v>
      </c>
      <c r="P39" s="125" t="str">
        <v>fat content in fat and protein corrected milk</v>
      </c>
      <c r="Q39" s="126"/>
      <c r="R39" s="120" t="str">
        <v>per cent</v>
      </c>
      <c r="S39" s="121" t="str">
        <v>Input</v>
      </c>
      <c r="T39" s="120">
        <f>INDEX(X_Table_Dairy_MilkSolidAttributes,2,3)*100</f>
        <v>4</v>
      </c>
    </row>
    <row r="40" spans="1:20" ht="20.100000000000001" customHeight="1" x14ac:dyDescent="0.25">
      <c r="A40" s="5" t="str">
        <f>HYPERLINK("#'14.1.1-2 Purchased electricity'!A1", "14.1.1-2 Purchased electricity")</f>
        <v>14.1.1-2 Purchased electricity</v>
      </c>
      <c r="D40" s="120" t="str">
        <v>PC_j</v>
      </c>
      <c r="E40" s="120" t="str">
        <v>protein content in fat and protein corrected milk</v>
      </c>
      <c r="F40" s="120"/>
      <c r="G40" s="120" t="str">
        <v>per cent</v>
      </c>
      <c r="H40" s="121" t="str">
        <v>Input</v>
      </c>
      <c r="I40" s="120">
        <f>INDEX(X_Table_Dairy_MilkSolidAttributes,3,2)*100</f>
        <v>3.3000000000000003</v>
      </c>
      <c r="O40" s="120" t="str">
        <v>PC_j</v>
      </c>
      <c r="P40" s="120" t="str">
        <v>protein content in fat and protein corrected milk</v>
      </c>
      <c r="Q40" s="120"/>
      <c r="R40" s="120" t="str">
        <v>per cent</v>
      </c>
      <c r="S40" s="121" t="str">
        <v>Input</v>
      </c>
      <c r="T40" s="120">
        <f>INDEX(X_Table_Dairy_MilkSolidAttributes,3,3)*100</f>
        <v>3.3000000000000003</v>
      </c>
    </row>
    <row r="41" spans="1:20" ht="20.100000000000001" customHeight="1" x14ac:dyDescent="0.25">
      <c r="A41" s="5" t="str">
        <f>HYPERLINK("#'15 Scope 3'!A1", "15 Scope 3")</f>
        <v>15 Scope 3</v>
      </c>
    </row>
    <row r="42" spans="1:20" ht="20.100000000000001" customHeight="1" x14ac:dyDescent="0.25">
      <c r="A42" s="5" t="str">
        <f>HYPERLINK("#'Calcs - Manure sent off-site'!A1", "Calcs - Manure sent off-site")</f>
        <v>Calcs - Manure sent off-site</v>
      </c>
      <c r="D42" s="122" t="s">
        <v>273</v>
      </c>
    </row>
    <row r="43" spans="1:20" ht="20.100000000000001" customHeight="1" x14ac:dyDescent="0.25">
      <c r="A43" s="119" t="str">
        <f>HYPERLINK("#'4.3.1.1-2 Methane'!A1", "4.3.1.1-2 Methane")</f>
        <v>4.3.1.1-2 Methane</v>
      </c>
      <c r="D43" s="123" t="s">
        <v>274</v>
      </c>
    </row>
    <row r="44" spans="1:20" ht="20.100000000000001" customHeight="1" x14ac:dyDescent="0.25">
      <c r="A44" s="5" t="str">
        <f>HYPERLINK("#'4.3.1.3-4 Direct N20'!A1", "4.3.1.3-4 Direct N20")</f>
        <v>4.3.1.3-4 Direct N20</v>
      </c>
      <c r="D44" s="94" t="s">
        <v>213</v>
      </c>
      <c r="E44" s="94" t="s">
        <v>214</v>
      </c>
      <c r="F44" s="94" t="s">
        <v>215</v>
      </c>
      <c r="G44" s="94" t="s">
        <v>216</v>
      </c>
      <c r="H44" s="94" t="s">
        <v>217</v>
      </c>
    </row>
    <row r="45" spans="1:20" ht="20.100000000000001" customHeight="1" x14ac:dyDescent="0.25">
      <c r="A45" s="5" t="str">
        <f>HYPERLINK("#'4.3.1.5 Atmos deposition'!A1", "4.3.1.5 Atmos deposition")</f>
        <v>4.3.1.5 Atmos deposition</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HYPERLINK("#'4.3.1.6-7 Leaching and runoff'!A1", "4.3.1.6-7 Leaching and runoff")</f>
        <v>4.3.1.6-7 Leaching and runoff</v>
      </c>
    </row>
    <row r="47" spans="1:20" ht="20.100000000000001" customHeight="1" x14ac:dyDescent="0.25">
      <c r="A47" s="5" t="str">
        <f>HYPERLINK("#'4.3.1.8 Manure applied to soils'!A1", "4.3.1.8 Manure applied to soils")</f>
        <v>4.3.1.8 Manure applied to soils</v>
      </c>
      <c r="D47" s="122" t="s">
        <v>275</v>
      </c>
      <c r="O47" s="122" t="s">
        <v>276</v>
      </c>
    </row>
    <row r="48" spans="1:20" ht="20.100000000000001" customHeight="1" x14ac:dyDescent="0.25">
      <c r="A48" s="5" t="str">
        <f>HYPERLINK("#'4.3.1.9 Soil direct N2O'!A1", "4.3.1.9 Soil direct N2O")</f>
        <v>4.3.1.9 Soil direct N2O</v>
      </c>
      <c r="D48" s="123" t="s">
        <v>277</v>
      </c>
      <c r="O48" s="123" t="s">
        <v>278</v>
      </c>
    </row>
    <row r="49" spans="1:23" ht="20.100000000000001" customHeight="1" x14ac:dyDescent="0.25">
      <c r="A49" s="5" t="str">
        <f>HYPERLINK("#'4.3.1.10-11 Soil Atmos Dep'!A1", "4.3.1.10-11 Soil Atmos Dep")</f>
        <v>4.3.1.10-11 Soil Atmos Dep</v>
      </c>
      <c r="D49" s="124" t="s">
        <v>213</v>
      </c>
      <c r="E49" s="124" t="s">
        <v>214</v>
      </c>
      <c r="F49" s="124" t="s">
        <v>215</v>
      </c>
      <c r="G49" s="124" t="s">
        <v>216</v>
      </c>
      <c r="H49" s="124" t="s">
        <v>217</v>
      </c>
      <c r="O49" s="124" t="s">
        <v>213</v>
      </c>
      <c r="P49" s="124" t="s">
        <v>214</v>
      </c>
      <c r="Q49" s="124" t="s">
        <v>215</v>
      </c>
      <c r="R49" s="124" t="s">
        <v>216</v>
      </c>
      <c r="S49" s="124" t="s">
        <v>217</v>
      </c>
    </row>
    <row r="50" spans="1:23" ht="20.100000000000001" customHeight="1" x14ac:dyDescent="0.25">
      <c r="A50" s="5" t="str">
        <f>HYPERLINK("#'4.3.1.12-13 Soil leach runoff'!A1", "4.3.1.12-13 Soil leach runoff")</f>
        <v>4.3.1.12-13 Soil leach runoff</v>
      </c>
      <c r="D50" s="25" cm="1">
        <f t="array" ref="D50">EntericMethane_Dairy_Equations.VEERG_3_3_1_1__5_MilkProductionFromMilkSolids(D45,$I$39,$I$40)</f>
        <v>0</v>
      </c>
      <c r="E50" s="25">
        <v>0</v>
      </c>
      <c r="F50" s="25">
        <v>0</v>
      </c>
      <c r="G50" s="25">
        <v>0</v>
      </c>
      <c r="H50" s="25">
        <v>0</v>
      </c>
      <c r="I50" s="26" t="s">
        <v>279</v>
      </c>
      <c r="O50" s="25" cm="1">
        <f t="array" ref="O50">EntericMethane_Dairy_Equations.VEERG_3_3_1_1__5_MilkProductionFromMilkSolids(D45,$T$39,$T$40)</f>
        <v>0</v>
      </c>
      <c r="P50" s="25">
        <v>0</v>
      </c>
      <c r="Q50" s="25">
        <v>0</v>
      </c>
      <c r="R50" s="25">
        <v>0</v>
      </c>
      <c r="S50" s="25">
        <v>0</v>
      </c>
      <c r="T50" s="26" t="s">
        <v>279</v>
      </c>
    </row>
    <row r="51" spans="1:23" ht="20.100000000000001" customHeight="1" x14ac:dyDescent="0.25">
      <c r="A51" s="5" t="str">
        <f>HYPERLINK("#'3.3.1.1-2 Enteric Methane'!A1", "3.3.1.1-2 Enteric Methane")</f>
        <v>3.3.1.1-2 Enteric Methane</v>
      </c>
    </row>
    <row r="52" spans="1:23" ht="20.100000000000001" customHeight="1" x14ac:dyDescent="0.25">
      <c r="A52" s="5" t="str">
        <f>HYPERLINK("#'10.1.1-2 Solid waste treatment'!A1", "10.1.1-2 Solid waste treatment")</f>
        <v>10.1.1-2 Solid waste treatment</v>
      </c>
    </row>
    <row r="53" spans="1:23" ht="20.100000000000001" customHeight="1" x14ac:dyDescent="0.25">
      <c r="C53" s="101"/>
      <c r="D53" s="101"/>
      <c r="E53" s="101"/>
      <c r="F53" s="101"/>
      <c r="G53" s="101"/>
      <c r="H53" s="101"/>
      <c r="I53" s="101"/>
      <c r="J53" s="101"/>
      <c r="K53" s="101"/>
      <c r="L53" s="101"/>
      <c r="N53" s="101"/>
      <c r="O53" s="101"/>
      <c r="P53" s="101"/>
      <c r="Q53" s="101"/>
      <c r="R53" s="101"/>
      <c r="S53" s="101"/>
      <c r="T53" s="101"/>
      <c r="U53" s="101"/>
      <c r="V53" s="101"/>
      <c r="W53" s="101"/>
    </row>
    <row r="54" spans="1:23" ht="20.100000000000001" customHeight="1" x14ac:dyDescent="0.25">
      <c r="D54" s="2" t="str" cm="1">
        <f t="array" ref="D54">EntericMethane_Dairy_Equations.VEERG_3_3_1_1__4_AdditionalIntakeForMilkProduction_Title()</f>
        <v>Additional intake required for milk production</v>
      </c>
    </row>
    <row r="55" spans="1:23" ht="20.100000000000001" customHeight="1" x14ac:dyDescent="0.25">
      <c r="A55" s="100" t="s">
        <v>1</v>
      </c>
      <c r="D55" s="27" t="str" cm="1">
        <f t="array" ref="D55">EntericMethane_Dairy_Equations.VEERG_3_3_1_1__4_AdditionalIntakeForMilkProduction_Source()</f>
        <v>VEERG 2026: 3.3.1.1, Equation (4)</v>
      </c>
    </row>
    <row r="56" spans="1:23" ht="20.100000000000001" customHeight="1" x14ac:dyDescent="0.25">
      <c r="A56" s="5" t="str">
        <f>HYPERLINK("#'Constants - Dairy'!A1", "Constants - Dairy")</f>
        <v>Constants - Dairy</v>
      </c>
      <c r="D56" s="118" t="s">
        <v>262</v>
      </c>
      <c r="E56" s="118"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Ag Residue'!A1", "Constants - Ag residue")</f>
        <v>Constants - Ag residue</v>
      </c>
    </row>
    <row r="58" spans="1:23" ht="20.100000000000001" customHeight="1" x14ac:dyDescent="0.25">
      <c r="A58" s="5" t="str">
        <f>HYPERLINK("#'Constants - Common Livestock'!A1", "Constants - Common Livestock")</f>
        <v>Constants - Common Livestock</v>
      </c>
      <c r="D58" s="2"/>
    </row>
    <row r="59" spans="1:23" ht="20.100000000000001" customHeight="1" x14ac:dyDescent="0.25">
      <c r="A59" s="5" t="str">
        <f>HYPERLINK("#'Constants - Electricity'!A1", "Constants - Electricity")</f>
        <v>Constants - Electricity</v>
      </c>
      <c r="D59" s="87" t="s">
        <v>263</v>
      </c>
      <c r="E59" s="1" t="str" cm="1">
        <f t="array" ref="E59">EntericMethane_Dairy_Equations.VEERG_3_3_1_1__4_AdditionalIntakeForMilkProduction_Variable()</f>
        <v>MI_j</v>
      </c>
    </row>
    <row r="60" spans="1:23" ht="20.100000000000001" customHeight="1" x14ac:dyDescent="0.25">
      <c r="A60" s="5" t="str">
        <f>HYPERLINK("#'Constants - Fertiliser'!A1", "Constants - Fertiliser")</f>
        <v>Constants - Fertiliser</v>
      </c>
      <c r="D60" s="87" t="s">
        <v>122</v>
      </c>
      <c r="E60" s="15" t="str" cm="1">
        <f t="array" ref="E60">EntericMethane_Dairy_Equations.VEERG_3_3_1_1__4_AdditionalIntakeForMilkProduction_Unit()</f>
        <v>kg DM/head/day</v>
      </c>
    </row>
    <row r="61" spans="1:23" ht="20.100000000000001" customHeight="1" x14ac:dyDescent="0.25">
      <c r="A61" s="5" t="str">
        <f>HYPERLINK("#'Constants - Fuel'!A1", "Constants - Fuel")</f>
        <v>Constants - Fuel</v>
      </c>
    </row>
    <row r="62" spans="1:23" ht="20.100000000000001" customHeight="1" x14ac:dyDescent="0.25">
      <c r="A62" s="5" t="str">
        <f>HYPERLINK("#'Constants - Scope 3'!A1", "Constants - Scope 3")</f>
        <v>Constants - Scope 3</v>
      </c>
      <c r="D62" s="120" t="str" cm="1">
        <f t="array" ref="D62:E68">_xlfn.CHOOSECOLS(EntericMethane_Dairy_Equations.VEERG_3_3_1_1__4_AdditionalIntakeForMilkProduction_Arguments(), 1,2)</f>
        <v>MPU</v>
      </c>
      <c r="E62" s="125" t="str">
        <v>input milk production unit</v>
      </c>
      <c r="F62" s="126"/>
      <c r="G62" s="120" t="str" cm="1">
        <f t="array" ref="G62:H68">_xlfn.CHOOSECOLS(EntericMethane_Dairy_Equations.VEERG_3_3_1_1__4_AdditionalIntakeForMilkProduction_Arguments(), 3,4)</f>
        <v/>
      </c>
      <c r="H62" s="121" t="str">
        <v>Input</v>
      </c>
      <c r="I62" s="120" t="str">
        <f>X_Cell_Dairy_MilkProductionUnit</f>
        <v>Litres of milk</v>
      </c>
    </row>
    <row r="63" spans="1:23" ht="20.100000000000001" customHeight="1" x14ac:dyDescent="0.25">
      <c r="A63" s="5" t="str">
        <f>HYPERLINK("#'Constants - Common'!A1", "Constants - Common")</f>
        <v>Constants - Common</v>
      </c>
      <c r="D63" s="120" t="str">
        <v>MP_j</v>
      </c>
      <c r="E63" s="125" t="str">
        <v>milk production (if input as litres of milk)</v>
      </c>
      <c r="F63" s="126"/>
      <c r="G63" s="120" t="str">
        <v>L/head/day</v>
      </c>
      <c r="H63" s="128" t="str">
        <v>Input</v>
      </c>
      <c r="I63" s="127" t="str" cm="1">
        <f t="array" aca="1" ref="I63" ca="1">HYPERLINK(Common_InputFunctions.Utility_SourceHyperlink($D$71), $D$71)</f>
        <v>Table_MP_j</v>
      </c>
    </row>
    <row r="64" spans="1:23" ht="20.100000000000001" customHeight="1" x14ac:dyDescent="0.25">
      <c r="A64" s="5" t="str">
        <f>HYPERLINK("#'Acknowledgements'!A1", "Acknowledgements")</f>
        <v>Acknowledgements</v>
      </c>
      <c r="D64" s="120" t="str">
        <v>MP_j</v>
      </c>
      <c r="E64" s="125" t="str">
        <v>milk production (if input as milk solids)</v>
      </c>
      <c r="F64" s="126"/>
      <c r="G64" s="120" t="str">
        <v>L/head/day</v>
      </c>
      <c r="H64" s="128" t="str">
        <v>Calculated from 3.3.1.1 (5)</v>
      </c>
      <c r="I64" s="127" t="str" cm="1">
        <f t="array" aca="1" ref="I64" ca="1">HYPERLINK(Common_InputFunctions.Utility_SourceHyperlink($D$47),$D$47)</f>
        <v>M1_Table_MP_j_from_solids</v>
      </c>
    </row>
    <row r="65" spans="1:22" ht="20.100000000000001" customHeight="1" x14ac:dyDescent="0.25">
      <c r="A65" s="5" t="str">
        <f>HYPERLINK("#'Constants - Solid Waste'!A1", "Constants - Solid Waste")</f>
        <v>Constants - Solid Waste</v>
      </c>
      <c r="D65" s="120" t="str">
        <v>NE</v>
      </c>
      <c r="E65" s="125" t="str">
        <v>net energy</v>
      </c>
      <c r="F65" s="126"/>
      <c r="G65" s="120" t="str">
        <v>MJ net energy/kg milk</v>
      </c>
      <c r="H65" s="128" t="str">
        <v>Constant</v>
      </c>
      <c r="I65" s="120">
        <f>SourceData_Dairy_NetEnergy_Data</f>
        <v>3.0539999999999998</v>
      </c>
    </row>
    <row r="66" spans="1:22" ht="20.100000000000001" customHeight="1" x14ac:dyDescent="0.25">
      <c r="D66" s="120" t="str">
        <v>GEC</v>
      </c>
      <c r="E66" s="125" t="str">
        <v>gross energy content</v>
      </c>
      <c r="F66" s="126"/>
      <c r="G66" s="120" t="str">
        <v>MJ/kgDM</v>
      </c>
      <c r="H66" s="128" t="str">
        <v>Constant</v>
      </c>
      <c r="I66" s="120">
        <f>SourceData_Dairy_GrossEnergyContent_Data</f>
        <v>18.399999999999999</v>
      </c>
    </row>
    <row r="67" spans="1:22" ht="20.100000000000001" customHeight="1" x14ac:dyDescent="0.25">
      <c r="D67" s="120" t="str">
        <v>k</v>
      </c>
      <c r="E67" s="120" t="str">
        <v>efficiency of metabolizable energy use for milk production</v>
      </c>
      <c r="F67" s="120"/>
      <c r="G67" s="120" t="str">
        <v>fraction</v>
      </c>
      <c r="H67" s="128" t="str">
        <v>Constant</v>
      </c>
      <c r="I67" s="120">
        <f>SourceData_Dairy_EfficiencyOfUseOfMetabolizableEnergy_Data</f>
        <v>0.6</v>
      </c>
    </row>
    <row r="68" spans="1:22" ht="20.100000000000001" customHeight="1" x14ac:dyDescent="0.25">
      <c r="D68" s="120" t="str">
        <v>qm_j</v>
      </c>
      <c r="E68" s="125" t="str">
        <v>metabolisability of the diet</v>
      </c>
      <c r="F68" s="126"/>
      <c r="G68" s="120" t="str">
        <v>fraction</v>
      </c>
      <c r="H68" s="128" t="str">
        <v>Calculated from 3.3.1.1 (6)</v>
      </c>
      <c r="I68" s="127" t="str" cm="1">
        <f t="array" aca="1" ref="I68" ca="1">HYPERLINK(Common_InputFunctions.Utility_SourceHyperlink($D$21), $D$21)</f>
        <v>M1_Table_qm_j</v>
      </c>
    </row>
    <row r="69" spans="1:22" ht="20.100000000000001" customHeight="1" x14ac:dyDescent="0.25"/>
    <row r="70" spans="1:22" ht="20.100000000000001" customHeight="1" x14ac:dyDescent="0.25"/>
    <row r="71" spans="1:22" ht="20.100000000000001" customHeight="1" x14ac:dyDescent="0.25">
      <c r="D71" s="122" t="s">
        <v>280</v>
      </c>
    </row>
    <row r="72" spans="1:22" ht="20.100000000000001" customHeight="1" x14ac:dyDescent="0.25">
      <c r="D72" s="123" t="s">
        <v>231</v>
      </c>
    </row>
    <row r="73" spans="1:22" ht="20.100000000000001" customHeight="1" x14ac:dyDescent="0.25">
      <c r="D73" s="94" t="s">
        <v>213</v>
      </c>
      <c r="E73" s="94" t="s">
        <v>214</v>
      </c>
      <c r="F73" s="94" t="s">
        <v>215</v>
      </c>
      <c r="G73" s="94" t="s">
        <v>216</v>
      </c>
      <c r="H73" s="94" t="s">
        <v>217</v>
      </c>
    </row>
    <row r="74" spans="1:22" ht="20.100000000000001" customHeight="1" x14ac:dyDescent="0.25">
      <c r="D74" s="25">
        <f>IF(I62="Milk solids", 0, X_Cell_Dairy_MilkProductionAmount)</f>
        <v>20</v>
      </c>
      <c r="E74" s="25">
        <v>0</v>
      </c>
      <c r="F74" s="25">
        <v>0</v>
      </c>
      <c r="G74" s="25">
        <v>0</v>
      </c>
      <c r="H74" s="25">
        <v>0</v>
      </c>
      <c r="I74" s="26" t="s">
        <v>279</v>
      </c>
      <c r="J74" s="26"/>
      <c r="K74" s="26"/>
    </row>
    <row r="75" spans="1:22" ht="20.100000000000001" customHeight="1" x14ac:dyDescent="0.25"/>
    <row r="76" spans="1:22" ht="20.100000000000001" customHeight="1" x14ac:dyDescent="0.25">
      <c r="D76" s="122" t="s">
        <v>281</v>
      </c>
      <c r="O76" s="122" t="s">
        <v>282</v>
      </c>
    </row>
    <row r="77" spans="1:22" ht="20.100000000000001" customHeight="1" x14ac:dyDescent="0.25">
      <c r="D77" s="123" t="s">
        <v>283</v>
      </c>
      <c r="O77" s="123" t="s">
        <v>284</v>
      </c>
    </row>
    <row r="78" spans="1:22" ht="20.100000000000001" customHeight="1" x14ac:dyDescent="0.25">
      <c r="D78" s="124" t="s">
        <v>213</v>
      </c>
      <c r="E78" s="124" t="s">
        <v>214</v>
      </c>
      <c r="F78" s="124" t="s">
        <v>215</v>
      </c>
      <c r="G78" s="124" t="s">
        <v>216</v>
      </c>
      <c r="H78" s="124" t="s">
        <v>217</v>
      </c>
      <c r="O78" s="124" t="s">
        <v>213</v>
      </c>
      <c r="P78" s="124" t="s">
        <v>214</v>
      </c>
      <c r="Q78" s="124" t="s">
        <v>215</v>
      </c>
      <c r="R78" s="124" t="s">
        <v>216</v>
      </c>
      <c r="S78" s="124" t="s">
        <v>217</v>
      </c>
    </row>
    <row r="79" spans="1: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1:22" ht="20.100000000000001" customHeight="1" x14ac:dyDescent="0.25"/>
    <row r="81" spans="3:23" ht="20.100000000000001" customHeight="1" x14ac:dyDescent="0.25"/>
    <row r="82" spans="3:23" ht="20.100000000000001" customHeight="1" x14ac:dyDescent="0.25">
      <c r="C82" s="101"/>
      <c r="D82" s="101"/>
      <c r="E82" s="101"/>
      <c r="F82" s="101"/>
      <c r="G82" s="101"/>
      <c r="H82" s="101"/>
      <c r="I82" s="101"/>
      <c r="J82" s="101"/>
      <c r="K82" s="101"/>
      <c r="L82" s="101"/>
      <c r="N82" s="101"/>
      <c r="O82" s="101"/>
      <c r="P82" s="101"/>
      <c r="Q82" s="101"/>
      <c r="R82" s="101"/>
      <c r="S82" s="101"/>
      <c r="T82" s="101"/>
      <c r="U82" s="101"/>
      <c r="V82" s="101"/>
      <c r="W82" s="101"/>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8" t="s">
        <v>262</v>
      </c>
      <c r="E85" s="118"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7" t="s">
        <v>263</v>
      </c>
      <c r="E88" s="1" t="str" cm="1">
        <f t="array" ref="E88">EntericMethane_Dairy_Equations.VEERG_3_3_1_1__3_DryMatterFeedIntake_Variable()</f>
        <v>I_j</v>
      </c>
    </row>
    <row r="89" spans="3:23" ht="20.100000000000001" customHeight="1" x14ac:dyDescent="0.25">
      <c r="D89" s="87" t="s">
        <v>122</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20" t="str" cm="1">
        <f t="array" ref="D91:E94">_xlfn.CHOOSECOLS(EntericMethane_Dairy_Equations.VEERG_3_3_1_1__3_DryMatterFeedIntake_Arguments(),1,2)</f>
        <v>W_j</v>
      </c>
      <c r="E91" s="125" t="str">
        <v>liveweight</v>
      </c>
      <c r="F91" s="126"/>
      <c r="G91" s="120" t="str" cm="1">
        <f t="array" ref="G91:H94">_xlfn.CHOOSECOLS(EntericMethane_Dairy_Equations.VEERG_3_3_1_1__3_DryMatterFeedIntake_Arguments(),3,4)</f>
        <v>kg</v>
      </c>
      <c r="H91" s="121" t="str">
        <v>Input</v>
      </c>
      <c r="I91" s="127" t="str" cm="1">
        <f t="array" aca="1" ref="I91" ca="1">HYPERLINK(Common_InputFunctions.Utility_SourceHyperlink($D$96), $D$96)</f>
        <v>M1_Table_W_j</v>
      </c>
    </row>
    <row r="92" spans="3:23" ht="20.100000000000001" customHeight="1" x14ac:dyDescent="0.25">
      <c r="D92" s="120" t="str">
        <v>LWG_j</v>
      </c>
      <c r="E92" s="125" t="str">
        <v>liveweight gain</v>
      </c>
      <c r="F92" s="126"/>
      <c r="G92" s="120" t="str">
        <v>kg/head/day</v>
      </c>
      <c r="H92" s="121" t="str">
        <v>Input</v>
      </c>
      <c r="I92" s="127" t="str" cm="1">
        <f t="array" aca="1" ref="I92" ca="1">HYPERLINK(Common_InputFunctions.Utility_SourceHyperlink($D$101), $D$101)</f>
        <v>M1_Table_LWG_j</v>
      </c>
    </row>
    <row r="93" spans="3:23" ht="20.100000000000001" customHeight="1" x14ac:dyDescent="0.25">
      <c r="D93" s="120" t="str">
        <v>MR_j</v>
      </c>
      <c r="E93" s="125" t="str">
        <v>increase in metabolic rate when producing milk</v>
      </c>
      <c r="F93" s="126"/>
      <c r="G93" s="120" t="str">
        <v>fraction</v>
      </c>
      <c r="H93" s="128" t="str">
        <v>Constant</v>
      </c>
      <c r="I93" s="127" t="str" cm="1">
        <f t="array" aca="1" ref="I93" ca="1">HYPERLINK(Common_InputFunctions.Utility_SourceHyperlink($D$106), $D$106)</f>
        <v>Table_MR_j</v>
      </c>
    </row>
    <row r="94" spans="3:23" ht="20.100000000000001" customHeight="1" x14ac:dyDescent="0.25">
      <c r="D94" s="120" t="str">
        <v>MI_j</v>
      </c>
      <c r="E94" s="125" t="str">
        <v>additional intake required for milk production</v>
      </c>
      <c r="F94" s="126"/>
      <c r="G94" s="120" t="str">
        <v>kg DM/head/day</v>
      </c>
      <c r="H94" s="128" t="str">
        <v>Calculated from 3.3.1.1 (4)</v>
      </c>
      <c r="I94" s="127" t="str" cm="1">
        <f t="array" aca="1" ref="I94" ca="1">HYPERLINK(Common_InputFunctions.Utility_SourceHyperlink($D$76), $D$76)</f>
        <v>M1_Table_MI_j</v>
      </c>
    </row>
    <row r="95" spans="3:23" ht="20.100000000000001" customHeight="1" x14ac:dyDescent="0.25"/>
    <row r="96" spans="3:23" ht="20.100000000000001" customHeight="1" x14ac:dyDescent="0.25">
      <c r="D96" s="122" t="s">
        <v>285</v>
      </c>
      <c r="O96" s="122" t="s">
        <v>286</v>
      </c>
    </row>
    <row r="97" spans="4:22" ht="20.100000000000001" customHeight="1" x14ac:dyDescent="0.25">
      <c r="D97" s="123" t="s">
        <v>287</v>
      </c>
      <c r="O97" s="123" t="s">
        <v>288</v>
      </c>
    </row>
    <row r="98" spans="4:22" ht="20.100000000000001" customHeight="1" x14ac:dyDescent="0.25">
      <c r="D98" s="94" t="s">
        <v>213</v>
      </c>
      <c r="E98" s="94" t="s">
        <v>214</v>
      </c>
      <c r="F98" s="94" t="s">
        <v>215</v>
      </c>
      <c r="G98" s="94" t="s">
        <v>216</v>
      </c>
      <c r="H98" s="94" t="s">
        <v>217</v>
      </c>
      <c r="O98" s="94" t="s">
        <v>213</v>
      </c>
      <c r="P98" s="94" t="s">
        <v>214</v>
      </c>
      <c r="Q98" s="94" t="s">
        <v>215</v>
      </c>
      <c r="R98" s="94" t="s">
        <v>216</v>
      </c>
      <c r="S98" s="94" t="s">
        <v>217</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222</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222</v>
      </c>
      <c r="U99" s="26"/>
      <c r="V99" s="26"/>
    </row>
    <row r="100" spans="4:22" ht="20.100000000000001" customHeight="1" x14ac:dyDescent="0.25"/>
    <row r="101" spans="4:22" ht="20.100000000000001" customHeight="1" x14ac:dyDescent="0.25">
      <c r="D101" s="122" t="s">
        <v>289</v>
      </c>
      <c r="O101" s="122" t="s">
        <v>290</v>
      </c>
    </row>
    <row r="102" spans="4:22" ht="20.100000000000001" customHeight="1" x14ac:dyDescent="0.25">
      <c r="D102" s="123" t="s">
        <v>291</v>
      </c>
      <c r="O102" s="123" t="s">
        <v>292</v>
      </c>
    </row>
    <row r="103" spans="4:22" ht="20.100000000000001" customHeight="1" x14ac:dyDescent="0.25">
      <c r="D103" s="94" t="s">
        <v>213</v>
      </c>
      <c r="E103" s="94" t="s">
        <v>214</v>
      </c>
      <c r="F103" s="94" t="s">
        <v>215</v>
      </c>
      <c r="G103" s="94" t="s">
        <v>216</v>
      </c>
      <c r="H103" s="94" t="s">
        <v>217</v>
      </c>
      <c r="O103" s="94" t="s">
        <v>213</v>
      </c>
      <c r="P103" s="94" t="s">
        <v>214</v>
      </c>
      <c r="Q103" s="94" t="s">
        <v>215</v>
      </c>
      <c r="R103" s="94" t="s">
        <v>216</v>
      </c>
      <c r="S103" s="94" t="s">
        <v>217</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224</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224</v>
      </c>
      <c r="U104" s="26"/>
      <c r="V104" s="26"/>
    </row>
    <row r="105" spans="4:22" ht="20.100000000000001" customHeight="1" x14ac:dyDescent="0.25"/>
    <row r="106" spans="4:22" ht="20.100000000000001" customHeight="1" x14ac:dyDescent="0.25">
      <c r="D106" s="122" t="s">
        <v>293</v>
      </c>
    </row>
    <row r="107" spans="4:22" ht="20.100000000000001" customHeight="1" x14ac:dyDescent="0.25">
      <c r="D107" s="123" t="s">
        <v>294</v>
      </c>
    </row>
    <row r="108" spans="4:22" ht="20.100000000000001" customHeight="1" x14ac:dyDescent="0.25">
      <c r="D108" s="124" t="s">
        <v>213</v>
      </c>
      <c r="E108" s="124" t="s">
        <v>214</v>
      </c>
      <c r="F108" s="124" t="s">
        <v>215</v>
      </c>
      <c r="G108" s="124" t="s">
        <v>216</v>
      </c>
      <c r="H108" s="124" t="s">
        <v>217</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229</v>
      </c>
      <c r="J109" s="26"/>
      <c r="K109" s="26"/>
    </row>
    <row r="110" spans="4:22" ht="20.100000000000001" customHeight="1" x14ac:dyDescent="0.25"/>
    <row r="111" spans="4:22" ht="20.100000000000001" customHeight="1" x14ac:dyDescent="0.25">
      <c r="D111" s="122" t="s">
        <v>295</v>
      </c>
      <c r="O111" s="122" t="s">
        <v>296</v>
      </c>
    </row>
    <row r="112" spans="4:22" ht="20.100000000000001" customHeight="1" x14ac:dyDescent="0.25">
      <c r="D112" s="123" t="s">
        <v>297</v>
      </c>
      <c r="O112" s="123" t="s">
        <v>298</v>
      </c>
    </row>
    <row r="113" spans="3:23" ht="20.100000000000001" customHeight="1" x14ac:dyDescent="0.25">
      <c r="D113" s="124" t="s">
        <v>213</v>
      </c>
      <c r="E113" s="124" t="s">
        <v>214</v>
      </c>
      <c r="F113" s="124" t="s">
        <v>215</v>
      </c>
      <c r="G113" s="124" t="s">
        <v>216</v>
      </c>
      <c r="H113" s="124" t="s">
        <v>217</v>
      </c>
      <c r="O113" s="124" t="s">
        <v>213</v>
      </c>
      <c r="P113" s="124" t="s">
        <v>214</v>
      </c>
      <c r="Q113" s="124" t="s">
        <v>215</v>
      </c>
      <c r="R113" s="124" t="s">
        <v>216</v>
      </c>
      <c r="S113" s="124" t="s">
        <v>217</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1"/>
      <c r="D117" s="101"/>
      <c r="E117" s="101"/>
      <c r="F117" s="101"/>
      <c r="G117" s="101"/>
      <c r="H117" s="101"/>
      <c r="I117" s="101"/>
      <c r="J117" s="101"/>
      <c r="K117" s="101"/>
      <c r="L117" s="101"/>
      <c r="N117" s="101"/>
      <c r="O117" s="101"/>
      <c r="P117" s="101"/>
      <c r="Q117" s="101"/>
      <c r="R117" s="101"/>
      <c r="S117" s="101"/>
      <c r="T117" s="101"/>
      <c r="U117" s="101"/>
      <c r="V117" s="101"/>
      <c r="W117" s="101"/>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8" t="s">
        <v>262</v>
      </c>
      <c r="E120" s="118"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7" t="s">
        <v>263</v>
      </c>
      <c r="E123" s="1" t="str" cm="1">
        <f t="array" ref="E123">MMS_Dairy_Methane_Equations.VEERG_4_3_1_1__3_VolatileSolidsForWeanedDairyCattle_Variable()</f>
        <v>VS_j</v>
      </c>
    </row>
    <row r="124" spans="3:23" ht="20.100000000000001" customHeight="1" x14ac:dyDescent="0.25">
      <c r="D124" s="87" t="s">
        <v>122</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20" t="str" cm="1">
        <f t="array" ref="D126:E128">_xlfn.CHOOSECOLS(MMS_Dairy_Methane_Equations.VEERG_4_3_1_1__3_VolatileSolidsForWeanedDairyCattle_Arguments(), 1,2)</f>
        <v>I_j</v>
      </c>
      <c r="E126" s="125" t="str">
        <v>dry matter feed intake (kgDM/head/day)</v>
      </c>
      <c r="F126" s="126"/>
      <c r="G126" s="120" t="str" cm="1">
        <f t="array" ref="G126:H128">_xlfn.CHOOSECOLS(MMS_Dairy_Methane_Equations.VEERG_4_3_1_1__3_VolatileSolidsForWeanedDairyCattle_Arguments(), 3,4)</f>
        <v>kgDM/head/day</v>
      </c>
      <c r="H126" s="128" t="str">
        <v>Calculated from 3.3.1.1 (3)</v>
      </c>
      <c r="I126" s="127" t="str" cm="1">
        <f t="array" aca="1" ref="I126" ca="1">HYPERLINK(Common_InputFunctions.Utility_SourceHyperlink($D$111), $D$111)</f>
        <v>M1_Table_I_j</v>
      </c>
    </row>
    <row r="127" spans="3:23" ht="20.100000000000001" customHeight="1" x14ac:dyDescent="0.25">
      <c r="D127" s="120" t="str">
        <v>DMD_j</v>
      </c>
      <c r="E127" s="125" t="str">
        <v>dry matter digestibility</v>
      </c>
      <c r="F127" s="126"/>
      <c r="G127" s="120" t="str">
        <v>fraction</v>
      </c>
      <c r="H127" s="121" t="str">
        <v>Input</v>
      </c>
      <c r="I127" s="127" t="str" cm="1">
        <f t="array" aca="1" ref="I127" ca="1">HYPERLINK(Common_InputFunctions.Utility_SourceHyperlink($D$16), $D$16)</f>
        <v>M1_Table_DMD_j</v>
      </c>
    </row>
    <row r="128" spans="3:23" ht="20.100000000000001" customHeight="1" x14ac:dyDescent="0.25">
      <c r="D128" s="120" t="str">
        <v>A</v>
      </c>
      <c r="E128" s="125" t="str">
        <v>ash content of feed intake</v>
      </c>
      <c r="F128" s="126"/>
      <c r="G128" s="120" t="str">
        <v>fraction</v>
      </c>
      <c r="H128" s="128" t="str">
        <v>Constant</v>
      </c>
      <c r="I128" s="120">
        <f>SourceData_Dairy_AshContent_Data</f>
        <v>0.08</v>
      </c>
    </row>
    <row r="129" spans="3:23" ht="20.100000000000001" customHeight="1" x14ac:dyDescent="0.25"/>
    <row r="130" spans="3:23" ht="20.100000000000001" customHeight="1" x14ac:dyDescent="0.25">
      <c r="D130" s="122" t="s">
        <v>299</v>
      </c>
      <c r="O130" s="122" t="s">
        <v>300</v>
      </c>
    </row>
    <row r="131" spans="3:23" ht="20.100000000000001" customHeight="1" x14ac:dyDescent="0.25">
      <c r="D131" s="123" t="s">
        <v>301</v>
      </c>
      <c r="O131" s="123" t="s">
        <v>302</v>
      </c>
    </row>
    <row r="132" spans="3:23" ht="20.100000000000001" customHeight="1" x14ac:dyDescent="0.25">
      <c r="D132" s="124" t="s">
        <v>213</v>
      </c>
      <c r="E132" s="124" t="s">
        <v>214</v>
      </c>
      <c r="F132" s="124" t="s">
        <v>215</v>
      </c>
      <c r="G132" s="124" t="s">
        <v>216</v>
      </c>
      <c r="H132" s="124" t="s">
        <v>217</v>
      </c>
      <c r="O132" s="124" t="s">
        <v>213</v>
      </c>
      <c r="P132" s="124" t="s">
        <v>214</v>
      </c>
      <c r="Q132" s="124" t="s">
        <v>215</v>
      </c>
      <c r="R132" s="124" t="s">
        <v>216</v>
      </c>
      <c r="S132" s="124" t="s">
        <v>217</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1"/>
      <c r="D136" s="101"/>
      <c r="E136" s="101"/>
      <c r="F136" s="101"/>
      <c r="G136" s="101"/>
      <c r="H136" s="101"/>
      <c r="I136" s="101"/>
      <c r="J136" s="101"/>
      <c r="K136" s="101"/>
      <c r="L136" s="101"/>
      <c r="N136" s="101"/>
      <c r="O136" s="101"/>
      <c r="P136" s="101"/>
      <c r="Q136" s="101"/>
      <c r="R136" s="101"/>
      <c r="S136" s="101"/>
      <c r="T136" s="101"/>
      <c r="U136" s="101"/>
      <c r="V136" s="101"/>
      <c r="W136" s="101"/>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8"/>
    </row>
    <row r="139" spans="3:23" ht="20.100000000000001" customHeight="1" x14ac:dyDescent="0.25">
      <c r="D139" s="118" t="s">
        <v>262</v>
      </c>
      <c r="E139" s="118"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7" t="s">
        <v>263</v>
      </c>
      <c r="E142" s="1" t="str" cm="1">
        <f t="array" ref="E142">MMS_Dairy_Methane_Equations.VEERG_4_3_1_1__4_FractionVolatileSolidsNotSolidStorage_Variable()</f>
        <v>FVS_jm</v>
      </c>
    </row>
    <row r="143" spans="3:23" ht="20.100000000000001" customHeight="1" x14ac:dyDescent="0.25">
      <c r="D143" s="87" t="s">
        <v>122</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20" t="str" cm="1">
        <f t="array" ref="D145:E146">_xlfn.CHOOSECOLS(MMS_Dairy_Methane_Equations.VEERG_4_3_1_1__4_FractionVolatileSolidsNotSolidStorage_Arguments(),1,2)</f>
        <v>MMS_jm</v>
      </c>
      <c r="E145" s="120" t="str">
        <v>fraction of manure to each primary MMS for each class prior to solid separation</v>
      </c>
      <c r="F145" s="120"/>
      <c r="G145" s="120" t="str" cm="1">
        <f t="array" ref="G145:H146">_xlfn.CHOOSECOLS(MMS_Dairy_Methane_Equations.VEERG_4_3_1_1__4_FractionVolatileSolidsNotSolidStorage_Arguments(),3,4)</f>
        <v>fraction</v>
      </c>
      <c r="H145" s="121" t="str">
        <v>Input</v>
      </c>
      <c r="I145" s="127" t="str" cm="1">
        <f t="array" aca="1" ref="I145" ca="1">HYPERLINK(Common_InputFunctions.Utility_SourceHyperlink($D$148),$D$148)</f>
        <v>M1_Table_MMS_j_m</v>
      </c>
    </row>
    <row r="146" spans="4:22" ht="20.100000000000001" customHeight="1" x14ac:dyDescent="0.25">
      <c r="D146" s="120" t="str">
        <v>SS_m</v>
      </c>
      <c r="E146" s="120" t="str">
        <v>fraction of volatile solids separated to solid storage for each MMS</v>
      </c>
      <c r="F146" s="120"/>
      <c r="G146" s="120" t="str">
        <v>fraction</v>
      </c>
      <c r="H146" s="121" t="str">
        <v>Input</v>
      </c>
      <c r="I146" s="127" t="str" cm="1">
        <f t="array" aca="1" ref="I146" ca="1">HYPERLINK(Common_InputFunctions.Utility_SourceHyperlink($D$159),$D$159)</f>
        <v>M1_Table_SS_m</v>
      </c>
    </row>
    <row r="147" spans="4:22" ht="20.100000000000001" customHeight="1" x14ac:dyDescent="0.25"/>
    <row r="148" spans="4:22" ht="20.100000000000001" customHeight="1" x14ac:dyDescent="0.25">
      <c r="D148" s="122" t="s">
        <v>303</v>
      </c>
      <c r="O148" s="122" t="s">
        <v>304</v>
      </c>
    </row>
    <row r="149" spans="4:22" ht="20.100000000000001" customHeight="1" x14ac:dyDescent="0.25">
      <c r="D149" s="123" t="s">
        <v>305</v>
      </c>
      <c r="O149" s="123" t="s">
        <v>306</v>
      </c>
    </row>
    <row r="150" spans="4:22" ht="20.100000000000001" customHeight="1" x14ac:dyDescent="0.25">
      <c r="D150" s="94" t="s">
        <v>168</v>
      </c>
      <c r="E150" s="94" t="s">
        <v>307</v>
      </c>
      <c r="F150" s="94" t="s">
        <v>213</v>
      </c>
      <c r="G150" s="94" t="s">
        <v>214</v>
      </c>
      <c r="H150" s="94" t="s">
        <v>215</v>
      </c>
      <c r="I150" s="94" t="s">
        <v>216</v>
      </c>
      <c r="J150" s="94" t="s">
        <v>217</v>
      </c>
      <c r="O150" s="94" t="s">
        <v>168</v>
      </c>
      <c r="P150" s="94" t="s">
        <v>307</v>
      </c>
      <c r="Q150" s="94" t="s">
        <v>213</v>
      </c>
      <c r="R150" s="94" t="s">
        <v>214</v>
      </c>
      <c r="S150" s="94" t="s">
        <v>215</v>
      </c>
      <c r="T150" s="94" t="s">
        <v>216</v>
      </c>
      <c r="U150" s="94" t="s">
        <v>217</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2" t="s">
        <v>308</v>
      </c>
      <c r="O159" s="122" t="s">
        <v>309</v>
      </c>
    </row>
    <row r="160" spans="4:22" ht="20.100000000000001" customHeight="1" x14ac:dyDescent="0.25">
      <c r="D160" s="123" t="s">
        <v>310</v>
      </c>
      <c r="O160" s="123" t="s">
        <v>311</v>
      </c>
    </row>
    <row r="161" spans="4:22" ht="20.100000000000001" customHeight="1" x14ac:dyDescent="0.25">
      <c r="D161" s="94" t="s">
        <v>168</v>
      </c>
      <c r="E161" s="94" t="s">
        <v>307</v>
      </c>
      <c r="F161" s="94" t="s">
        <v>312</v>
      </c>
      <c r="O161" s="94" t="s">
        <v>168</v>
      </c>
      <c r="P161" s="94" t="s">
        <v>307</v>
      </c>
      <c r="Q161" s="94" t="s">
        <v>312</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2" t="s">
        <v>313</v>
      </c>
      <c r="O170" s="122" t="s">
        <v>313</v>
      </c>
    </row>
    <row r="171" spans="4:22" ht="20.100000000000001" customHeight="1" x14ac:dyDescent="0.25">
      <c r="D171" s="123" t="s">
        <v>314</v>
      </c>
      <c r="O171" s="123" t="s">
        <v>315</v>
      </c>
    </row>
    <row r="172" spans="4:22" ht="20.100000000000001" customHeight="1" x14ac:dyDescent="0.25">
      <c r="D172" s="124" t="s">
        <v>168</v>
      </c>
      <c r="E172" s="124" t="s">
        <v>307</v>
      </c>
      <c r="F172" s="124" t="s">
        <v>213</v>
      </c>
      <c r="G172" s="124" t="s">
        <v>214</v>
      </c>
      <c r="H172" s="124" t="s">
        <v>215</v>
      </c>
      <c r="I172" s="124" t="s">
        <v>216</v>
      </c>
      <c r="J172" s="124" t="s">
        <v>217</v>
      </c>
      <c r="O172" s="124" t="s">
        <v>168</v>
      </c>
      <c r="P172" s="124" t="s">
        <v>307</v>
      </c>
      <c r="Q172" s="124" t="s">
        <v>213</v>
      </c>
      <c r="R172" s="124" t="s">
        <v>214</v>
      </c>
      <c r="S172" s="124" t="s">
        <v>215</v>
      </c>
      <c r="T172" s="124" t="s">
        <v>216</v>
      </c>
      <c r="U172" s="124" t="s">
        <v>217</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29"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1"/>
      <c r="D182" s="101"/>
      <c r="E182" s="101"/>
      <c r="F182" s="101"/>
      <c r="G182" s="101"/>
      <c r="H182" s="101"/>
      <c r="I182" s="101"/>
      <c r="J182" s="101"/>
      <c r="K182" s="101"/>
      <c r="L182" s="101"/>
      <c r="N182" s="101"/>
      <c r="O182" s="101"/>
      <c r="P182" s="101"/>
      <c r="Q182" s="101"/>
      <c r="R182" s="101"/>
      <c r="S182" s="101"/>
      <c r="T182" s="101"/>
      <c r="U182" s="101"/>
      <c r="V182" s="101"/>
      <c r="W182" s="101"/>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5" t="str" cm="1">
        <f t="array" ref="D185">MMS_Dairy_Methane_Equations.VEERG_4_3_1_1__5_FractionVolatileSolidsSolidStorage_Variation()</f>
        <v>Used separate variables for MMS and SS m 1, 7 and 9.</v>
      </c>
    </row>
    <row r="186" spans="1:23" ht="20.100000000000001" customHeight="1" x14ac:dyDescent="0.25">
      <c r="D186" s="118" t="s">
        <v>262</v>
      </c>
      <c r="E186" s="118"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7" t="s">
        <v>263</v>
      </c>
      <c r="E189" s="1" t="str" cm="1">
        <f t="array" ref="E189">MMS_Dairy_Methane_Equations.VEERG_4_3_1_1__5_FractionVolatileSolidsSolidStorage_Variable()</f>
        <v>FVS_jm4</v>
      </c>
    </row>
    <row r="190" spans="1:23" ht="20.100000000000001" customHeight="1" x14ac:dyDescent="0.25">
      <c r="D190" s="87" t="s">
        <v>122</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20" t="str" cm="1">
        <f t="array" ref="D192:E194">_xlfn.CHOOSECOLS(MMS_Dairy_Methane_Equations.VEERG_4_3_1_1__5_FractionVolatileSolidsSolidStorage_Arguments(),1,2)</f>
        <v>MMS_jm4</v>
      </c>
      <c r="E192" s="120" t="str">
        <v>fraction of volatile solids in solid storage before transfer</v>
      </c>
      <c r="F192" s="120"/>
      <c r="G192" s="120" t="str" cm="1">
        <f t="array" ref="G192:H194">_xlfn.CHOOSECOLS(MMS_Dairy_Methane_Equations.VEERG_4_3_1_1__5_FractionVolatileSolidsSolidStorage_Arguments(),3,4)</f>
        <v>fraction</v>
      </c>
      <c r="H192" s="121" t="str">
        <v>Input</v>
      </c>
      <c r="I192" s="127" t="str" cm="1">
        <f t="array" aca="1" ref="I192" ca="1">HYPERLINK(Common_InputFunctions.Utility_SourceHyperlink($D$196),$D$196)</f>
        <v>M1_Table_MMS_j_m-4</v>
      </c>
    </row>
    <row r="193" spans="4:22" ht="20.100000000000001" customHeight="1" x14ac:dyDescent="0.25">
      <c r="D193" s="120" t="str">
        <v>MMS_jm179</v>
      </c>
      <c r="E193" s="120" t="str">
        <v>fraction of volatile solids in MMS m=1,7,9 before transfer</v>
      </c>
      <c r="F193" s="120"/>
      <c r="G193" s="120" t="str">
        <v>fraction</v>
      </c>
      <c r="H193" s="121" t="str">
        <v>Input</v>
      </c>
      <c r="I193" s="127" t="str" cm="1">
        <f t="array" aca="1" ref="I193" ca="1">HYPERLINK(Common_InputFunctions.Utility_SourceHyperlink($D$148),$D$148)</f>
        <v>M1_Table_MMS_j_m</v>
      </c>
    </row>
    <row r="194" spans="4:22" ht="20.100000000000001" customHeight="1" x14ac:dyDescent="0.25">
      <c r="D194" s="120" t="str">
        <v>SS_m</v>
      </c>
      <c r="E194" s="120" t="str">
        <v>fraction of volatile solids separated to solid storage for each MMS</v>
      </c>
      <c r="F194" s="120"/>
      <c r="G194" s="120" t="str">
        <v>fraction</v>
      </c>
      <c r="H194" s="121" t="str">
        <v>Input</v>
      </c>
      <c r="I194" s="127" t="str" cm="1">
        <f t="array" aca="1" ref="I194" ca="1">HYPERLINK(Common_InputFunctions.Utility_SourceHyperlink($D$159),$D$159)</f>
        <v>M1_Table_SS_m</v>
      </c>
    </row>
    <row r="195" spans="4:22" ht="20.100000000000001" customHeight="1" x14ac:dyDescent="0.25"/>
    <row r="196" spans="4:22" ht="20.100000000000001" customHeight="1" x14ac:dyDescent="0.25">
      <c r="D196" s="122" t="s">
        <v>316</v>
      </c>
      <c r="O196" s="122" t="s">
        <v>317</v>
      </c>
    </row>
    <row r="197" spans="4:22" ht="20.100000000000001" customHeight="1" x14ac:dyDescent="0.25">
      <c r="D197" s="123" t="s">
        <v>318</v>
      </c>
      <c r="O197" s="123" t="s">
        <v>319</v>
      </c>
    </row>
    <row r="198" spans="4:22" ht="20.100000000000001" customHeight="1" x14ac:dyDescent="0.25">
      <c r="D198" s="94" t="s">
        <v>168</v>
      </c>
      <c r="E198" s="94" t="s">
        <v>307</v>
      </c>
      <c r="F198" s="94" t="s">
        <v>213</v>
      </c>
      <c r="G198" s="94" t="s">
        <v>214</v>
      </c>
      <c r="H198" s="94" t="s">
        <v>215</v>
      </c>
      <c r="I198" s="94" t="s">
        <v>216</v>
      </c>
      <c r="J198" s="94" t="s">
        <v>217</v>
      </c>
      <c r="O198" s="94" t="s">
        <v>168</v>
      </c>
      <c r="P198" s="94" t="s">
        <v>307</v>
      </c>
      <c r="Q198" s="94" t="s">
        <v>213</v>
      </c>
      <c r="R198" s="94" t="s">
        <v>214</v>
      </c>
      <c r="S198" s="94" t="s">
        <v>215</v>
      </c>
      <c r="T198" s="94" t="s">
        <v>216</v>
      </c>
      <c r="U198" s="94" t="s">
        <v>217</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229</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229</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229</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229</v>
      </c>
    </row>
    <row r="201" spans="4:22" ht="20.100000000000001" customHeight="1" x14ac:dyDescent="0.25"/>
    <row r="202" spans="4:22" ht="20.100000000000001" customHeight="1" x14ac:dyDescent="0.25">
      <c r="D202" s="122" t="s">
        <v>320</v>
      </c>
      <c r="O202" s="122" t="s">
        <v>321</v>
      </c>
    </row>
    <row r="203" spans="4:22" ht="20.100000000000001" customHeight="1" x14ac:dyDescent="0.25">
      <c r="D203" s="123" t="s">
        <v>322</v>
      </c>
      <c r="O203" s="123" t="s">
        <v>323</v>
      </c>
    </row>
    <row r="204" spans="4:22" ht="20.100000000000001" customHeight="1" x14ac:dyDescent="0.25">
      <c r="D204" s="124" t="s">
        <v>168</v>
      </c>
      <c r="E204" s="124" t="s">
        <v>307</v>
      </c>
      <c r="F204" s="124" t="s">
        <v>213</v>
      </c>
      <c r="G204" s="124" t="s">
        <v>214</v>
      </c>
      <c r="H204" s="124" t="s">
        <v>215</v>
      </c>
      <c r="I204" s="124" t="s">
        <v>216</v>
      </c>
      <c r="J204" s="124" t="s">
        <v>217</v>
      </c>
      <c r="O204" s="124" t="s">
        <v>168</v>
      </c>
      <c r="P204" s="124" t="s">
        <v>307</v>
      </c>
      <c r="Q204" s="124" t="s">
        <v>213</v>
      </c>
      <c r="R204" s="124" t="s">
        <v>214</v>
      </c>
      <c r="S204" s="124" t="s">
        <v>215</v>
      </c>
      <c r="T204" s="124" t="s">
        <v>216</v>
      </c>
      <c r="U204" s="124" t="s">
        <v>217</v>
      </c>
    </row>
    <row r="205" spans="4:22" ht="20.100000000000001" customHeight="1" x14ac:dyDescent="0.25">
      <c r="D205" s="25" t="str">
        <f>INDEX(X_Table_Dairy_ProductionSystems_Method1,3,1)</f>
        <v>Milking shed</v>
      </c>
      <c r="E205" s="25" t="s">
        <v>76</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76</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76</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76</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1"/>
      <c r="D209" s="101"/>
      <c r="E209" s="101"/>
      <c r="F209" s="101"/>
      <c r="G209" s="101"/>
      <c r="H209" s="101"/>
      <c r="I209" s="101"/>
      <c r="J209" s="101"/>
      <c r="K209" s="101"/>
      <c r="L209" s="101"/>
      <c r="N209" s="101"/>
      <c r="O209" s="101"/>
      <c r="P209" s="101"/>
      <c r="Q209" s="101"/>
      <c r="R209" s="101"/>
      <c r="S209" s="101"/>
      <c r="T209" s="101"/>
      <c r="U209" s="101"/>
      <c r="V209" s="101"/>
      <c r="W209" s="101"/>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8" t="s">
        <v>262</v>
      </c>
      <c r="E212" s="118"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7" t="s">
        <v>263</v>
      </c>
      <c r="E215" s="1" t="str" cm="1">
        <f t="array" ref="E215">MMS_Dairy_Methane_Equations.VEERG_4_3_1_1__2_MethaneFromManureProduction_Variable()</f>
        <v>M_jm</v>
      </c>
    </row>
    <row r="216" spans="1:23" ht="20.100000000000001" customHeight="1" x14ac:dyDescent="0.25">
      <c r="D216" s="87" t="s">
        <v>122</v>
      </c>
      <c r="E216" s="15" t="str" cm="1">
        <f t="array" ref="E216">MMS_Dairy_Methane_Equations.VEERG_4_3_1_1__2_MethaneFromManureProduction_Unit()</f>
        <v>kg CH4/head/day</v>
      </c>
    </row>
    <row r="217" spans="1:23" ht="20.100000000000001" customHeight="1" x14ac:dyDescent="0.25">
      <c r="A217" s="129" t="str">
        <f>HYPERLINK("#A1", "▲ Back to top")</f>
        <v>▲ Back to top</v>
      </c>
    </row>
    <row r="218" spans="1:23" ht="20.100000000000001" customHeight="1" x14ac:dyDescent="0.25">
      <c r="D218" s="120" t="str" cm="1">
        <f t="array" ref="D218:E223">_xlfn.CHOOSECOLS(MMS_Dairy_Methane_Equations.VEERG_4_3_1_1__2_MethaneFromManureProduction_Arguments(),1,2)</f>
        <v>VS_j</v>
      </c>
      <c r="E218" s="125" t="str">
        <v>daily volatile solids production per head for dairy cattle (kg/head/day)</v>
      </c>
      <c r="F218" s="126"/>
      <c r="G218" s="120" t="str" cm="1">
        <f t="array" ref="G218:H223">_xlfn.CHOOSECOLS(MMS_Dairy_Methane_Equations.VEERG_4_3_1_1__2_MethaneFromManureProduction_Arguments(),3,4)</f>
        <v>kg/head/day</v>
      </c>
      <c r="H218" s="128" t="str">
        <v>Calculated from 4.3.1.1 (3)</v>
      </c>
      <c r="I218" s="127" t="str" cm="1">
        <f t="array" aca="1" ref="I218" ca="1">HYPERLINK(Common_InputFunctions.Utility_SourceHyperlink($D$130),$D$130)</f>
        <v>M1_Table_VS_j</v>
      </c>
      <c r="J218" s="120"/>
      <c r="O218" s="120" t="str" cm="1">
        <f t="array" ref="O218:P223">_xlfn.CHOOSECOLS(MMS_Dairy_Methane_Equations.VEERG_4_3_1_1__2_MethaneFromManureProduction_Arguments_Method2(),1,2)</f>
        <v>VS_j</v>
      </c>
      <c r="P218" s="125" t="str">
        <v>daily volatile solids production per head for dairy cattle (kg/head/day)</v>
      </c>
      <c r="Q218" s="126"/>
      <c r="R218" s="120" t="str" cm="1">
        <f t="array" ref="R218:S223">_xlfn.CHOOSECOLS(MMS_Dairy_Methane_Equations.VEERG_4_3_1_1__2_MethaneFromManureProduction_Arguments_Method2(),3,4)</f>
        <v>kg/head/day</v>
      </c>
      <c r="S218" s="128" t="str">
        <v>Calculated from 4.3.1.1 (3)</v>
      </c>
      <c r="T218" s="120"/>
    </row>
    <row r="219" spans="1:23" ht="20.100000000000001" customHeight="1" x14ac:dyDescent="0.25">
      <c r="D219" s="120" t="str">
        <v>FVS_jmT1</v>
      </c>
      <c r="E219" s="125" t="str">
        <v>fraction of waste from each class in each management system</v>
      </c>
      <c r="F219" s="126"/>
      <c r="G219" s="120" t="str">
        <v>fraction</v>
      </c>
      <c r="H219" s="128" t="str">
        <v>Calculated from 4.3.1.1 (4)(5)</v>
      </c>
      <c r="I219" s="127" t="str" cm="1">
        <f t="array" aca="1" ref="I219" ca="1">HYPERLINK(Common_InputFunctions.Utility_SourceHyperlink($D$170),$D$170)</f>
        <v>M1_Table_FVS_j_m</v>
      </c>
      <c r="J219" s="127" t="str" cm="1">
        <f t="array" aca="1" ref="J219" ca="1">HYPERLINK(Common_InputFunctions.Utility_SourceHyperlink($D$202),$D$202)</f>
        <v>M1_Table_FVS_j_m-4</v>
      </c>
      <c r="O219" s="120" t="str">
        <v>FVS_jmT1</v>
      </c>
      <c r="P219" s="125" t="str">
        <v>fraction of waste from each class in each management system</v>
      </c>
      <c r="Q219" s="126"/>
      <c r="R219" s="120" t="str">
        <v>fraction</v>
      </c>
      <c r="S219" s="128" t="str">
        <v>Calculated from 4.3.1.1 (4)(5)</v>
      </c>
      <c r="T219" s="120"/>
    </row>
    <row r="220" spans="1:23" ht="20.100000000000001" customHeight="1" x14ac:dyDescent="0.25">
      <c r="D220" s="120" t="str">
        <v>MCF_im</v>
      </c>
      <c r="E220" s="125" t="str">
        <v>methane conversion factor for temperature zone and MMS</v>
      </c>
      <c r="F220" s="126"/>
      <c r="G220" s="120" t="str">
        <v>fraction</v>
      </c>
      <c r="H220" s="128" t="str">
        <v>Constant</v>
      </c>
      <c r="I220" s="127" t="str" cm="1">
        <f t="array" aca="1" ref="I220" ca="1">HYPERLINK(Common_InputFunctions.Utility_SourceHyperlink($D$225),$D$225)</f>
        <v>M1_Table_MCF_i_m</v>
      </c>
      <c r="J220" s="120"/>
      <c r="O220" s="120" t="str">
        <v>MCF_im</v>
      </c>
      <c r="P220" s="125" t="str">
        <v>methane conversion factor for temperature zone and MMS</v>
      </c>
      <c r="Q220" s="126"/>
      <c r="R220" s="120" t="str">
        <v>fraction</v>
      </c>
      <c r="S220" s="128" t="str">
        <v>Constant</v>
      </c>
      <c r="T220" s="127" t="str" cm="1">
        <f t="array" aca="1" ref="T220" ca="1">HYPERLINK(Common_InputFunctions.Utility_SourceHyperlink($O$225),$O$225)</f>
        <v>M2_Table_MCF_i_m</v>
      </c>
    </row>
    <row r="221" spans="1:23" ht="20.100000000000001" customHeight="1" x14ac:dyDescent="0.25">
      <c r="D221" s="120" t="str">
        <v>B_o</v>
      </c>
      <c r="E221" s="125" t="str">
        <v>emissions potential (m3 CH4/kgVS)</v>
      </c>
      <c r="F221" s="126"/>
      <c r="G221" s="120" t="str">
        <v>m3 CH4/kgVS</v>
      </c>
      <c r="H221" s="128" t="str">
        <v>Constant</v>
      </c>
      <c r="I221" s="120">
        <f>SourceData_Dairy_MethaneEmissionsPotential_Data</f>
        <v>0.24</v>
      </c>
      <c r="J221" s="120"/>
      <c r="O221" s="120" t="str">
        <v>B_o</v>
      </c>
      <c r="P221" s="125" t="str">
        <v>emissions potential (m3 CH4/kgVS)</v>
      </c>
      <c r="Q221" s="126"/>
      <c r="R221" s="120" t="str">
        <v>m3 CH4/kgVS</v>
      </c>
      <c r="S221" s="128" t="str">
        <v>Constant</v>
      </c>
      <c r="T221" s="120"/>
    </row>
    <row r="222" spans="1:23" ht="20.100000000000001" customHeight="1" x14ac:dyDescent="0.25">
      <c r="D222" s="120" t="str">
        <v>rho</v>
      </c>
      <c r="E222" s="125" t="str">
        <v>density of methane (kg/m3)</v>
      </c>
      <c r="F222" s="126"/>
      <c r="G222" s="120" t="str">
        <v>kg/m3</v>
      </c>
      <c r="H222" s="128" t="str">
        <v>Constant</v>
      </c>
      <c r="I222" s="120">
        <f>Common_SourceData_DensityOfMethane_Data</f>
        <v>0.6784</v>
      </c>
      <c r="J222" s="120"/>
      <c r="O222" s="120" t="str">
        <v>rho</v>
      </c>
      <c r="P222" s="125" t="str">
        <v>density of methane (kg/m3)</v>
      </c>
      <c r="Q222" s="126"/>
      <c r="R222" s="120" t="str">
        <v>kg/m3</v>
      </c>
      <c r="S222" s="128" t="str">
        <v>Constant</v>
      </c>
      <c r="T222" s="120"/>
    </row>
    <row r="223" spans="1:23" ht="20.100000000000001" customHeight="1" x14ac:dyDescent="0.25">
      <c r="D223" s="120" t="str">
        <v>i</v>
      </c>
      <c r="E223" s="125" t="str">
        <v>state</v>
      </c>
      <c r="F223" s="126"/>
      <c r="G223" s="120" t="str">
        <v>state</v>
      </c>
      <c r="H223" s="121" t="str">
        <v>Input</v>
      </c>
      <c r="I223" s="120" t="str">
        <f>Common_InputFunctions.Utility_LookupValueInTable(X_Cell_Site_State, Table_AustralianStates[Common Name],Table_AustralianStates[Abbreviation])</f>
        <v>WA</v>
      </c>
      <c r="J223" s="120"/>
      <c r="O223" s="120" t="str">
        <v>MAT</v>
      </c>
      <c r="P223" s="125" t="str">
        <v>Mean annual temperature</v>
      </c>
      <c r="Q223" s="126"/>
      <c r="R223" s="120" t="str">
        <v>°C</v>
      </c>
      <c r="S223" s="121" t="str">
        <v>Input</v>
      </c>
      <c r="T223" s="120">
        <f>X_Cell_Site_AverageTemperature</f>
        <v>18</v>
      </c>
    </row>
    <row r="224" spans="1:23" ht="20.100000000000001" customHeight="1" x14ac:dyDescent="0.25"/>
    <row r="225" spans="4:22" ht="20.100000000000001" customHeight="1" x14ac:dyDescent="0.25">
      <c r="D225" s="130" t="s">
        <v>324</v>
      </c>
      <c r="O225" s="130" t="s">
        <v>325</v>
      </c>
    </row>
    <row r="226" spans="4:22" ht="20.100000000000001" customHeight="1" x14ac:dyDescent="0.25">
      <c r="D226" s="131" t="s">
        <v>326</v>
      </c>
      <c r="O226" s="131" t="s">
        <v>327</v>
      </c>
    </row>
    <row r="227" spans="4:22" ht="20.100000000000001" customHeight="1" x14ac:dyDescent="0.25">
      <c r="D227" s="124" t="s">
        <v>307</v>
      </c>
      <c r="E227" s="124" t="s">
        <v>328</v>
      </c>
      <c r="O227" s="124" t="s">
        <v>307</v>
      </c>
      <c r="P227" s="124" t="s">
        <v>328</v>
      </c>
    </row>
    <row r="228" spans="4:22" ht="20.100000000000001" customHeight="1" x14ac:dyDescent="0.25">
      <c r="D228" s="132"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2"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79" t="s">
        <v>329</v>
      </c>
      <c r="R228" s="79"/>
    </row>
    <row r="229" spans="4:22" ht="20.100000000000001" customHeight="1" x14ac:dyDescent="0.25">
      <c r="D229" s="132" t="str">
        <f>'Constants - Dairy'!$D$8</f>
        <v>Anaerobic lagoon</v>
      </c>
      <c r="E229" s="25" cm="1">
        <f t="array" ref="E229">CommonLivestock_InputFunctions.Livestock_LookupMCFState(D229,Table_SourceData_Dairy_MCFjm[NIR reference],$I$223,Table_SourceData_Dairy_MCFjm[#Headers],Table_SourceData_Dairy_MCFjm[#Data])</f>
        <v>0.76</v>
      </c>
      <c r="O229" s="132"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2"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2"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79" t="s">
        <v>330</v>
      </c>
      <c r="R230" s="79"/>
    </row>
    <row r="231" spans="4:22" ht="20.100000000000001" customHeight="1" x14ac:dyDescent="0.25">
      <c r="D231" s="132" t="str">
        <f>'Constants - Dairy'!$D$10</f>
        <v>Drains to paddock</v>
      </c>
      <c r="E231" s="25" cm="1">
        <f t="array" ref="E231">CommonLivestock_InputFunctions.Livestock_LookupMCFState(D231,Table_SourceData_Dairy_MCFjm[NIR reference],$I$223,Table_SourceData_Dairy_MCFjm[#Headers],Table_SourceData_Dairy_MCFjm[#Data])</f>
        <v>0.18</v>
      </c>
      <c r="O231" s="132"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79" t="s">
        <v>331</v>
      </c>
      <c r="R231" s="79"/>
    </row>
    <row r="232" spans="4:22" ht="20.100000000000001" customHeight="1" x14ac:dyDescent="0.25">
      <c r="D232" s="132" t="str">
        <f>'Constants - Dairy'!$D$11</f>
        <v>Solid storage</v>
      </c>
      <c r="E232" s="25" cm="1">
        <f t="array" ref="E232">CommonLivestock_InputFunctions.Livestock_LookupMCFState(D232,Table_SourceData_Dairy_MCFjm[NIR reference],$I$223,Table_SourceData_Dairy_MCFjm[#Headers],Table_SourceData_Dairy_MCFjm[#Data])</f>
        <v>0.02</v>
      </c>
      <c r="O232" s="132"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30" t="s">
        <v>332</v>
      </c>
      <c r="O234" s="130" t="s">
        <v>333</v>
      </c>
    </row>
    <row r="235" spans="4:22" ht="20.100000000000001" customHeight="1" x14ac:dyDescent="0.25">
      <c r="D235" s="131" t="s">
        <v>334</v>
      </c>
      <c r="O235" s="131" t="s">
        <v>335</v>
      </c>
    </row>
    <row r="236" spans="4:22" ht="20.100000000000001" customHeight="1" x14ac:dyDescent="0.25">
      <c r="D236" s="124" t="s">
        <v>168</v>
      </c>
      <c r="E236" s="124" t="s">
        <v>307</v>
      </c>
      <c r="F236" s="124" t="s">
        <v>213</v>
      </c>
      <c r="G236" s="124" t="s">
        <v>214</v>
      </c>
      <c r="H236" s="124" t="s">
        <v>215</v>
      </c>
      <c r="I236" s="124" t="s">
        <v>216</v>
      </c>
      <c r="J236" s="124" t="s">
        <v>217</v>
      </c>
      <c r="O236" s="124" t="s">
        <v>168</v>
      </c>
      <c r="P236" s="124" t="s">
        <v>307</v>
      </c>
      <c r="Q236" s="124" t="s">
        <v>213</v>
      </c>
      <c r="R236" s="124" t="s">
        <v>214</v>
      </c>
      <c r="S236" s="124" t="s">
        <v>215</v>
      </c>
      <c r="T236" s="124" t="s">
        <v>216</v>
      </c>
      <c r="U236" s="124" t="s">
        <v>217</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76</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76</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76</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76</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1"/>
      <c r="D248" s="101"/>
      <c r="E248" s="101"/>
      <c r="F248" s="101"/>
      <c r="G248" s="101"/>
      <c r="H248" s="101"/>
      <c r="I248" s="101"/>
      <c r="J248" s="101"/>
      <c r="K248" s="101"/>
      <c r="L248" s="101"/>
      <c r="N248" s="101"/>
      <c r="O248" s="101"/>
      <c r="P248" s="101"/>
      <c r="Q248" s="101"/>
      <c r="R248" s="101"/>
      <c r="S248" s="101"/>
      <c r="T248" s="101"/>
      <c r="U248" s="101"/>
      <c r="V248" s="101"/>
      <c r="W248" s="101"/>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8" t="s">
        <v>262</v>
      </c>
      <c r="E252" s="118"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7" t="s">
        <v>263</v>
      </c>
      <c r="E255" s="1" t="str" cm="1">
        <f t="array" ref="E255">MMS_Dairy_Methane_Equations.VEERG_4_3_1_1__1_TotalAnnualMethaneFromManureManagement_Variable()</f>
        <v>E_CH4</v>
      </c>
    </row>
    <row r="256" spans="3:23" ht="20.100000000000001" customHeight="1" x14ac:dyDescent="0.25">
      <c r="D256" s="87" t="s">
        <v>122</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20" t="str" cm="1">
        <f t="array" ref="D258:E265">_xlfn.CHOOSECOLS(MMS_Dairy_Methane_Equations.VEERG_4_3_1_1__1_TotalAnnualMethaneFromManureManagement_Arguments(),1,2)</f>
        <v>N_j124</v>
      </c>
      <c r="E258" s="125" t="str">
        <v>number of dairy cattle in classes j=1,2,4</v>
      </c>
      <c r="F258" s="133"/>
      <c r="G258" s="126"/>
      <c r="H258" s="120" t="str" cm="1">
        <f t="array" ref="H258:I265">_xlfn.CHOOSECOLS(MMS_Dairy_Methane_Equations.VEERG_4_3_1_1__1_TotalAnnualMethaneFromManureManagement_Arguments(),3,4)</f>
        <v>head</v>
      </c>
      <c r="I258" s="121" t="str">
        <v>Input</v>
      </c>
      <c r="J258" s="127" t="str" cm="1">
        <f t="array" aca="1" ref="J258" ca="1">HYPERLINK(Common_InputFunctions.Utility_SourceHyperlink($D$267),$D$267)</f>
        <v>Table_N_j</v>
      </c>
    </row>
    <row r="259" spans="4:15" ht="20.100000000000001" customHeight="1" x14ac:dyDescent="0.25">
      <c r="D259" s="120" t="str">
        <v>M_j124m</v>
      </c>
      <c r="E259" s="125" t="str">
        <v>methane production from manure of weaned dairy cattle in classes j=1,2,4 in MMS m</v>
      </c>
      <c r="F259" s="133"/>
      <c r="G259" s="126"/>
      <c r="H259" s="120" t="str">
        <v>kg CH4/head/day</v>
      </c>
      <c r="I259" s="128" t="str">
        <v>Calculated from 4.3.1.1 (2)</v>
      </c>
      <c r="J259" s="127" t="str" cm="1">
        <f t="array" aca="1" ref="J259" ca="1">HYPERLINK(Common_InputFunctions.Utility_SourceHyperlink($D$234),$D$234)</f>
        <v>M1_M_j_m</v>
      </c>
    </row>
    <row r="260" spans="4:15" ht="20.100000000000001" customHeight="1" x14ac:dyDescent="0.25">
      <c r="D260" s="120" t="str">
        <v>D_j124</v>
      </c>
      <c r="E260" s="125" t="str">
        <v>duration of stay on farm for classes j=1,2,4</v>
      </c>
      <c r="F260" s="133"/>
      <c r="G260" s="126"/>
      <c r="H260" s="120" t="str">
        <v>days</v>
      </c>
      <c r="I260" s="121" t="str">
        <v>Input</v>
      </c>
      <c r="J260" s="127" t="str" cm="1">
        <f t="array" aca="1" ref="J260" ca="1">HYPERLINK(Common_InputFunctions.Utility_SourceHyperlink($D$272),$D$272)</f>
        <v>M1_Table_D_j</v>
      </c>
    </row>
    <row r="261" spans="4:15" ht="20.100000000000001" customHeight="1" x14ac:dyDescent="0.25">
      <c r="D261" s="120" t="str">
        <v>N_j35</v>
      </c>
      <c r="E261" s="125" t="str">
        <v>number of dairy cattle in classes j=3,5</v>
      </c>
      <c r="F261" s="133"/>
      <c r="G261" s="126"/>
      <c r="H261" s="120" t="str">
        <v>head</v>
      </c>
      <c r="I261" s="121" t="str">
        <v>Input</v>
      </c>
      <c r="J261" s="127" t="str" cm="1">
        <f t="array" aca="1" ref="J261" ca="1">HYPERLINK(Common_InputFunctions.Utility_SourceHyperlink($D$267),$D$267)</f>
        <v>Table_N_j</v>
      </c>
    </row>
    <row r="262" spans="4:15" ht="20.100000000000001" customHeight="1" x14ac:dyDescent="0.25">
      <c r="D262" s="120" t="str">
        <v>M_j35m</v>
      </c>
      <c r="E262" s="125" t="str">
        <v>methane production from manure of weaned dairy cattle in classes j=3,5 in MMS m</v>
      </c>
      <c r="F262" s="133"/>
      <c r="G262" s="126"/>
      <c r="H262" s="120" t="str">
        <v>kg CH4/head/day</v>
      </c>
      <c r="I262" s="128" t="str">
        <v>Calculated from 4.3.1.1 (2)</v>
      </c>
      <c r="J262" s="127" t="str" cm="1">
        <f t="array" aca="1" ref="J262" ca="1">HYPERLINK(Common_InputFunctions.Utility_SourceHyperlink($D$234),$D$234)</f>
        <v>M1_M_j_m</v>
      </c>
    </row>
    <row r="263" spans="4:15" ht="20.100000000000001" customHeight="1" x14ac:dyDescent="0.25">
      <c r="D263" s="120" t="str">
        <v>D_j35</v>
      </c>
      <c r="E263" s="125" t="str">
        <v>duration of stay on farm for classes j=3,5</v>
      </c>
      <c r="F263" s="133"/>
      <c r="G263" s="126"/>
      <c r="H263" s="120" t="str">
        <v>days</v>
      </c>
      <c r="I263" s="121" t="str">
        <v>Input</v>
      </c>
      <c r="J263" s="127" t="str" cm="1">
        <f t="array" aca="1" ref="J263" ca="1">HYPERLINK(Common_InputFunctions.Utility_SourceHyperlink($D$272),$D$272)</f>
        <v>M1_Table_D_j</v>
      </c>
    </row>
    <row r="264" spans="4:15" ht="20.100000000000001" customHeight="1" x14ac:dyDescent="0.25">
      <c r="D264" s="120" t="str">
        <v>MPW_manure_j35</v>
      </c>
      <c r="E264" s="125" t="str">
        <v>methane production from manure of pre-weaned heifer and bull calves</v>
      </c>
      <c r="F264" s="133"/>
      <c r="G264" s="126"/>
      <c r="H264" s="120" t="str">
        <v>kg CH4/head/day</v>
      </c>
      <c r="I264" s="128" t="str">
        <v>Constant</v>
      </c>
      <c r="J264" s="127" t="str" cm="1">
        <f t="array" aca="1" ref="J264" ca="1">HYPERLINK(Common_InputFunctions.Utility_SourceHyperlink($D$277),$D$277)</f>
        <v>Table_MPW_manure_j-3-5</v>
      </c>
    </row>
    <row r="265" spans="4:15" ht="20.100000000000001" customHeight="1" x14ac:dyDescent="0.25">
      <c r="D265" s="120" t="str">
        <v>DPW_j35</v>
      </c>
      <c r="E265" s="125" t="str">
        <v>duration of stay on farm for pre-weaned heifer and bull calves</v>
      </c>
      <c r="F265" s="133"/>
      <c r="G265" s="126"/>
      <c r="H265" s="120" t="str">
        <v>days</v>
      </c>
      <c r="I265" s="121" t="str">
        <v>Input</v>
      </c>
      <c r="J265" s="127" t="str" cm="1">
        <f t="array" aca="1" ref="J265" ca="1">HYPERLINK(Common_InputFunctions.Utility_SourceHyperlink($D$282),$D$282)</f>
        <v>M1_Table_DPW_j</v>
      </c>
    </row>
    <row r="266" spans="4:15" ht="20.100000000000001" customHeight="1" x14ac:dyDescent="0.25"/>
    <row r="267" spans="4:15" ht="20.100000000000001" customHeight="1" x14ac:dyDescent="0.25">
      <c r="D267" s="122" t="s">
        <v>336</v>
      </c>
    </row>
    <row r="268" spans="4:15" ht="20.100000000000001" customHeight="1" x14ac:dyDescent="0.25">
      <c r="D268" s="123" t="s">
        <v>337</v>
      </c>
    </row>
    <row r="269" spans="4:15" ht="20.100000000000001" customHeight="1" x14ac:dyDescent="0.25">
      <c r="D269" s="94" t="s">
        <v>213</v>
      </c>
      <c r="E269" s="94" t="s">
        <v>214</v>
      </c>
      <c r="F269" s="94" t="s">
        <v>215</v>
      </c>
      <c r="G269" s="94" t="s">
        <v>216</v>
      </c>
      <c r="H269" s="94" t="s">
        <v>217</v>
      </c>
    </row>
    <row r="270" spans="4:15" ht="20.100000000000001" customHeight="1" x14ac:dyDescent="0.25">
      <c r="D270" s="134">
        <f>INDEX(X_Table_Dairy_HerdMovement,2,2)</f>
        <v>100</v>
      </c>
      <c r="E270" s="134">
        <f>INDEX(X_Table_Dairy_HerdMovement,2,3)</f>
        <v>100</v>
      </c>
      <c r="F270" s="134">
        <f>INDEX(X_Table_Dairy_HerdMovement,2,4)</f>
        <v>100</v>
      </c>
      <c r="G270" s="134">
        <f>INDEX(X_Table_Dairy_HerdMovement,2,5)</f>
        <v>100</v>
      </c>
      <c r="H270" s="134">
        <f>INDEX(X_Table_Dairy_HerdMovement,2,6)</f>
        <v>100</v>
      </c>
      <c r="I270" s="26" t="s">
        <v>338</v>
      </c>
    </row>
    <row r="271" spans="4:15" ht="20.100000000000001" customHeight="1" x14ac:dyDescent="0.25"/>
    <row r="272" spans="4:15" x14ac:dyDescent="0.25">
      <c r="D272" s="122" t="s">
        <v>339</v>
      </c>
      <c r="O272" s="122" t="s">
        <v>340</v>
      </c>
    </row>
    <row r="273" spans="1:20" x14ac:dyDescent="0.25">
      <c r="D273" s="123" t="s">
        <v>341</v>
      </c>
      <c r="O273" s="123" t="s">
        <v>342</v>
      </c>
    </row>
    <row r="274" spans="1:20" x14ac:dyDescent="0.25">
      <c r="D274" s="94" t="s">
        <v>213</v>
      </c>
      <c r="E274" s="94" t="s">
        <v>214</v>
      </c>
      <c r="F274" s="94" t="s">
        <v>215</v>
      </c>
      <c r="G274" s="94" t="s">
        <v>216</v>
      </c>
      <c r="H274" s="94" t="s">
        <v>217</v>
      </c>
      <c r="O274" s="94" t="s">
        <v>213</v>
      </c>
      <c r="P274" s="94" t="s">
        <v>214</v>
      </c>
      <c r="Q274" s="94" t="s">
        <v>215</v>
      </c>
      <c r="R274" s="94" t="s">
        <v>216</v>
      </c>
      <c r="S274" s="94" t="s">
        <v>217</v>
      </c>
    </row>
    <row r="275" spans="1:20" x14ac:dyDescent="0.25">
      <c r="A275" s="129"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113</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113</v>
      </c>
    </row>
    <row r="277" spans="1:20" x14ac:dyDescent="0.25">
      <c r="D277" s="122" t="s">
        <v>343</v>
      </c>
    </row>
    <row r="278" spans="1:20" x14ac:dyDescent="0.25">
      <c r="D278" s="123" t="s">
        <v>344</v>
      </c>
    </row>
    <row r="279" spans="1:20" x14ac:dyDescent="0.25">
      <c r="D279" s="124" t="s">
        <v>213</v>
      </c>
      <c r="E279" s="124" t="s">
        <v>214</v>
      </c>
      <c r="F279" s="124" t="s">
        <v>215</v>
      </c>
      <c r="G279" s="124" t="s">
        <v>216</v>
      </c>
      <c r="H279" s="124" t="s">
        <v>217</v>
      </c>
    </row>
    <row r="280" spans="1:20" x14ac:dyDescent="0.25">
      <c r="D280" s="25">
        <v>0</v>
      </c>
      <c r="E280" s="25">
        <v>0</v>
      </c>
      <c r="F280" s="25">
        <f>'Constants - Dairy'!$E$63</f>
        <v>1.7600000000000001E-2</v>
      </c>
      <c r="G280" s="25">
        <v>0</v>
      </c>
      <c r="H280" s="25">
        <f>'Constants - Dairy'!$E$64</f>
        <v>2.0400000000000001E-2</v>
      </c>
      <c r="I280" s="26" t="s">
        <v>345</v>
      </c>
    </row>
    <row r="282" spans="1:20" x14ac:dyDescent="0.25">
      <c r="D282" s="122" t="s">
        <v>346</v>
      </c>
      <c r="O282" s="122" t="s">
        <v>346</v>
      </c>
    </row>
    <row r="283" spans="1:20" x14ac:dyDescent="0.25">
      <c r="D283" s="123" t="s">
        <v>347</v>
      </c>
      <c r="O283" s="123" t="s">
        <v>347</v>
      </c>
    </row>
    <row r="284" spans="1:20" x14ac:dyDescent="0.25">
      <c r="D284" s="124" t="s">
        <v>213</v>
      </c>
      <c r="E284" s="124" t="s">
        <v>214</v>
      </c>
      <c r="F284" s="124" t="s">
        <v>215</v>
      </c>
      <c r="G284" s="124" t="s">
        <v>216</v>
      </c>
      <c r="H284" s="124" t="s">
        <v>217</v>
      </c>
      <c r="O284" s="94" t="s">
        <v>213</v>
      </c>
      <c r="P284" s="94" t="s">
        <v>214</v>
      </c>
      <c r="Q284" s="94" t="s">
        <v>215</v>
      </c>
      <c r="R284" s="94" t="s">
        <v>216</v>
      </c>
      <c r="S284" s="94" t="s">
        <v>217</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113</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113</v>
      </c>
    </row>
    <row r="287" spans="1:20" x14ac:dyDescent="0.25">
      <c r="D287" s="122" t="s">
        <v>348</v>
      </c>
      <c r="O287" s="122" t="s">
        <v>348</v>
      </c>
    </row>
    <row r="288" spans="1:20" x14ac:dyDescent="0.25">
      <c r="D288" s="123" t="s">
        <v>349</v>
      </c>
      <c r="O288" s="123" t="s">
        <v>350</v>
      </c>
    </row>
    <row r="289" spans="4:21" x14ac:dyDescent="0.25">
      <c r="D289" s="124" t="s">
        <v>168</v>
      </c>
      <c r="E289" s="124" t="s">
        <v>307</v>
      </c>
      <c r="F289" s="124" t="s">
        <v>213</v>
      </c>
      <c r="G289" s="124" t="s">
        <v>214</v>
      </c>
      <c r="H289" s="124" t="s">
        <v>215</v>
      </c>
      <c r="I289" s="124" t="s">
        <v>216</v>
      </c>
      <c r="J289" s="124" t="s">
        <v>217</v>
      </c>
      <c r="O289" s="124" t="s">
        <v>168</v>
      </c>
      <c r="P289" s="124" t="s">
        <v>307</v>
      </c>
      <c r="Q289" s="124" t="s">
        <v>213</v>
      </c>
      <c r="R289" s="124" t="s">
        <v>214</v>
      </c>
      <c r="S289" s="124" t="s">
        <v>215</v>
      </c>
      <c r="T289" s="124" t="s">
        <v>216</v>
      </c>
      <c r="U289" s="124" t="s">
        <v>217</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76</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76</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76</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76</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5" t="s">
        <v>351</v>
      </c>
      <c r="E300" s="136">
        <f ca="1">SUM(F290:J298)</f>
        <v>10.314345551795777</v>
      </c>
      <c r="F300" s="137" t="str">
        <f>$E$256</f>
        <v>t CH4</v>
      </c>
      <c r="O300" s="135" t="s">
        <v>352</v>
      </c>
      <c r="P300" s="136">
        <f ca="1">SUM(Q290:U298)</f>
        <v>10.64070664267806</v>
      </c>
      <c r="Q300" s="137" t="str">
        <f>$E$256</f>
        <v>t CH4</v>
      </c>
    </row>
    <row r="302" spans="4:21" x14ac:dyDescent="0.25">
      <c r="D302" s="132" t="str" cm="1">
        <f t="array" ref="D302:E303">Common_Equations.Common_ConvertCH4ToCO2e_Arguments()</f>
        <v>ECH4</v>
      </c>
      <c r="E302" s="138" t="str">
        <v>Methane emissions (t CH4)</v>
      </c>
      <c r="F302" s="139"/>
      <c r="G302" s="25">
        <f ca="1">VEERG_4_3_1_1__1_TotalAnnualMethaneFromManureManagement_Result_Method1</f>
        <v>10.314345551795777</v>
      </c>
      <c r="H302" s="26"/>
      <c r="O302" s="132" t="str" cm="1">
        <f t="array" ref="O302:P303">Common_Equations.Common_ConvertCH4ToCO2e_Arguments()</f>
        <v>ECH4</v>
      </c>
      <c r="P302" s="138" t="str">
        <v>Methane emissions (t CH4)</v>
      </c>
      <c r="Q302" s="139"/>
      <c r="R302" s="25">
        <f ca="1">VEERG_4_3_1_1__1_TotalAnnualMethaneFromManureManagement_Result_Method2</f>
        <v>10.64070664267806</v>
      </c>
      <c r="S302" s="26" t="s">
        <v>6</v>
      </c>
    </row>
    <row r="303" spans="4:21" x14ac:dyDescent="0.25">
      <c r="D303" s="132" t="str">
        <v>GWPCH4</v>
      </c>
      <c r="E303" s="138" t="str">
        <v>Global warming potential for methane (t CO2-e / t CH4)</v>
      </c>
      <c r="F303" s="139"/>
      <c r="G303" s="25">
        <f>Common_InputFunctions.Utility_LookupValueInTableNumber("CH4",Table_GWPData[Gas],Table_GWPData[CO2-e factor])</f>
        <v>28</v>
      </c>
      <c r="O303" s="132" t="str">
        <v>GWPCH4</v>
      </c>
      <c r="P303" s="138" t="str">
        <v>Global warming potential for methane (t CO2-e / t CH4)</v>
      </c>
      <c r="Q303" s="139"/>
      <c r="R303" s="25">
        <f>Common_InputFunctions.Utility_LookupValueInTableNumber("CH4",Table_GWPData[Gas],Table_GWPData[CO2-e factor])</f>
        <v>28</v>
      </c>
    </row>
    <row r="305" spans="4:17" ht="18.75" x14ac:dyDescent="0.25">
      <c r="D305" s="101" t="s">
        <v>353</v>
      </c>
      <c r="E305" s="101" cm="1">
        <f t="array" aca="1" ref="E305" ca="1">Common_Equations.Common_ConvertCH4ToCO2e(G302,G303)</f>
        <v>288.80167545028172</v>
      </c>
      <c r="F305" s="140" t="str" cm="1">
        <f t="array" ref="F305">Common_Equations.Common_ConvertN2OToCO2e_Unit()</f>
        <v>t CO2e</v>
      </c>
      <c r="O305" s="101" t="s">
        <v>354</v>
      </c>
      <c r="P305" s="101" cm="1">
        <f t="array" aca="1" ref="P305" ca="1">Common_Equations.Common_ConvertCH4ToCO2e(R302,R303)</f>
        <v>297.9397859949857</v>
      </c>
      <c r="Q305" s="140"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735AF608-C8B6-4C7D-A32E-EB45371AF897}"/>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C11F0-9525-42CA-9492-4E99FFA681E9}">
  <dimension ref="A1:U292"/>
  <sheetViews>
    <sheetView showGridLines="0" topLeftCell="B1"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355</v>
      </c>
    </row>
    <row r="2" spans="1:21" s="3" customFormat="1" ht="20.100000000000001" customHeight="1" x14ac:dyDescent="0.25">
      <c r="A2"/>
    </row>
    <row r="3" spans="1:21" ht="20.100000000000001" customHeight="1" x14ac:dyDescent="0.25">
      <c r="A3" s="5" t="str">
        <f>HYPERLINK("#'Home'!A1", "Home")</f>
        <v>Home</v>
      </c>
      <c r="C3" s="32"/>
      <c r="D3" s="32" t="s">
        <v>136</v>
      </c>
      <c r="E3" s="32"/>
      <c r="F3" s="32"/>
      <c r="G3" s="32"/>
      <c r="H3" s="32"/>
      <c r="I3" s="32"/>
      <c r="J3" s="32"/>
      <c r="K3" s="32"/>
      <c r="M3" s="32"/>
      <c r="N3" s="32" t="s">
        <v>137</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8" t="s">
        <v>262</v>
      </c>
      <c r="E7" s="118"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263</v>
      </c>
      <c r="E10" s="1" t="str" cm="1">
        <f t="array" ref="E10">MMS_Dairy_N2ODirect_Equations.VEERG_4_3_1_3__8_RelativeSize_Variable()</f>
        <v>Z_j</v>
      </c>
    </row>
    <row r="11" spans="1:21" ht="20.100000000000001" customHeight="1" x14ac:dyDescent="0.25">
      <c r="A11" s="5" t="str">
        <f>HYPERLINK("#'Input - Dairy'!A1", "Dairy")</f>
        <v>Dairy</v>
      </c>
      <c r="D11" s="87" t="s">
        <v>122</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20" t="str" cm="1">
        <f t="array" ref="D13:E14">_xlfn.CHOOSECOLS(MMS_Dairy_N2ODirect_Equations.VEERG_4_3_1_3__8_RelativeSize_Arguments(),1,2)</f>
        <v>W_j</v>
      </c>
      <c r="E13" s="120" t="str">
        <v>liveweight</v>
      </c>
      <c r="F13" s="120" t="str" cm="1">
        <f t="array" ref="F13:G14">_xlfn.CHOOSECOLS(MMS_Dairy_N2ODirect_Equations.VEERG_4_3_1_3__8_RelativeSize_Arguments(),3,4)</f>
        <v>kg/head</v>
      </c>
      <c r="G13" s="121" t="str">
        <v>Input</v>
      </c>
      <c r="H13" s="127"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20" t="str">
        <v>WR_j</v>
      </c>
      <c r="E14" s="120" t="str">
        <v>reference weight</v>
      </c>
      <c r="F14" s="120" t="str">
        <v>kg/head</v>
      </c>
      <c r="G14" s="128" t="str">
        <v>Constant</v>
      </c>
      <c r="H14" s="127"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2" t="s">
        <v>285</v>
      </c>
      <c r="N16" s="122" t="s">
        <v>286</v>
      </c>
    </row>
    <row r="17" spans="1:21" ht="20.100000000000001" customHeight="1" x14ac:dyDescent="0.25">
      <c r="A17" s="5" t="str">
        <f>HYPERLINK("#'Input - Fertiliser'!A1", "Fertiliser")</f>
        <v>Fertiliser</v>
      </c>
      <c r="D17" s="123" t="s">
        <v>287</v>
      </c>
      <c r="N17" s="123" t="s">
        <v>288</v>
      </c>
    </row>
    <row r="18" spans="1:21" ht="20.100000000000001" customHeight="1" x14ac:dyDescent="0.25">
      <c r="A18" s="5" t="str">
        <f>HYPERLINK("#'Input - Fuel'!A1", "Fuel")</f>
        <v>Fuel</v>
      </c>
      <c r="D18" s="94" t="s">
        <v>213</v>
      </c>
      <c r="E18" s="94" t="s">
        <v>214</v>
      </c>
      <c r="F18" s="94" t="s">
        <v>215</v>
      </c>
      <c r="G18" s="94" t="s">
        <v>216</v>
      </c>
      <c r="H18" s="94" t="s">
        <v>217</v>
      </c>
      <c r="N18" s="94" t="s">
        <v>213</v>
      </c>
      <c r="O18" s="94" t="s">
        <v>214</v>
      </c>
      <c r="P18" s="94" t="s">
        <v>215</v>
      </c>
      <c r="Q18" s="94" t="s">
        <v>216</v>
      </c>
      <c r="R18" s="94" t="s">
        <v>217</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222</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222</v>
      </c>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22" t="s">
        <v>356</v>
      </c>
    </row>
    <row r="22" spans="1:21" ht="20.100000000000001" customHeight="1" x14ac:dyDescent="0.25">
      <c r="A22" s="5" t="str">
        <f>HYPERLINK("#'Input - Livestock farm Inputs'!A1", "Livestock farm Inputs")</f>
        <v>Livestock farm Inputs</v>
      </c>
      <c r="D22" s="123" t="s">
        <v>357</v>
      </c>
    </row>
    <row r="23" spans="1:21" ht="20.100000000000001" customHeight="1" x14ac:dyDescent="0.25">
      <c r="A23" s="5" t="str">
        <f>HYPERLINK("#'Input - Freight'!A1", "Freight")</f>
        <v>Freight</v>
      </c>
      <c r="D23" s="124" t="s">
        <v>213</v>
      </c>
      <c r="E23" s="124" t="s">
        <v>214</v>
      </c>
      <c r="F23" s="124" t="s">
        <v>215</v>
      </c>
      <c r="G23" s="124" t="s">
        <v>216</v>
      </c>
      <c r="H23" s="124" t="s">
        <v>217</v>
      </c>
    </row>
    <row r="24" spans="1:21" ht="20.100000000000001" customHeight="1" x14ac:dyDescent="0.25">
      <c r="A24" s="5" t="str">
        <f>HYPERLINK("#'Input - Manure sent off-site'!A1", "Manure sent off-site")</f>
        <v>Manure sent off-site</v>
      </c>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222</v>
      </c>
    </row>
    <row r="25" spans="1:21" ht="20.100000000000001" customHeight="1" x14ac:dyDescent="0.25">
      <c r="A25" s="5" t="str">
        <f>HYPERLINK("#'Input - Solid waste'!A1", "Solid waste")</f>
        <v>Solid waste</v>
      </c>
    </row>
    <row r="26" spans="1:21" ht="20.100000000000001" customHeight="1" x14ac:dyDescent="0.25">
      <c r="A26" s="5" t="str">
        <f>HYPERLINK("#'Input - Data quality'!A1", "Data quality")</f>
        <v>Data quality</v>
      </c>
      <c r="D26" s="122" t="s">
        <v>358</v>
      </c>
      <c r="N26" s="122" t="s">
        <v>358</v>
      </c>
    </row>
    <row r="27" spans="1:21" ht="20.100000000000001" customHeight="1" x14ac:dyDescent="0.25">
      <c r="D27" s="123" t="s">
        <v>359</v>
      </c>
      <c r="N27" s="123" t="s">
        <v>360</v>
      </c>
    </row>
    <row r="28" spans="1:21" ht="20.100000000000001" customHeight="1" x14ac:dyDescent="0.25">
      <c r="D28" s="124" t="s">
        <v>213</v>
      </c>
      <c r="E28" s="124" t="s">
        <v>214</v>
      </c>
      <c r="F28" s="124" t="s">
        <v>215</v>
      </c>
      <c r="G28" s="124" t="s">
        <v>216</v>
      </c>
      <c r="H28" s="124" t="s">
        <v>217</v>
      </c>
      <c r="N28" s="124" t="s">
        <v>213</v>
      </c>
      <c r="O28" s="124" t="s">
        <v>214</v>
      </c>
      <c r="P28" s="124" t="s">
        <v>215</v>
      </c>
      <c r="Q28" s="124" t="s">
        <v>216</v>
      </c>
      <c r="R28" s="124" t="s">
        <v>217</v>
      </c>
    </row>
    <row r="29" spans="1:21" ht="20.100000000000001" customHeight="1" x14ac:dyDescent="0.25">
      <c r="A29" s="6" t="s">
        <v>2</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HYPERLINK("#'5.1.1.1-2 Inorganic fert N2O'!A1", "5.1.1.1-2 Inorganic fert N2O")</f>
        <v>5.1.1.1-2 Inorganic fert N2O</v>
      </c>
    </row>
    <row r="31" spans="1:21" ht="20.100000000000001" customHeight="1" x14ac:dyDescent="0.25">
      <c r="A31" s="5" t="str">
        <f>HYPERLINK("#'5.1.1.3-4 Inorganic fert CO2'!A1", "5.1.1.3-4 Inorganic fert CO2")</f>
        <v>5.1.1.3-4 Inorganic fert CO2</v>
      </c>
    </row>
    <row r="32" spans="1:21" ht="20.100000000000001" customHeight="1" x14ac:dyDescent="0.25">
      <c r="A32" s="5" t="str">
        <f>HYPERLINK("#'5.2.1.1-2 Organic Fert N2O'!A1", "5.2.1.1-2 Organic fert N2O")</f>
        <v>5.2.1.1-2 Organic fert N2O</v>
      </c>
      <c r="C32" s="101"/>
      <c r="D32" s="101"/>
      <c r="E32" s="101"/>
      <c r="F32" s="101"/>
      <c r="G32" s="101"/>
      <c r="H32" s="101"/>
      <c r="I32" s="101"/>
      <c r="J32" s="101"/>
      <c r="K32" s="101"/>
      <c r="M32" s="101"/>
      <c r="N32" s="101"/>
      <c r="O32" s="101"/>
      <c r="P32" s="101"/>
      <c r="Q32" s="101"/>
      <c r="R32" s="101"/>
      <c r="S32" s="101"/>
      <c r="T32" s="101"/>
      <c r="U32" s="101"/>
    </row>
    <row r="33" spans="1:14" ht="20.100000000000001" customHeight="1" x14ac:dyDescent="0.25">
      <c r="A33" s="5" t="str">
        <f>HYPERLINK("#'5.3.1.1-2 Lime CO2'!A1", "5.3.1.1-2 Lime CO2")</f>
        <v>5.3.1.1-2 Lime CO2</v>
      </c>
      <c r="D33" s="2" t="str" cm="1">
        <f t="array" ref="D33">MMS_Dairy_N2ODirect_Equations.VEERG_4_3_1_3__7_IntakeRelativeToMaintenance_Title()</f>
        <v>Intake relative to maintenance</v>
      </c>
    </row>
    <row r="34" spans="1:14" ht="20.100000000000001" customHeight="1" x14ac:dyDescent="0.25">
      <c r="A34" s="5" t="str">
        <f>HYPERLINK("#'5.4.1.1-4 Atmos deposition'!A1", "5.4.1.1-4 Atmos. deposition")</f>
        <v>5.4.1.1-4 Atmos. deposition</v>
      </c>
      <c r="D34" s="27" t="str" cm="1">
        <f t="array" ref="D34">MMS_Dairy_N2ODirect_Equations.VEERG_4_3_1_3__7_IntakeRelativeToMaintenance_Source()</f>
        <v>VEERG 2026: 4.3.1.3, Equation (7)</v>
      </c>
    </row>
    <row r="35" spans="1:14" ht="20.100000000000001" customHeight="1" x14ac:dyDescent="0.25">
      <c r="A35" s="5" t="str">
        <f>HYPERLINK("#'5.5.1.1-2 Leaching and runoff'!A1", "5.5.1.1-2 Leaching &amp; runoff")</f>
        <v>5.5.1.1-2 Leaching &amp; runoff</v>
      </c>
      <c r="D35" s="118" t="s">
        <v>262</v>
      </c>
      <c r="E35" s="118" t="str" cm="1">
        <f t="array" aca="1" ref="E35" ca="1">Common_InputFunctions.Utility_DisplayFunctionName(D65)</f>
        <v>=MMS_Dairy_N2ODirect_Equations.VEERG_4_3_1_3__7_IntakeRelativeToMaintenance</v>
      </c>
    </row>
    <row r="36" spans="1:14" ht="20.100000000000001" customHeight="1" x14ac:dyDescent="0.25">
      <c r="A36" s="5" t="str">
        <f>HYPERLINK("#'6.2.1.1-2 Pasture residue N2O'!A1", "6.2.1.1-2 Pasture residue N2O")</f>
        <v>6.2.1.1-2 Pasture residue N2O</v>
      </c>
    </row>
    <row r="37" spans="1:14" ht="20.100000000000001" customHeight="1" x14ac:dyDescent="0.25">
      <c r="A37" s="5" t="str">
        <f>HYPERLINK("#'6.3.1.1-2 Leach runoff pasture'!A1", "6.3.1.1-2 Leach &amp; runoff (pasture)")</f>
        <v>6.3.1.1-2 Leach &amp; runoff (pasture)</v>
      </c>
      <c r="D37" s="2"/>
      <c r="F37" s="2"/>
    </row>
    <row r="38" spans="1:14" ht="20.100000000000001" customHeight="1" x14ac:dyDescent="0.25">
      <c r="A38" s="5" t="str">
        <f>HYPERLINK("#'8.1.1.1-2 Transport fuel'!A1", "8.1.1.1-2 Transport fuel")</f>
        <v>8.1.1.1-2 Transport fuel</v>
      </c>
    </row>
    <row r="39" spans="1:14" ht="20.100000000000001" customHeight="1" x14ac:dyDescent="0.25">
      <c r="A39" s="5" t="str">
        <f>HYPERLINK("#'8.2.1.1-2 Stationary fuel'!A1", "8.2.1.1-2 Stationary fuel")</f>
        <v>8.2.1.1-2 Stationary fuel</v>
      </c>
      <c r="D39" s="87" t="s">
        <v>263</v>
      </c>
      <c r="E39" s="1" t="str" cm="1">
        <f t="array" ref="E39">MMS_Dairy_N2ODirect_Equations.VEERG_4_3_1_3__7_IntakeRelativeToMaintenance_Variable()</f>
        <v>L_j</v>
      </c>
    </row>
    <row r="40" spans="1:14" ht="20.100000000000001" customHeight="1" x14ac:dyDescent="0.25">
      <c r="A40" s="5" t="str">
        <f>HYPERLINK("#'14.1.1-2 Purchased electricity'!A1", "14.1.1-2 Purchased electricity")</f>
        <v>14.1.1-2 Purchased electricity</v>
      </c>
      <c r="D40" s="87" t="s">
        <v>122</v>
      </c>
      <c r="E40" s="15" t="str" cm="1">
        <f t="array" ref="E40">MMS_Dairy_N2ODirect_Equations.VEERG_4_3_1_3__7_IntakeRelativeToMaintenance_Unit()</f>
        <v>ratio</v>
      </c>
    </row>
    <row r="41" spans="1:14" ht="20.100000000000001" customHeight="1" x14ac:dyDescent="0.25">
      <c r="A41" s="5" t="str">
        <f>HYPERLINK("#'15 Scope 3'!A1", "15 Scope 3")</f>
        <v>15 Scope 3</v>
      </c>
    </row>
    <row r="42" spans="1:14" ht="20.100000000000001" customHeight="1" x14ac:dyDescent="0.25">
      <c r="A42" s="5" t="str">
        <f>HYPERLINK("#'Calcs - Manure sent off-site'!A1", "Calcs - Manure sent off-site")</f>
        <v>Calcs - Manure sent off-site</v>
      </c>
      <c r="D42" s="120" t="str" cm="1">
        <f t="array" ref="D42:E45">_xlfn.CHOOSECOLS(MMS_Dairy_N2ODirect_Equations.VEERG_4_3_1_3__7_IntakeRelativeToMaintenance_Arguments(),1,2)</f>
        <v>I_j</v>
      </c>
      <c r="E42" s="125" t="str">
        <v>dry matter intake</v>
      </c>
      <c r="F42" s="126"/>
      <c r="G42" s="120" t="str" cm="1">
        <f t="array" ref="G42:H45">_xlfn.CHOOSECOLS(MMS_Dairy_N2ODirect_Equations.VEERG_4_3_1_3__7_IntakeRelativeToMaintenance_Arguments(),3,4)</f>
        <v>kgDM/head/day</v>
      </c>
      <c r="H42" s="128" t="str">
        <v>Calculated from 3.3.1.1 (3)</v>
      </c>
      <c r="I42" s="127" t="str" cm="1">
        <f t="array" aca="1" ref="I42" ca="1">HYPERLINK(Common_InputFunctions.Utility_SourceHyperlink($D$47),$D$47)</f>
        <v>M1_Table_I_j</v>
      </c>
    </row>
    <row r="43" spans="1:14" ht="20.100000000000001" customHeight="1" x14ac:dyDescent="0.25">
      <c r="A43" s="5" t="str">
        <f>HYPERLINK("#'4.3.1.1-2 Methane'!A1", "4.3.1.1-2 Methane")</f>
        <v>4.3.1.1-2 Methane</v>
      </c>
      <c r="D43" s="120" t="str">
        <v>W_j</v>
      </c>
      <c r="E43" s="125" t="str">
        <v>liveweight</v>
      </c>
      <c r="F43" s="126"/>
      <c r="G43" s="120" t="str">
        <v>kg/head</v>
      </c>
      <c r="H43" s="121" t="str">
        <v>Input</v>
      </c>
      <c r="I43" s="127" t="str" cm="1">
        <f t="array" aca="1" ref="I43" ca="1">HYPERLINK(Common_InputFunctions.Utility_SourceHyperlink($D$16),$D$16)</f>
        <v>M1_Table_W_j</v>
      </c>
    </row>
    <row r="44" spans="1:14" ht="20.100000000000001" customHeight="1" x14ac:dyDescent="0.25">
      <c r="A44" s="119" t="str">
        <f>HYPERLINK("#'4.3.1.3-4 Direct N20'!A1", "4.3.1.3-4 Direct N20")</f>
        <v>4.3.1.3-4 Direct N20</v>
      </c>
      <c r="D44" s="120" t="str">
        <v>MR_j</v>
      </c>
      <c r="E44" s="125" t="str">
        <v>increase in metabolic rate when producing milk</v>
      </c>
      <c r="F44" s="126"/>
      <c r="G44" s="120" t="str">
        <v/>
      </c>
      <c r="H44" s="128" t="str">
        <v>Constant</v>
      </c>
      <c r="I44" s="127" t="str" cm="1">
        <f t="array" aca="1" ref="I44" ca="1">HYPERLINK(Common_InputFunctions.Utility_SourceHyperlink($D$52),$D$52)</f>
        <v>Table_MR_j</v>
      </c>
    </row>
    <row r="45" spans="1:14" ht="20.100000000000001" customHeight="1" x14ac:dyDescent="0.25">
      <c r="A45" s="5" t="str">
        <f>HYPERLINK("#'4.3.1.5 Atmos deposition'!A1", "4.3.1.5 Atmos deposition")</f>
        <v>4.3.1.5 Atmos deposition</v>
      </c>
      <c r="D45" s="120" t="str">
        <v>MI_j</v>
      </c>
      <c r="E45" s="125" t="str">
        <v>additional intake required for milk production</v>
      </c>
      <c r="F45" s="126"/>
      <c r="G45" s="120" t="str">
        <v>kgDM/head/day</v>
      </c>
      <c r="H45" s="128" t="str">
        <v>Calculated from 3.3.1.1 (4)</v>
      </c>
      <c r="I45" s="127" t="str" cm="1">
        <f t="array" aca="1" ref="I45" ca="1">HYPERLINK(Common_InputFunctions.Utility_SourceHyperlink($D$57),$D$57)</f>
        <v>M1_Table_MI_j</v>
      </c>
    </row>
    <row r="46" spans="1:14" ht="20.100000000000001" customHeight="1" x14ac:dyDescent="0.25">
      <c r="A46" s="5" t="str">
        <f>HYPERLINK("#'4.3.1.6-7 Leaching and runoff'!A1", "4.3.1.6-7 Leaching and runoff")</f>
        <v>4.3.1.6-7 Leaching and runoff</v>
      </c>
    </row>
    <row r="47" spans="1:14" ht="20.100000000000001" customHeight="1" x14ac:dyDescent="0.25">
      <c r="A47" s="5" t="str">
        <f>HYPERLINK("#'4.3.1.8 Manure applied to soils'!A1", "4.3.1.8 Manure applied to soils")</f>
        <v>4.3.1.8 Manure applied to soils</v>
      </c>
      <c r="D47" s="122" t="s">
        <v>295</v>
      </c>
      <c r="N47" s="122" t="s">
        <v>296</v>
      </c>
    </row>
    <row r="48" spans="1:14" ht="20.100000000000001" customHeight="1" x14ac:dyDescent="0.25">
      <c r="A48" s="5" t="str">
        <f>HYPERLINK("#'4.3.1.9 Soil direct N2O'!A1", "4.3.1.9 Soil direct N2O")</f>
        <v>4.3.1.9 Soil direct N2O</v>
      </c>
      <c r="D48" s="123" t="s">
        <v>297</v>
      </c>
      <c r="N48" s="123" t="s">
        <v>298</v>
      </c>
    </row>
    <row r="49" spans="1:19" ht="20.100000000000001" customHeight="1" x14ac:dyDescent="0.25">
      <c r="A49" s="5" t="str">
        <f>HYPERLINK("#'4.3.1.10-11 Soil Atmos Dep'!A1", "4.3.1.10-11 Soil Atmos Dep")</f>
        <v>4.3.1.10-11 Soil Atmos Dep</v>
      </c>
      <c r="D49" s="124" t="s">
        <v>213</v>
      </c>
      <c r="E49" s="124" t="s">
        <v>214</v>
      </c>
      <c r="F49" s="124" t="s">
        <v>215</v>
      </c>
      <c r="G49" s="124" t="s">
        <v>216</v>
      </c>
      <c r="H49" s="124" t="s">
        <v>217</v>
      </c>
      <c r="N49" s="124" t="s">
        <v>213</v>
      </c>
      <c r="O49" s="124" t="s">
        <v>214</v>
      </c>
      <c r="P49" s="124" t="s">
        <v>215</v>
      </c>
      <c r="Q49" s="124" t="s">
        <v>216</v>
      </c>
      <c r="R49" s="124" t="s">
        <v>217</v>
      </c>
    </row>
    <row r="50" spans="1:19" ht="20.100000000000001" customHeight="1" x14ac:dyDescent="0.25">
      <c r="A50" s="5" t="str">
        <f>HYPERLINK("#'4.3.1.12-13 Soil leach runoff'!A1", "4.3.1.12-13 Soil leach runoff")</f>
        <v>4.3.1.12-13 Soil leach runoff</v>
      </c>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c r="A51" s="5" t="str">
        <f>HYPERLINK("#'3.3.1.1-2 Enteric Methane'!A1", "3.3.1.1-2 Enteric Methane")</f>
        <v>3.3.1.1-2 Enteric Methane</v>
      </c>
    </row>
    <row r="52" spans="1:19" ht="20.100000000000001" customHeight="1" x14ac:dyDescent="0.25">
      <c r="A52" s="5" t="str">
        <f>HYPERLINK("#'10.1.1-2 Solid waste treatment'!A1", "10.1.1-2 Solid waste treatment")</f>
        <v>10.1.1-2 Solid waste treatment</v>
      </c>
      <c r="D52" s="122" t="s">
        <v>293</v>
      </c>
    </row>
    <row r="53" spans="1:19" ht="20.100000000000001" customHeight="1" x14ac:dyDescent="0.25">
      <c r="D53" s="123" t="s">
        <v>294</v>
      </c>
    </row>
    <row r="54" spans="1:19" ht="20.100000000000001" customHeight="1" x14ac:dyDescent="0.25">
      <c r="D54" s="124" t="s">
        <v>213</v>
      </c>
      <c r="E54" s="124" t="s">
        <v>214</v>
      </c>
      <c r="F54" s="124" t="s">
        <v>215</v>
      </c>
      <c r="G54" s="124" t="s">
        <v>216</v>
      </c>
      <c r="H54" s="124" t="s">
        <v>217</v>
      </c>
    </row>
    <row r="55" spans="1:19" ht="20.100000000000001" customHeight="1" x14ac:dyDescent="0.25">
      <c r="A55" s="100" t="s">
        <v>1</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Dairy'!A1", "Constants - Dairy")</f>
        <v>Constants - Dairy</v>
      </c>
    </row>
    <row r="57" spans="1:19" ht="20.100000000000001" customHeight="1" x14ac:dyDescent="0.25">
      <c r="A57" s="5" t="str">
        <f>HYPERLINK("#'Constants - Ag Residue'!A1", "Constants - Ag residue")</f>
        <v>Constants - Ag residue</v>
      </c>
      <c r="D57" s="122" t="s">
        <v>281</v>
      </c>
    </row>
    <row r="58" spans="1:19" ht="20.100000000000001" customHeight="1" x14ac:dyDescent="0.25">
      <c r="A58" s="5" t="str">
        <f>HYPERLINK("#'Constants - Common Livestock'!A1", "Constants - Common Livestock")</f>
        <v>Constants - Common Livestock</v>
      </c>
      <c r="D58" s="123" t="s">
        <v>283</v>
      </c>
    </row>
    <row r="59" spans="1:19" ht="20.100000000000001" customHeight="1" x14ac:dyDescent="0.25">
      <c r="A59" s="5" t="str">
        <f>HYPERLINK("#'Constants - Electricity'!A1", "Constants - Electricity")</f>
        <v>Constants - Electricity</v>
      </c>
      <c r="D59" s="124" t="s">
        <v>213</v>
      </c>
      <c r="E59" s="124" t="s">
        <v>214</v>
      </c>
      <c r="F59" s="124" t="s">
        <v>215</v>
      </c>
      <c r="G59" s="124" t="s">
        <v>216</v>
      </c>
      <c r="H59" s="124" t="s">
        <v>217</v>
      </c>
    </row>
    <row r="60" spans="1:19" ht="20.100000000000001" customHeight="1" x14ac:dyDescent="0.25">
      <c r="A60" s="5" t="str">
        <f>HYPERLINK("#'Constants - Fertiliser'!A1", "Constants - Fertiliser")</f>
        <v>Constants - Fertiliser</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HYPERLINK("#'Constants - Fuel'!A1", "Constants - Fuel")</f>
        <v>Constants - Fuel</v>
      </c>
    </row>
    <row r="62" spans="1:19" ht="20.100000000000001" customHeight="1" x14ac:dyDescent="0.25">
      <c r="A62" s="5" t="str">
        <f>HYPERLINK("#'Constants - Scope 3'!A1", "Constants - Scope 3")</f>
        <v>Constants - Scope 3</v>
      </c>
      <c r="D62" s="122" t="s">
        <v>361</v>
      </c>
      <c r="N62" s="122" t="s">
        <v>362</v>
      </c>
    </row>
    <row r="63" spans="1:19" ht="20.100000000000001" customHeight="1" x14ac:dyDescent="0.25">
      <c r="A63" s="5" t="str">
        <f>HYPERLINK("#'Constants - Common'!A1", "Constants - Common")</f>
        <v>Constants - Common</v>
      </c>
      <c r="D63" s="123" t="s">
        <v>363</v>
      </c>
      <c r="N63" s="123" t="s">
        <v>364</v>
      </c>
    </row>
    <row r="64" spans="1:19" ht="20.100000000000001" customHeight="1" x14ac:dyDescent="0.25">
      <c r="A64" s="5" t="str">
        <f>HYPERLINK("#'Acknowledgements'!A1", "Acknowledgements")</f>
        <v>Acknowledgements</v>
      </c>
      <c r="D64" s="124" t="s">
        <v>213</v>
      </c>
      <c r="E64" s="124" t="s">
        <v>214</v>
      </c>
      <c r="F64" s="124" t="s">
        <v>215</v>
      </c>
      <c r="G64" s="124" t="s">
        <v>216</v>
      </c>
      <c r="H64" s="124" t="s">
        <v>217</v>
      </c>
      <c r="N64" s="124" t="s">
        <v>213</v>
      </c>
      <c r="O64" s="124" t="s">
        <v>214</v>
      </c>
      <c r="P64" s="124" t="s">
        <v>215</v>
      </c>
      <c r="Q64" s="124" t="s">
        <v>216</v>
      </c>
      <c r="R64" s="124" t="s">
        <v>217</v>
      </c>
    </row>
    <row r="65" spans="1:21" ht="20.100000000000001" customHeight="1" x14ac:dyDescent="0.25">
      <c r="A65" s="5" t="str">
        <f>HYPERLINK("#'Constants - Solid Waste'!A1", "Constants - Solid Waste")</f>
        <v>Constants - Solid Waste</v>
      </c>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1:21" ht="20.100000000000001" customHeight="1" x14ac:dyDescent="0.25"/>
    <row r="67" spans="1:21" ht="20.100000000000001" customHeight="1" x14ac:dyDescent="0.25"/>
    <row r="68" spans="1:21" ht="20.100000000000001" customHeight="1" x14ac:dyDescent="0.25">
      <c r="C68" s="101"/>
      <c r="D68" s="101"/>
      <c r="E68" s="101"/>
      <c r="F68" s="101"/>
      <c r="G68" s="101"/>
      <c r="H68" s="101"/>
      <c r="I68" s="101"/>
      <c r="J68" s="101"/>
      <c r="K68" s="101"/>
      <c r="M68" s="101"/>
      <c r="N68" s="101"/>
      <c r="O68" s="101"/>
      <c r="P68" s="101"/>
      <c r="Q68" s="101"/>
      <c r="R68" s="101"/>
      <c r="S68" s="101"/>
      <c r="T68" s="101"/>
      <c r="U68" s="101"/>
    </row>
    <row r="69" spans="1:21" ht="20.100000000000001" customHeight="1" x14ac:dyDescent="0.25">
      <c r="D69" s="2" t="str" cm="1">
        <f t="array" ref="D69">MMS_Dairy_N2ODirect_Equations.VEERG_4_3_1_3__6_NitrogenRetainedByBody_Title()</f>
        <v>Amount of nitrogen retained by the body</v>
      </c>
    </row>
    <row r="70" spans="1:21" ht="20.100000000000001" customHeight="1" x14ac:dyDescent="0.25">
      <c r="D70" s="27" t="str" cm="1">
        <f t="array" ref="D70">MMS_Dairy_N2ODirect_Equations.VEERG_4_3_1_3__6_NitrogenRetainedByBody_Source()</f>
        <v>VEERG 2026: 4.3.1.3, Equation (6)</v>
      </c>
    </row>
    <row r="71" spans="1:21" ht="20.100000000000001" customHeight="1" x14ac:dyDescent="0.25">
      <c r="D71" s="35"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18" t="s">
        <v>262</v>
      </c>
      <c r="E72" s="118"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87" t="s">
        <v>263</v>
      </c>
      <c r="E75" s="1" t="str" cm="1">
        <f t="array" ref="E75">MMS_Dairy_N2ODirect_Equations.VEERG_4_3_1_3__6_NitrogenRetainedByBody_Variable()</f>
        <v>NR_j</v>
      </c>
    </row>
    <row r="76" spans="1:21" ht="20.100000000000001" customHeight="1" x14ac:dyDescent="0.25">
      <c r="D76" s="87" t="s">
        <v>122</v>
      </c>
      <c r="E76" s="15" t="str" cm="1">
        <f t="array" ref="E76">MMS_Dairy_N2ODirect_Equations.VEERG_4_3_1_3__6_NitrogenRetainedByBody_Unit()</f>
        <v>kg N/head/day</v>
      </c>
    </row>
    <row r="77" spans="1:21" ht="20.100000000000001" customHeight="1" x14ac:dyDescent="0.25"/>
    <row r="78" spans="1:21" ht="20.100000000000001" customHeight="1" x14ac:dyDescent="0.25">
      <c r="D78" s="120" t="str" cm="1">
        <f t="array" ref="D78:E83">_xlfn.CHOOSECOLS(MMS_Dairy_N2ODirect_Equations.VEERG_4_3_1_3__6_NitrogenRetainedByBody_Arguments(),1,2)</f>
        <v>MPU</v>
      </c>
      <c r="E78" s="125" t="str">
        <v>input milk production unit</v>
      </c>
      <c r="F78" s="126"/>
      <c r="G78" s="120" t="str" cm="1">
        <f t="array" ref="G78:H83">_xlfn.CHOOSECOLS(MMS_Dairy_N2ODirect_Equations.VEERG_4_3_1_3__6_NitrogenRetainedByBody_Arguments(),3,4)</f>
        <v/>
      </c>
      <c r="H78" s="121" t="str">
        <v>Input</v>
      </c>
      <c r="I78" s="120" t="str">
        <f>X_Cell_Dairy_MilkProductionUnit</f>
        <v>Litres of milk</v>
      </c>
    </row>
    <row r="79" spans="1:21" ht="20.100000000000001" customHeight="1" x14ac:dyDescent="0.25">
      <c r="D79" s="120" t="str">
        <v>MP_j</v>
      </c>
      <c r="E79" s="125" t="str">
        <v>milk production (if input as litres of milk)</v>
      </c>
      <c r="F79" s="126"/>
      <c r="G79" s="120" t="str">
        <v>L/head/day</v>
      </c>
      <c r="H79" s="121" t="str">
        <v>Input</v>
      </c>
      <c r="I79" s="127" t="str" cm="1">
        <f t="array" aca="1" ref="I79" ca="1">HYPERLINK(Common_InputFunctions.Utility_SourceHyperlink($D$90),$D$90)</f>
        <v>Table_MP_j</v>
      </c>
    </row>
    <row r="80" spans="1:21" ht="20.100000000000001" customHeight="1" x14ac:dyDescent="0.25">
      <c r="D80" s="120" t="str">
        <v>MP_j</v>
      </c>
      <c r="E80" s="125" t="str">
        <v>milk production (if input as milk solids)</v>
      </c>
      <c r="F80" s="126"/>
      <c r="G80" s="120" t="str">
        <v>L/head/day</v>
      </c>
      <c r="H80" s="128" t="str">
        <v>Calculated from 3.3.1.1 (5)</v>
      </c>
      <c r="I80" s="127" t="str" cm="1">
        <f t="array" aca="1" ref="I80" ca="1">HYPERLINK(Common_InputFunctions.Utility_SourceHyperlink($D$85),$D$85)</f>
        <v>M1_Table_MP_j_from_solids</v>
      </c>
    </row>
    <row r="81" spans="4:19" ht="20.100000000000001" customHeight="1" x14ac:dyDescent="0.25">
      <c r="D81" s="120" t="str">
        <v>L_j</v>
      </c>
      <c r="E81" s="125" t="str">
        <v>intake relative to maintenance</v>
      </c>
      <c r="F81" s="126"/>
      <c r="G81" s="120" t="str">
        <v/>
      </c>
      <c r="H81" s="128" t="str">
        <v>Calculated from 4.3.1.3 (7)</v>
      </c>
      <c r="I81" s="127" t="str" cm="1">
        <f t="array" aca="1" ref="I81" ca="1">HYPERLINK(Common_InputFunctions.Utility_SourceHyperlink($D$62),$D$62)</f>
        <v>M1_Table_L_j</v>
      </c>
    </row>
    <row r="82" spans="4:19" ht="20.100000000000001" customHeight="1" x14ac:dyDescent="0.25">
      <c r="D82" s="120" t="str">
        <v>Z_j</v>
      </c>
      <c r="E82" s="125" t="str">
        <v>relative size</v>
      </c>
      <c r="F82" s="126"/>
      <c r="G82" s="120" t="str">
        <v/>
      </c>
      <c r="H82" s="128" t="str">
        <v>Calculated from 4.3.1.3 (8)</v>
      </c>
      <c r="I82" s="127" t="str" cm="1">
        <f t="array" aca="1" ref="I82" ca="1">HYPERLINK(Common_InputFunctions.Utility_SourceHyperlink($D$26),$D$26)</f>
        <v>M1_Table_Z_j</v>
      </c>
    </row>
    <row r="83" spans="4:19" ht="20.100000000000001" customHeight="1" x14ac:dyDescent="0.25">
      <c r="D83" s="120" t="str">
        <v>LWG_j</v>
      </c>
      <c r="E83" s="125" t="str">
        <v>liveweight gain</v>
      </c>
      <c r="F83" s="126"/>
      <c r="G83" s="120" t="str">
        <v>kg/head/day</v>
      </c>
      <c r="H83" s="121" t="str">
        <v>Input</v>
      </c>
      <c r="I83" s="127" t="str" cm="1">
        <f t="array" aca="1" ref="I83" ca="1">HYPERLINK(Common_InputFunctions.Utility_SourceHyperlink($D$95),$D$95)</f>
        <v>M1_Table_LWG_j</v>
      </c>
    </row>
    <row r="84" spans="4:19" ht="20.100000000000001" customHeight="1" x14ac:dyDescent="0.25"/>
    <row r="85" spans="4:19" ht="20.100000000000001" customHeight="1" x14ac:dyDescent="0.25">
      <c r="D85" s="122" t="s">
        <v>275</v>
      </c>
      <c r="N85" s="122" t="s">
        <v>276</v>
      </c>
    </row>
    <row r="86" spans="4:19" ht="20.100000000000001" customHeight="1" x14ac:dyDescent="0.25">
      <c r="D86" s="123" t="s">
        <v>277</v>
      </c>
      <c r="N86" s="123" t="s">
        <v>278</v>
      </c>
    </row>
    <row r="87" spans="4:19" ht="20.100000000000001" customHeight="1" x14ac:dyDescent="0.25">
      <c r="D87" s="124" t="s">
        <v>213</v>
      </c>
      <c r="E87" s="124" t="s">
        <v>214</v>
      </c>
      <c r="F87" s="124" t="s">
        <v>215</v>
      </c>
      <c r="G87" s="124" t="s">
        <v>216</v>
      </c>
      <c r="H87" s="124" t="s">
        <v>217</v>
      </c>
      <c r="N87" s="124" t="s">
        <v>213</v>
      </c>
      <c r="O87" s="124" t="s">
        <v>214</v>
      </c>
      <c r="P87" s="124" t="s">
        <v>215</v>
      </c>
      <c r="Q87" s="124" t="s">
        <v>216</v>
      </c>
      <c r="R87" s="124" t="s">
        <v>217</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2" t="s">
        <v>280</v>
      </c>
    </row>
    <row r="91" spans="4:19" ht="20.100000000000001" customHeight="1" x14ac:dyDescent="0.25">
      <c r="D91" s="123" t="s">
        <v>231</v>
      </c>
    </row>
    <row r="92" spans="4:19" ht="20.100000000000001" customHeight="1" x14ac:dyDescent="0.25">
      <c r="D92" s="94" t="s">
        <v>213</v>
      </c>
      <c r="E92" s="94" t="s">
        <v>214</v>
      </c>
      <c r="F92" s="94" t="s">
        <v>215</v>
      </c>
      <c r="G92" s="94" t="s">
        <v>216</v>
      </c>
      <c r="H92" s="94" t="s">
        <v>217</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2" t="s">
        <v>289</v>
      </c>
      <c r="N95" s="122" t="s">
        <v>290</v>
      </c>
    </row>
    <row r="96" spans="4:19" ht="20.100000000000001" customHeight="1" x14ac:dyDescent="0.25">
      <c r="D96" s="123" t="s">
        <v>291</v>
      </c>
      <c r="N96" s="123" t="s">
        <v>292</v>
      </c>
    </row>
    <row r="97" spans="3:21" ht="20.100000000000001" customHeight="1" x14ac:dyDescent="0.25">
      <c r="D97" s="94" t="s">
        <v>213</v>
      </c>
      <c r="E97" s="94" t="s">
        <v>214</v>
      </c>
      <c r="F97" s="94" t="s">
        <v>215</v>
      </c>
      <c r="G97" s="94" t="s">
        <v>216</v>
      </c>
      <c r="H97" s="94" t="s">
        <v>217</v>
      </c>
      <c r="N97" s="94" t="s">
        <v>213</v>
      </c>
      <c r="O97" s="94" t="s">
        <v>214</v>
      </c>
      <c r="P97" s="94" t="s">
        <v>215</v>
      </c>
      <c r="Q97" s="94" t="s">
        <v>216</v>
      </c>
      <c r="R97" s="94" t="s">
        <v>217</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2" t="s">
        <v>365</v>
      </c>
      <c r="N100" s="122" t="s">
        <v>366</v>
      </c>
    </row>
    <row r="101" spans="3:21" ht="20.100000000000001" customHeight="1" x14ac:dyDescent="0.25">
      <c r="D101" s="123" t="s">
        <v>367</v>
      </c>
      <c r="N101" s="123" t="s">
        <v>368</v>
      </c>
    </row>
    <row r="102" spans="3:21" ht="20.100000000000001" customHeight="1" x14ac:dyDescent="0.25">
      <c r="D102" s="124" t="s">
        <v>213</v>
      </c>
      <c r="E102" s="124" t="s">
        <v>214</v>
      </c>
      <c r="F102" s="124" t="s">
        <v>215</v>
      </c>
      <c r="G102" s="124" t="s">
        <v>216</v>
      </c>
      <c r="H102" s="124" t="s">
        <v>217</v>
      </c>
      <c r="N102" s="124" t="s">
        <v>213</v>
      </c>
      <c r="O102" s="124" t="s">
        <v>214</v>
      </c>
      <c r="P102" s="124" t="s">
        <v>215</v>
      </c>
      <c r="Q102" s="124" t="s">
        <v>216</v>
      </c>
      <c r="R102" s="124" t="s">
        <v>217</v>
      </c>
    </row>
    <row r="103" spans="3:21" ht="20.100000000000001" customHeight="1" x14ac:dyDescent="0.25">
      <c r="D103" s="25" cm="1">
        <f t="array" ref="D103">MMS_Dairy_N2ODirect_Equations.VEERG_4_3_1_3__6_NitrogenRetainedByBody(IF($I$78="Milk solids", D88, D93),D65,D29,D98)</f>
        <v>0.10350619833262559</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0.10350619833262559</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1"/>
      <c r="D106" s="101"/>
      <c r="E106" s="101"/>
      <c r="F106" s="101"/>
      <c r="G106" s="101"/>
      <c r="H106" s="101"/>
      <c r="I106" s="101"/>
      <c r="J106" s="101"/>
      <c r="K106" s="101"/>
      <c r="M106" s="101"/>
      <c r="N106" s="101"/>
      <c r="O106" s="101"/>
      <c r="P106" s="101"/>
      <c r="Q106" s="101"/>
      <c r="R106" s="101"/>
      <c r="S106" s="101"/>
      <c r="T106" s="101"/>
      <c r="U106" s="101"/>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8" t="s">
        <v>262</v>
      </c>
      <c r="E109" s="118"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7" t="s">
        <v>263</v>
      </c>
      <c r="E112" s="1" t="str" cm="1">
        <f t="array" ref="E112">MMS_Dairy_N2ODirect_Equations.VEERG_4_3_1_3__5_CrudeProteinIntakeOfDairyCattle_Variable()</f>
        <v>CPI_j</v>
      </c>
    </row>
    <row r="113" spans="4:19" ht="20.100000000000001" customHeight="1" x14ac:dyDescent="0.25">
      <c r="D113" s="87" t="s">
        <v>122</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20" t="str" cm="1">
        <f t="array" ref="D115:G116">MMS_Dairy_N2ODirect_Equations.VEERG_4_3_1_3__5_CrudeProteinIntakeOfDairyCattle_Arguments()</f>
        <v>I_j</v>
      </c>
      <c r="E115" s="120" t="str">
        <v>dry matter intake</v>
      </c>
      <c r="F115" s="120" t="str">
        <v>kgDM/head/day</v>
      </c>
      <c r="G115" s="128" t="str">
        <v>Calculated from 3.3.1.1 (3)</v>
      </c>
      <c r="H115" s="127" t="str" cm="1">
        <f t="array" aca="1" ref="H115" ca="1">HYPERLINK(Common_InputFunctions.Utility_SourceHyperlink($D$47),$D$47)</f>
        <v>M1_Table_I_j</v>
      </c>
    </row>
    <row r="116" spans="4:19" ht="20.100000000000001" customHeight="1" x14ac:dyDescent="0.25">
      <c r="D116" s="120" t="str">
        <v>CP_j</v>
      </c>
      <c r="E116" s="120" t="str">
        <v>crude protein content of feed intake</v>
      </c>
      <c r="F116" s="120" t="str">
        <v>fraction</v>
      </c>
      <c r="G116" s="121" t="str">
        <v>Input</v>
      </c>
      <c r="H116" s="127" t="str" cm="1">
        <f t="array" aca="1" ref="H116" ca="1">HYPERLINK(Common_InputFunctions.Utility_SourceHyperlink($D$118),$D$118)</f>
        <v>M1_Table_CP_j</v>
      </c>
    </row>
    <row r="117" spans="4:19" ht="20.100000000000001" customHeight="1" x14ac:dyDescent="0.25"/>
    <row r="118" spans="4:19" ht="20.100000000000001" customHeight="1" x14ac:dyDescent="0.25">
      <c r="D118" s="122" t="s">
        <v>369</v>
      </c>
      <c r="N118" s="122" t="s">
        <v>370</v>
      </c>
    </row>
    <row r="119" spans="4:19" ht="20.100000000000001" customHeight="1" x14ac:dyDescent="0.25">
      <c r="D119" s="123" t="s">
        <v>371</v>
      </c>
      <c r="N119" s="123" t="s">
        <v>372</v>
      </c>
    </row>
    <row r="120" spans="4:19" ht="20.100000000000001" customHeight="1" x14ac:dyDescent="0.25">
      <c r="D120" s="94" t="s">
        <v>213</v>
      </c>
      <c r="E120" s="94" t="s">
        <v>214</v>
      </c>
      <c r="F120" s="94" t="s">
        <v>215</v>
      </c>
      <c r="G120" s="94" t="s">
        <v>216</v>
      </c>
      <c r="H120" s="94" t="s">
        <v>217</v>
      </c>
      <c r="N120" s="94" t="s">
        <v>213</v>
      </c>
      <c r="O120" s="94" t="s">
        <v>214</v>
      </c>
      <c r="P120" s="94" t="s">
        <v>215</v>
      </c>
      <c r="Q120" s="94" t="s">
        <v>216</v>
      </c>
      <c r="R120" s="94" t="s">
        <v>217</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2" t="s">
        <v>373</v>
      </c>
      <c r="N123" s="122" t="s">
        <v>374</v>
      </c>
    </row>
    <row r="124" spans="4:19" ht="20.100000000000001" customHeight="1" x14ac:dyDescent="0.25">
      <c r="D124" s="123" t="s">
        <v>375</v>
      </c>
      <c r="N124" s="123" t="s">
        <v>376</v>
      </c>
    </row>
    <row r="125" spans="4:19" ht="20.100000000000001" customHeight="1" x14ac:dyDescent="0.25">
      <c r="D125" s="124" t="s">
        <v>213</v>
      </c>
      <c r="E125" s="124" t="s">
        <v>214</v>
      </c>
      <c r="F125" s="124" t="s">
        <v>215</v>
      </c>
      <c r="G125" s="124" t="s">
        <v>216</v>
      </c>
      <c r="H125" s="124" t="s">
        <v>217</v>
      </c>
      <c r="N125" s="124" t="s">
        <v>213</v>
      </c>
      <c r="O125" s="124" t="s">
        <v>214</v>
      </c>
      <c r="P125" s="124" t="s">
        <v>215</v>
      </c>
      <c r="Q125" s="124" t="s">
        <v>216</v>
      </c>
      <c r="R125" s="124" t="s">
        <v>217</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1"/>
      <c r="D129" s="101"/>
      <c r="E129" s="101"/>
      <c r="F129" s="101"/>
      <c r="G129" s="101"/>
      <c r="H129" s="101"/>
      <c r="I129" s="101"/>
      <c r="J129" s="101"/>
      <c r="K129" s="101"/>
      <c r="M129" s="101"/>
      <c r="N129" s="101"/>
      <c r="O129" s="101"/>
      <c r="P129" s="101"/>
      <c r="Q129" s="101"/>
      <c r="R129" s="101"/>
      <c r="S129" s="101"/>
      <c r="T129" s="101"/>
      <c r="U129" s="101"/>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8" t="s">
        <v>262</v>
      </c>
      <c r="E132" s="118"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7" t="s">
        <v>263</v>
      </c>
      <c r="E136" s="1" t="str" cm="1">
        <f t="array" ref="E136">MMS_Dairy_N2ODirect_Equations.VEERG_4_3_1_3__4_NitrogenExcretedByDairyCattleGreaterThanOneYear_Variable()</f>
        <v>NE_j</v>
      </c>
    </row>
    <row r="137" spans="3:21" ht="20.100000000000001" customHeight="1" x14ac:dyDescent="0.25">
      <c r="D137" s="87" t="s">
        <v>122</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20" t="str" cm="1">
        <f t="array" ref="D139:E141">_xlfn.CHOOSECOLS(MMS_Dairy_N2ODirect_Equations.VEERG_4_3_1_3__4_NitrogenExcretedByDairyCattleGreaterThanOneYear_Arguments(),1,2)</f>
        <v>CPI_j</v>
      </c>
      <c r="E139" s="125" t="str">
        <v>crude protein intake (kg/head/day)</v>
      </c>
      <c r="F139" s="126"/>
      <c r="G139" s="120" t="str" cm="1">
        <f t="array" ref="G139:H141">_xlfn.CHOOSECOLS(MMS_Dairy_N2ODirect_Equations.VEERG_4_3_1_3__4_NitrogenExcretedByDairyCattleGreaterThanOneYear_Arguments(),3,4)</f>
        <v>kg/head/day</v>
      </c>
      <c r="H139" s="128" t="str">
        <v>Calculated from 4.3.1.3 (5)</v>
      </c>
      <c r="I139" s="127" t="str" cm="1">
        <f t="array" aca="1" ref="I139" ca="1">HYPERLINK(Common_InputFunctions.Utility_SourceHyperlink($D$123),$D$123)</f>
        <v>M1_Table_CPI_j</v>
      </c>
    </row>
    <row r="140" spans="3:21" ht="20.100000000000001" customHeight="1" x14ac:dyDescent="0.25">
      <c r="D140" s="120" t="str">
        <v>NR_j</v>
      </c>
      <c r="E140" s="125" t="str">
        <v>amount of nitrogen retained by the body</v>
      </c>
      <c r="F140" s="126"/>
      <c r="G140" s="120" t="str">
        <v>kg N/head/day</v>
      </c>
      <c r="H140" s="128" t="str">
        <v>Calculated from 4.3.1.3 (6)</v>
      </c>
      <c r="I140" s="127" t="str" cm="1">
        <f t="array" aca="1" ref="I140" ca="1">HYPERLINK(Common_InputFunctions.Utility_SourceHyperlink($D$100),$D$100)</f>
        <v>M1_Table_NR_j</v>
      </c>
    </row>
    <row r="141" spans="3:21" ht="20.100000000000001" customHeight="1" x14ac:dyDescent="0.25">
      <c r="D141" s="120" t="str">
        <v>W_j</v>
      </c>
      <c r="E141" s="125" t="str">
        <v>liveweight (kg)</v>
      </c>
      <c r="F141" s="126"/>
      <c r="G141" s="120" t="str">
        <v>kg</v>
      </c>
      <c r="H141" s="121" t="str">
        <v>Input</v>
      </c>
      <c r="I141" s="127" t="str" cm="1">
        <f t="array" aca="1" ref="I141" ca="1">HYPERLINK(Common_InputFunctions.Utility_SourceHyperlink($D$16),$D$16)</f>
        <v>M1_Table_W_j</v>
      </c>
    </row>
    <row r="142" spans="3:21" ht="20.100000000000001" customHeight="1" x14ac:dyDescent="0.25"/>
    <row r="143" spans="3:21" ht="20.100000000000001" customHeight="1" x14ac:dyDescent="0.25">
      <c r="D143" s="122" t="s">
        <v>377</v>
      </c>
      <c r="N143" s="122" t="s">
        <v>378</v>
      </c>
    </row>
    <row r="144" spans="3:21" ht="20.100000000000001" customHeight="1" x14ac:dyDescent="0.25">
      <c r="D144" s="123" t="s">
        <v>379</v>
      </c>
      <c r="N144" s="123" t="s">
        <v>380</v>
      </c>
    </row>
    <row r="145" spans="3:21" ht="20.100000000000001" customHeight="1" x14ac:dyDescent="0.25">
      <c r="D145" s="124" t="s">
        <v>213</v>
      </c>
      <c r="E145" s="124" t="s">
        <v>214</v>
      </c>
      <c r="F145" s="124" t="s">
        <v>215</v>
      </c>
      <c r="G145" s="124" t="s">
        <v>216</v>
      </c>
      <c r="H145" s="124" t="s">
        <v>217</v>
      </c>
      <c r="N145" s="124" t="s">
        <v>213</v>
      </c>
      <c r="O145" s="124" t="s">
        <v>214</v>
      </c>
      <c r="P145" s="124" t="s">
        <v>215</v>
      </c>
      <c r="Q145" s="124" t="s">
        <v>216</v>
      </c>
      <c r="R145" s="124" t="s">
        <v>217</v>
      </c>
    </row>
    <row r="146" spans="3:21" ht="20.100000000000001" customHeight="1" x14ac:dyDescent="0.25">
      <c r="D146" s="25" cm="1">
        <f t="array" ref="D146">MMS_Dairy_N2ODirect_Equations.VEERG_4_3_1_3__4_NitrogenExcretedByDairyCattleGreaterThanOneYear(D126,D103,D19)</f>
        <v>0.49719309694578667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0.49719309694578667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1"/>
      <c r="D149" s="101"/>
      <c r="E149" s="101"/>
      <c r="F149" s="101"/>
      <c r="G149" s="101"/>
      <c r="H149" s="101"/>
      <c r="I149" s="101"/>
      <c r="J149" s="101"/>
      <c r="K149" s="101"/>
      <c r="M149" s="101"/>
      <c r="N149" s="101"/>
      <c r="O149" s="101"/>
      <c r="P149" s="101"/>
      <c r="Q149" s="101"/>
      <c r="R149" s="101"/>
      <c r="S149" s="101"/>
      <c r="T149" s="101"/>
      <c r="U149" s="101"/>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5"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8" t="s">
        <v>262</v>
      </c>
      <c r="E153" s="118"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7" t="s">
        <v>263</v>
      </c>
      <c r="E156" s="1" t="str" cm="1">
        <f t="array" ref="E156">MMS_Dairy_N2ODirect_Equations.VEERG_4_3_1_3__3a_TotalAnnualNitrogenExcretedGreaterThanOneYear_Variable()</f>
        <v>AE_j124</v>
      </c>
    </row>
    <row r="157" spans="3:21" ht="20.100000000000001" customHeight="1" x14ac:dyDescent="0.25">
      <c r="D157" s="87" t="s">
        <v>122</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20" t="str" cm="1">
        <f t="array" ref="D159:E161">_xlfn.CHOOSECOLS(MMS_Dairy_N2ODirect_Equations.VEERG_4_3_1_3__3a_TotalAnnualNitrogenExcretedGreaterThanOneYear_Arguments(),1,2)</f>
        <v>N_j124</v>
      </c>
      <c r="E159" s="125" t="str">
        <v>number of dairy cattle in classes j=1,2,4</v>
      </c>
      <c r="F159" s="126"/>
      <c r="G159" s="120" t="str" cm="1">
        <f t="array" ref="G159:H161">_xlfn.CHOOSECOLS(MMS_Dairy_N2ODirect_Equations.VEERG_4_3_1_3__3a_TotalAnnualNitrogenExcretedGreaterThanOneYear_Arguments(),3,4)</f>
        <v>head</v>
      </c>
      <c r="H159" s="121" t="str">
        <v>Input</v>
      </c>
      <c r="I159" s="127" t="str" cm="1">
        <f t="array" aca="1" ref="I159" ca="1">HYPERLINK(Common_InputFunctions.Utility_SourceHyperlink($D$163),$D$163)</f>
        <v>Table_N_j</v>
      </c>
    </row>
    <row r="160" spans="3:21" ht="20.100000000000001" customHeight="1" x14ac:dyDescent="0.25">
      <c r="D160" s="120" t="str">
        <v>NE_j124</v>
      </c>
      <c r="E160" s="125" t="str">
        <v>nitrogen excreted by dairy cattle greater than one year old (kg N/head/day)</v>
      </c>
      <c r="F160" s="126"/>
      <c r="G160" s="120" t="str">
        <v>kg N/head/day</v>
      </c>
      <c r="H160" s="128" t="str">
        <v>Calculated from 4.3.1.3 (4)</v>
      </c>
      <c r="I160" s="127" t="str" cm="1">
        <f t="array" aca="1" ref="I160" ca="1">HYPERLINK(Common_InputFunctions.Utility_SourceHyperlink($D$143),$D$143)</f>
        <v>M1_Table_NE_j</v>
      </c>
    </row>
    <row r="161" spans="1:19" ht="20.100000000000001" customHeight="1" x14ac:dyDescent="0.25">
      <c r="D161" s="120" t="str">
        <v>D_j124</v>
      </c>
      <c r="E161" s="125" t="str">
        <v>duration of stay on farm for classes j=1,2,4 (days)</v>
      </c>
      <c r="F161" s="126"/>
      <c r="G161" s="120" t="str">
        <v>days</v>
      </c>
      <c r="H161" s="121" t="str">
        <v>Input</v>
      </c>
      <c r="I161" s="127" t="str" cm="1">
        <f t="array" aca="1" ref="I161" ca="1">HYPERLINK(Common_InputFunctions.Utility_SourceHyperlink($D$168),$D$168)</f>
        <v>M1_Table_D_j-1-2-4</v>
      </c>
    </row>
    <row r="162" spans="1:19" ht="20.100000000000001" customHeight="1" x14ac:dyDescent="0.25"/>
    <row r="163" spans="1:19" ht="20.100000000000001" customHeight="1" x14ac:dyDescent="0.25">
      <c r="D163" s="122" t="s">
        <v>336</v>
      </c>
    </row>
    <row r="164" spans="1:19" ht="20.100000000000001" customHeight="1" x14ac:dyDescent="0.25">
      <c r="D164" s="123" t="s">
        <v>337</v>
      </c>
    </row>
    <row r="165" spans="1:19" ht="20.100000000000001" customHeight="1" x14ac:dyDescent="0.25">
      <c r="D165" s="94" t="s">
        <v>213</v>
      </c>
      <c r="E165" s="94" t="s">
        <v>214</v>
      </c>
      <c r="F165" s="94" t="s">
        <v>215</v>
      </c>
      <c r="G165" s="94" t="s">
        <v>216</v>
      </c>
      <c r="H165" s="94" t="s">
        <v>217</v>
      </c>
    </row>
    <row r="166" spans="1:19" ht="20.100000000000001" customHeight="1" x14ac:dyDescent="0.25">
      <c r="D166" s="134">
        <f>INDEX(X_Table_Dairy_HerdMovement,2,2)</f>
        <v>100</v>
      </c>
      <c r="E166" s="134">
        <f>INDEX(X_Table_Dairy_HerdMovement,2,3)</f>
        <v>100</v>
      </c>
      <c r="F166" s="134">
        <f>INDEX(X_Table_Dairy_HerdMovement,2,4)</f>
        <v>100</v>
      </c>
      <c r="G166" s="134">
        <f>INDEX(X_Table_Dairy_HerdMovement,2,5)</f>
        <v>100</v>
      </c>
      <c r="H166" s="134">
        <f>INDEX(X_Table_Dairy_HerdMovement,2,6)</f>
        <v>100</v>
      </c>
      <c r="I166" s="26" t="str">
        <f>G159</f>
        <v>head</v>
      </c>
    </row>
    <row r="167" spans="1:19" ht="20.100000000000001" customHeight="1" x14ac:dyDescent="0.25"/>
    <row r="168" spans="1:19" ht="20.100000000000001" customHeight="1" x14ac:dyDescent="0.25">
      <c r="D168" s="122" t="s">
        <v>381</v>
      </c>
      <c r="N168" s="122" t="s">
        <v>382</v>
      </c>
    </row>
    <row r="169" spans="1:19" ht="20.100000000000001" customHeight="1" x14ac:dyDescent="0.25">
      <c r="D169" s="123" t="s">
        <v>383</v>
      </c>
      <c r="N169" s="123" t="s">
        <v>384</v>
      </c>
    </row>
    <row r="170" spans="1:19" ht="20.100000000000001" customHeight="1" x14ac:dyDescent="0.25">
      <c r="D170" s="94" t="s">
        <v>213</v>
      </c>
      <c r="E170" s="94" t="s">
        <v>214</v>
      </c>
      <c r="F170" s="94" t="s">
        <v>215</v>
      </c>
      <c r="G170" s="94" t="s">
        <v>216</v>
      </c>
      <c r="H170" s="94" t="s">
        <v>217</v>
      </c>
      <c r="N170" s="94" t="s">
        <v>213</v>
      </c>
      <c r="O170" s="94" t="s">
        <v>214</v>
      </c>
      <c r="P170" s="94" t="s">
        <v>215</v>
      </c>
      <c r="Q170" s="94" t="s">
        <v>216</v>
      </c>
      <c r="R170" s="94" t="s">
        <v>217</v>
      </c>
    </row>
    <row r="171" spans="1:19" ht="20.100000000000001" customHeight="1" x14ac:dyDescent="0.25">
      <c r="A171" s="129"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113</v>
      </c>
    </row>
    <row r="172" spans="1:19" ht="20.100000000000001" customHeight="1" x14ac:dyDescent="0.25"/>
    <row r="173" spans="1:19" ht="20.100000000000001" customHeight="1" x14ac:dyDescent="0.25">
      <c r="D173" s="122" t="s">
        <v>385</v>
      </c>
      <c r="N173" s="122" t="s">
        <v>386</v>
      </c>
    </row>
    <row r="174" spans="1:19" ht="20.100000000000001" customHeight="1" x14ac:dyDescent="0.25">
      <c r="D174" s="123" t="s">
        <v>387</v>
      </c>
      <c r="N174" s="123" t="s">
        <v>388</v>
      </c>
    </row>
    <row r="175" spans="1:19" ht="20.100000000000001" customHeight="1" x14ac:dyDescent="0.25">
      <c r="D175" s="124" t="s">
        <v>213</v>
      </c>
      <c r="E175" s="124" t="s">
        <v>214</v>
      </c>
      <c r="F175" s="124" t="s">
        <v>215</v>
      </c>
      <c r="G175" s="124" t="s">
        <v>216</v>
      </c>
      <c r="H175" s="124" t="s">
        <v>217</v>
      </c>
      <c r="N175" s="124" t="s">
        <v>213</v>
      </c>
      <c r="O175" s="124" t="s">
        <v>214</v>
      </c>
      <c r="P175" s="124" t="s">
        <v>215</v>
      </c>
      <c r="Q175" s="124" t="s">
        <v>216</v>
      </c>
      <c r="R175" s="124" t="s">
        <v>217</v>
      </c>
    </row>
    <row r="176" spans="1:19" ht="20.100000000000001" customHeight="1" x14ac:dyDescent="0.25">
      <c r="D176" s="25" cm="1">
        <f t="array" ref="D176">MMS_Dairy_N2ODirect_Equations.VEERG_4_3_1_3__3a_TotalAnnualNitrogenExcretedGreaterThanOneYearVariation(D166,D146,D171)</f>
        <v>18147.548038521214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18147.548038521214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1"/>
      <c r="D179" s="101"/>
      <c r="E179" s="101"/>
      <c r="F179" s="101"/>
      <c r="G179" s="101"/>
      <c r="H179" s="101"/>
      <c r="I179" s="101"/>
      <c r="J179" s="101"/>
      <c r="K179" s="101"/>
      <c r="M179" s="101"/>
      <c r="N179" s="101"/>
      <c r="O179" s="101"/>
      <c r="P179" s="101"/>
      <c r="Q179" s="101"/>
      <c r="R179" s="101"/>
      <c r="S179" s="101"/>
      <c r="T179" s="101"/>
      <c r="U179" s="101"/>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5"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8" t="s">
        <v>262</v>
      </c>
      <c r="E183" s="118"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7" t="s">
        <v>263</v>
      </c>
      <c r="E186" s="1" t="str" cm="1">
        <f t="array" ref="E186">MMS_Dairy_N2ODirect_Equations.VEERG_4_3_1_3__3b_TotalAnnualNitrogenExcretedLessThanOneYear_Variable()</f>
        <v>AE_j35</v>
      </c>
    </row>
    <row r="187" spans="3:21" ht="20.100000000000001" customHeight="1" x14ac:dyDescent="0.25">
      <c r="D187" s="87" t="s">
        <v>122</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20" t="str" cm="1">
        <f t="array" ref="D189:E193">_xlfn.CHOOSECOLS(MMS_Dairy_N2ODirect_Equations.VEERG_4_3_1_3__3b_TotalAnnualNitrogenExcretedLessThanOneYear_Arguments(),1,2)</f>
        <v>N_j35</v>
      </c>
      <c r="E189" s="125" t="str">
        <v>number of dairy cattle in classes j=3,5</v>
      </c>
      <c r="F189" s="126"/>
      <c r="G189" s="120" t="str" cm="1">
        <f t="array" ref="G189:H193">_xlfn.CHOOSECOLS(MMS_Dairy_N2ODirect_Equations.VEERG_4_3_1_3__3b_TotalAnnualNitrogenExcretedLessThanOneYear_Arguments(),3,4)</f>
        <v>head</v>
      </c>
      <c r="H189" s="121" t="str">
        <v>Input</v>
      </c>
      <c r="I189" s="127" t="str" cm="1">
        <f t="array" aca="1" ref="I189" ca="1">HYPERLINK(Common_InputFunctions.Utility_SourceHyperlink($D$163),$D$163)</f>
        <v>Table_N_j</v>
      </c>
    </row>
    <row r="190" spans="3:21" ht="20.100000000000001" customHeight="1" x14ac:dyDescent="0.25">
      <c r="D190" s="120" t="str">
        <v>NE_j35</v>
      </c>
      <c r="E190" s="125" t="str">
        <v>nitrogen excreted by weaned dairy cattle less than one year old (kg N/head/day)</v>
      </c>
      <c r="F190" s="126"/>
      <c r="G190" s="120" t="str">
        <v>kg N/head/day</v>
      </c>
      <c r="H190" s="128" t="str">
        <v>Calculated from 4.3.1.3 (4)</v>
      </c>
      <c r="I190" s="127" t="str" cm="1">
        <f t="array" aca="1" ref="I190" ca="1">HYPERLINK(Common_InputFunctions.Utility_SourceHyperlink($D$143),$D$143)</f>
        <v>M1_Table_NE_j</v>
      </c>
    </row>
    <row r="191" spans="3:21" ht="20.100000000000001" customHeight="1" x14ac:dyDescent="0.25">
      <c r="D191" s="120" t="str">
        <v>NPW_j35</v>
      </c>
      <c r="E191" s="125" t="str">
        <v>nitrogen excreted by pre-weaned calves (kg N/head/day)</v>
      </c>
      <c r="F191" s="126"/>
      <c r="G191" s="120" t="str">
        <v>kg N/head/day</v>
      </c>
      <c r="H191" s="128" t="str">
        <v>Constant</v>
      </c>
      <c r="I191" s="127" t="str" cm="1">
        <f t="array" aca="1" ref="I191" ca="1">HYPERLINK(Common_InputFunctions.Utility_SourceHyperlink($D$195),$D$195)</f>
        <v>Table_NPW_j-3-5</v>
      </c>
    </row>
    <row r="192" spans="3:21" ht="20.100000000000001" customHeight="1" x14ac:dyDescent="0.25">
      <c r="D192" s="120" t="str">
        <v>D_j35</v>
      </c>
      <c r="E192" s="125" t="str">
        <v>duration of stay on farm for weaned dairy cattle less than one year old (days)</v>
      </c>
      <c r="F192" s="126"/>
      <c r="G192" s="120" t="str">
        <v>days</v>
      </c>
      <c r="H192" s="121" t="str">
        <v>Input</v>
      </c>
      <c r="I192" s="127" t="str" cm="1">
        <f t="array" aca="1" ref="I192" ca="1">HYPERLINK(Common_InputFunctions.Utility_SourceHyperlink($D$200),$D$200)</f>
        <v>M1_Table_D_j-3-5</v>
      </c>
    </row>
    <row r="193" spans="1:19" ht="20.100000000000001" customHeight="1" x14ac:dyDescent="0.25">
      <c r="D193" s="120" t="str">
        <v>DPW_j35</v>
      </c>
      <c r="E193" s="125" t="str">
        <v>duration of stay on farm for pre-weaned calves (days)</v>
      </c>
      <c r="F193" s="126"/>
      <c r="G193" s="120" t="str">
        <v>days</v>
      </c>
      <c r="H193" s="121" t="str">
        <v>Input</v>
      </c>
      <c r="I193" s="127" t="str" cm="1">
        <f t="array" aca="1" ref="I193" ca="1">HYPERLINK(Common_InputFunctions.Utility_SourceHyperlink($D$205),$D$205)</f>
        <v>M1_Table_DPW_j</v>
      </c>
    </row>
    <row r="194" spans="1:19" ht="20.100000000000001" customHeight="1" x14ac:dyDescent="0.25"/>
    <row r="195" spans="1:19" ht="20.100000000000001" customHeight="1" x14ac:dyDescent="0.25">
      <c r="D195" s="122" t="s">
        <v>389</v>
      </c>
    </row>
    <row r="196" spans="1:19" ht="20.100000000000001" customHeight="1" x14ac:dyDescent="0.25">
      <c r="D196" s="123" t="s">
        <v>390</v>
      </c>
    </row>
    <row r="197" spans="1:19" ht="20.100000000000001" customHeight="1" x14ac:dyDescent="0.25">
      <c r="D197" s="124" t="s">
        <v>213</v>
      </c>
      <c r="E197" s="124" t="s">
        <v>214</v>
      </c>
      <c r="F197" s="124" t="s">
        <v>215</v>
      </c>
      <c r="G197" s="124" t="s">
        <v>216</v>
      </c>
      <c r="H197" s="124" t="s">
        <v>217</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2" t="s">
        <v>391</v>
      </c>
      <c r="N200" s="122" t="s">
        <v>391</v>
      </c>
    </row>
    <row r="201" spans="1:19" ht="20.100000000000001" customHeight="1" x14ac:dyDescent="0.25">
      <c r="D201" s="123" t="s">
        <v>392</v>
      </c>
      <c r="N201" s="123" t="s">
        <v>393</v>
      </c>
    </row>
    <row r="202" spans="1:19" ht="20.100000000000001" customHeight="1" x14ac:dyDescent="0.25">
      <c r="D202" s="94" t="s">
        <v>213</v>
      </c>
      <c r="E202" s="94" t="s">
        <v>214</v>
      </c>
      <c r="F202" s="94" t="s">
        <v>215</v>
      </c>
      <c r="G202" s="94" t="s">
        <v>216</v>
      </c>
      <c r="H202" s="94" t="s">
        <v>217</v>
      </c>
      <c r="N202" s="94" t="s">
        <v>213</v>
      </c>
      <c r="O202" s="94" t="s">
        <v>214</v>
      </c>
      <c r="P202" s="94" t="s">
        <v>215</v>
      </c>
      <c r="Q202" s="94" t="s">
        <v>216</v>
      </c>
      <c r="R202" s="94" t="s">
        <v>217</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2" t="s">
        <v>346</v>
      </c>
      <c r="N205" s="122" t="s">
        <v>346</v>
      </c>
    </row>
    <row r="206" spans="1:19" ht="20.100000000000001" customHeight="1" x14ac:dyDescent="0.25">
      <c r="D206" s="123" t="s">
        <v>347</v>
      </c>
      <c r="N206" s="123" t="s">
        <v>394</v>
      </c>
    </row>
    <row r="207" spans="1:19" ht="20.100000000000001" customHeight="1" x14ac:dyDescent="0.25">
      <c r="D207" s="94" t="s">
        <v>213</v>
      </c>
      <c r="E207" s="94" t="s">
        <v>214</v>
      </c>
      <c r="F207" s="94" t="s">
        <v>215</v>
      </c>
      <c r="G207" s="94" t="s">
        <v>216</v>
      </c>
      <c r="H207" s="94" t="s">
        <v>217</v>
      </c>
      <c r="N207" s="94" t="s">
        <v>213</v>
      </c>
      <c r="O207" s="94" t="s">
        <v>214</v>
      </c>
      <c r="P207" s="94" t="s">
        <v>215</v>
      </c>
      <c r="Q207" s="94" t="s">
        <v>216</v>
      </c>
      <c r="R207" s="94" t="s">
        <v>217</v>
      </c>
    </row>
    <row r="208" spans="1:19" ht="20.100000000000001" customHeight="1" x14ac:dyDescent="0.25">
      <c r="A208" s="129"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2" t="s">
        <v>395</v>
      </c>
      <c r="N210" s="122" t="s">
        <v>395</v>
      </c>
    </row>
    <row r="211" spans="3:21" ht="20.100000000000001" customHeight="1" x14ac:dyDescent="0.25">
      <c r="D211" s="123" t="s">
        <v>396</v>
      </c>
      <c r="N211" s="123" t="s">
        <v>397</v>
      </c>
    </row>
    <row r="212" spans="3:21" ht="20.100000000000001" customHeight="1" x14ac:dyDescent="0.25">
      <c r="D212" s="124" t="s">
        <v>213</v>
      </c>
      <c r="E212" s="124" t="s">
        <v>214</v>
      </c>
      <c r="F212" s="124" t="s">
        <v>215</v>
      </c>
      <c r="G212" s="124" t="s">
        <v>216</v>
      </c>
      <c r="H212" s="124" t="s">
        <v>217</v>
      </c>
      <c r="N212" s="124" t="s">
        <v>213</v>
      </c>
      <c r="O212" s="124" t="s">
        <v>214</v>
      </c>
      <c r="P212" s="124" t="s">
        <v>215</v>
      </c>
      <c r="Q212" s="124" t="s">
        <v>216</v>
      </c>
      <c r="R212" s="124" t="s">
        <v>217</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1"/>
      <c r="D216" s="101"/>
      <c r="E216" s="101"/>
      <c r="F216" s="101"/>
      <c r="G216" s="101"/>
      <c r="H216" s="101"/>
      <c r="I216" s="101"/>
      <c r="J216" s="101"/>
      <c r="K216" s="101"/>
      <c r="M216" s="101"/>
      <c r="N216" s="101"/>
      <c r="O216" s="101"/>
      <c r="P216" s="101"/>
      <c r="Q216" s="101"/>
      <c r="R216" s="101"/>
      <c r="S216" s="101"/>
      <c r="T216" s="101"/>
      <c r="U216" s="101"/>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8" t="s">
        <v>262</v>
      </c>
      <c r="E219" s="118"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7" t="s">
        <v>263</v>
      </c>
      <c r="E222" s="1" t="str" cm="1">
        <f t="array" ref="E222">MMS_Dairy_N2ODirect_Equations.VEERG_4_3_1_3__2_TotalNitrogenInEachMMS_Variable()</f>
        <v>MN_jm</v>
      </c>
    </row>
    <row r="223" spans="3:21" ht="20.100000000000001" customHeight="1" x14ac:dyDescent="0.25">
      <c r="D223" s="87" t="s">
        <v>122</v>
      </c>
      <c r="E223" s="15" t="str" cm="1">
        <f t="array" ref="E223">MMS_Dairy_N2ODirect_Equations.VEERG_4_3_1_3__2_TotalNitrogenInEachMMS_Unit()</f>
        <v>kg N</v>
      </c>
    </row>
    <row r="224" spans="3:21" ht="20.100000000000001" customHeight="1" x14ac:dyDescent="0.25"/>
    <row r="225" spans="4:20" ht="20.100000000000001" customHeight="1" x14ac:dyDescent="0.25">
      <c r="D225" s="120" t="str" cm="1">
        <f t="array" ref="D225:E226">_xlfn.CHOOSECOLS(MMS_Dairy_N2ODirect_Equations.VEERG_4_3_1_3__2_TotalNitrogenInEachMMS_Arguments(),1,2)</f>
        <v>AE_j</v>
      </c>
      <c r="E225" s="120" t="str">
        <v>total nitrogen excreted by each dairy class</v>
      </c>
      <c r="F225" s="120"/>
      <c r="G225" s="120" t="str" cm="1">
        <f t="array" ref="G225:H226">_xlfn.CHOOSECOLS(MMS_Dairy_N2ODirect_Equations.VEERG_4_3_1_3__2_TotalNitrogenInEachMMS_Arguments(),3,4)</f>
        <v>kg N</v>
      </c>
      <c r="H225" s="128" t="str">
        <v>Calculated from 4.3.1.3 (3a) and (3b)</v>
      </c>
      <c r="I225" s="127" t="str" cm="1">
        <f t="array" aca="1" ref="I225" ca="1">HYPERLINK(Common_InputFunctions.Utility_SourceHyperlink($D$173),$D$173)</f>
        <v>M1_Table_AE_j-1-2-4</v>
      </c>
      <c r="J225" s="127" t="str" cm="1">
        <f t="array" aca="1" ref="J225" ca="1">HYPERLINK(Common_InputFunctions.Utility_SourceHyperlink($D$210),$D$210)</f>
        <v>M1_Table_AE_j</v>
      </c>
    </row>
    <row r="226" spans="4:20" ht="20.100000000000001" customHeight="1" x14ac:dyDescent="0.25">
      <c r="D226" s="120" t="str">
        <v>MMS_jm</v>
      </c>
      <c r="E226" s="120" t="str">
        <v>manure management system fraction for class j and system m</v>
      </c>
      <c r="F226" s="120"/>
      <c r="G226" s="120" t="str">
        <v>fraction</v>
      </c>
      <c r="H226" s="121" t="str">
        <v>Input</v>
      </c>
      <c r="I226" s="127" t="str" cm="1">
        <f t="array" aca="1" ref="I226" ca="1">HYPERLINK(Common_InputFunctions.Utility_SourceHyperlink($D$228),$D$228)</f>
        <v>M1_Table_MMS_j_m</v>
      </c>
      <c r="J226" s="127" t="str" cm="1">
        <f t="array" aca="1" ref="J226" ca="1">HYPERLINK(Common_InputFunctions.Utility_SourceHyperlink($D$228),$D$228)</f>
        <v>M1_Table_MMS_j_m</v>
      </c>
    </row>
    <row r="227" spans="4:20" ht="20.100000000000001" customHeight="1" x14ac:dyDescent="0.25"/>
    <row r="228" spans="4:20" ht="20.100000000000001" customHeight="1" x14ac:dyDescent="0.25">
      <c r="D228" s="122" t="s">
        <v>303</v>
      </c>
      <c r="N228" s="122" t="s">
        <v>304</v>
      </c>
    </row>
    <row r="229" spans="4:20" ht="20.100000000000001" customHeight="1" x14ac:dyDescent="0.25">
      <c r="D229" s="123" t="s">
        <v>398</v>
      </c>
      <c r="N229" s="123" t="s">
        <v>399</v>
      </c>
    </row>
    <row r="230" spans="4:20" ht="20.100000000000001" customHeight="1" x14ac:dyDescent="0.25">
      <c r="D230" s="94" t="s">
        <v>168</v>
      </c>
      <c r="E230" s="94" t="s">
        <v>307</v>
      </c>
      <c r="F230" s="94" t="s">
        <v>213</v>
      </c>
      <c r="G230" s="94" t="s">
        <v>214</v>
      </c>
      <c r="H230" s="94" t="s">
        <v>215</v>
      </c>
      <c r="I230" s="94" t="s">
        <v>216</v>
      </c>
      <c r="J230" s="94" t="s">
        <v>217</v>
      </c>
      <c r="N230" s="94" t="s">
        <v>168</v>
      </c>
      <c r="O230" s="94" t="s">
        <v>307</v>
      </c>
      <c r="P230" s="94" t="s">
        <v>213</v>
      </c>
      <c r="Q230" s="94" t="s">
        <v>214</v>
      </c>
      <c r="R230" s="94" t="s">
        <v>215</v>
      </c>
      <c r="S230" s="94" t="s">
        <v>216</v>
      </c>
      <c r="T230" s="94" t="s">
        <v>217</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76</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76</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76</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41"/>
    </row>
    <row r="240" spans="4:20" ht="20.100000000000001" customHeight="1" x14ac:dyDescent="0.25">
      <c r="D240" s="122" t="s">
        <v>400</v>
      </c>
      <c r="N240" s="122" t="s">
        <v>401</v>
      </c>
    </row>
    <row r="241" spans="1:21" ht="20.100000000000001" customHeight="1" x14ac:dyDescent="0.25">
      <c r="D241" s="123" t="s">
        <v>402</v>
      </c>
      <c r="N241" s="123" t="s">
        <v>403</v>
      </c>
    </row>
    <row r="242" spans="1:21" ht="20.100000000000001" customHeight="1" x14ac:dyDescent="0.25">
      <c r="D242" s="124" t="s">
        <v>168</v>
      </c>
      <c r="E242" s="124" t="s">
        <v>307</v>
      </c>
      <c r="F242" s="124" t="s">
        <v>213</v>
      </c>
      <c r="G242" s="124" t="s">
        <v>214</v>
      </c>
      <c r="H242" s="124" t="s">
        <v>215</v>
      </c>
      <c r="I242" s="124" t="s">
        <v>216</v>
      </c>
      <c r="J242" s="124" t="s">
        <v>217</v>
      </c>
      <c r="N242" s="124" t="s">
        <v>168</v>
      </c>
      <c r="O242" s="124" t="s">
        <v>307</v>
      </c>
      <c r="P242" s="124" t="s">
        <v>213</v>
      </c>
      <c r="Q242" s="124" t="s">
        <v>214</v>
      </c>
      <c r="R242" s="124" t="s">
        <v>215</v>
      </c>
      <c r="S242" s="124" t="s">
        <v>216</v>
      </c>
      <c r="T242" s="124" t="s">
        <v>217</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399.24605684746678</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399.24605684746678</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399.24605684746678</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399.24605684746678</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29"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399.24605684746678</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399.24605684746678</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76</v>
      </c>
      <c r="F246" s="25" cm="1">
        <f t="array" ref="F246">MMS_Dairy_N2ODirect_Equations.VEERG_4_3_1_3__2_TotalNitrogenInEachMMS(D$176,F234)</f>
        <v>798.49211369493332</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76</v>
      </c>
      <c r="P246" s="25" cm="1">
        <f t="array" ref="P246">MMS_Dairy_N2ODirect_Equations.VEERG_4_3_1_3__2_TotalNitrogenInEachMMS(N$176,P234)</f>
        <v>798.49211369493332</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1615.131775428388</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1615.131775428388</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1292.1054203427104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1292.1054203427104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1292.1054203427104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1292.1054203427104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76</v>
      </c>
      <c r="F250" s="25" cm="1">
        <f t="array" ref="F250">MMS_Dairy_N2ODirect_Equations.VEERG_4_3_1_3__2_TotalNitrogenInEachMMS(D$176,F238)</f>
        <v>2261.1844855997429</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76</v>
      </c>
      <c r="P250" s="25" cm="1">
        <f t="array" ref="P250">MMS_Dairy_N2ODirect_Equations.VEERG_4_3_1_3__2_TotalNitrogenInEachMMS(N$176,P238)</f>
        <v>2261.1844855997429</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1"/>
      <c r="D253" s="101"/>
      <c r="E253" s="101"/>
      <c r="F253" s="101"/>
      <c r="G253" s="101"/>
      <c r="H253" s="101"/>
      <c r="I253" s="101"/>
      <c r="J253" s="101"/>
      <c r="K253" s="101"/>
      <c r="M253" s="101"/>
      <c r="N253" s="101"/>
      <c r="O253" s="101"/>
      <c r="P253" s="101"/>
      <c r="Q253" s="101"/>
      <c r="R253" s="101"/>
      <c r="S253" s="101"/>
      <c r="T253" s="101"/>
      <c r="U253" s="101"/>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8" t="s">
        <v>262</v>
      </c>
      <c r="E256" s="118"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7" t="s">
        <v>263</v>
      </c>
      <c r="E259" s="1" t="str" cm="1">
        <f t="array" ref="E259">MMS_Dairy_N2ODirect_Equations.VEERG_4_3_1_3__1_TotalAnnualDirectNitrousOxideEmissionsFromMMS_Variable()</f>
        <v>E_N2Odir</v>
      </c>
    </row>
    <row r="260" spans="4:9" ht="20.100000000000001" customHeight="1" x14ac:dyDescent="0.25">
      <c r="D260" s="87" t="s">
        <v>122</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20" t="str" cm="1">
        <f t="array" ref="D262:E264">_xlfn.CHOOSECOLS(MMS_Dairy_N2ODirect_Equations.VEERG_4_3_1_3__1_TotalAnnualDirectNitrousOxideEmissionsFromMMS_Arguments(),1,2)</f>
        <v>MN_jm</v>
      </c>
      <c r="E262" s="120" t="str">
        <v>total nitrogen in each MMS for dairy cattle classes</v>
      </c>
      <c r="F262" s="120"/>
      <c r="G262" s="120" t="str" cm="1">
        <f t="array" ref="G262:H264">_xlfn.CHOOSECOLS(MMS_Dairy_N2ODirect_Equations.VEERG_4_3_1_3__1_TotalAnnualDirectNitrousOxideEmissionsFromMMS_Arguments(),3,4)</f>
        <v>kg N</v>
      </c>
      <c r="H262" s="128" t="str">
        <v>Calculated from 4.3.1.3 (2)</v>
      </c>
      <c r="I262" s="127" t="str" cm="1">
        <f t="array" aca="1" ref="I262" ca="1">HYPERLINK(Common_InputFunctions.Utility_SourceHyperlink($D$240),$D$240)</f>
        <v>M1_Table_MN_j_m</v>
      </c>
    </row>
    <row r="263" spans="4:9" ht="20.100000000000001" customHeight="1" x14ac:dyDescent="0.25">
      <c r="D263" s="120" t="str">
        <v>EF_m</v>
      </c>
      <c r="E263" s="120" t="str">
        <v>nitrous oxide emission factor for each MMS (kg N2O-N/kg N deposited)</v>
      </c>
      <c r="F263" s="120"/>
      <c r="G263" s="120" t="str">
        <v>kg N2O-N/kg N</v>
      </c>
      <c r="H263" s="128" t="str">
        <v>Constant</v>
      </c>
      <c r="I263" s="127" t="str" cm="1">
        <f t="array" aca="1" ref="I263" ca="1">HYPERLINK(Common_InputFunctions.Utility_SourceHyperlink($D$266),$D$266)</f>
        <v>Table_EF_m</v>
      </c>
    </row>
    <row r="264" spans="4:9" ht="20.100000000000001" customHeight="1" x14ac:dyDescent="0.25">
      <c r="D264" s="120" t="str">
        <v>C_N2O</v>
      </c>
      <c r="E264" s="120" t="str">
        <v>factor to convert elemental mass of N2O to molecular mass</v>
      </c>
      <c r="F264" s="120"/>
      <c r="G264" s="120" t="str">
        <v>fraction</v>
      </c>
      <c r="H264" s="128" t="str">
        <v>Constant</v>
      </c>
      <c r="I264" s="120">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2" t="s">
        <v>404</v>
      </c>
    </row>
    <row r="267" spans="4:9" ht="20.100000000000001" customHeight="1" x14ac:dyDescent="0.25">
      <c r="D267" s="123" t="s">
        <v>405</v>
      </c>
    </row>
    <row r="268" spans="4:9" ht="20.100000000000001" customHeight="1" x14ac:dyDescent="0.25">
      <c r="D268" s="124" t="s">
        <v>307</v>
      </c>
      <c r="E268" s="124" t="s">
        <v>406</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2" t="s">
        <v>407</v>
      </c>
      <c r="N275" s="122" t="s">
        <v>408</v>
      </c>
    </row>
    <row r="276" spans="1:20" ht="20.100000000000001" customHeight="1" x14ac:dyDescent="0.25">
      <c r="D276" s="123" t="s">
        <v>409</v>
      </c>
      <c r="N276" s="123" t="s">
        <v>410</v>
      </c>
    </row>
    <row r="277" spans="1:20" ht="20.100000000000001" customHeight="1" x14ac:dyDescent="0.25">
      <c r="D277" s="124" t="s">
        <v>168</v>
      </c>
      <c r="E277" s="124" t="s">
        <v>307</v>
      </c>
      <c r="F277" s="124" t="s">
        <v>213</v>
      </c>
      <c r="G277" s="124" t="s">
        <v>214</v>
      </c>
      <c r="H277" s="124" t="s">
        <v>215</v>
      </c>
      <c r="I277" s="124" t="s">
        <v>216</v>
      </c>
      <c r="J277" s="124" t="s">
        <v>217</v>
      </c>
      <c r="N277" s="124" t="s">
        <v>168</v>
      </c>
      <c r="O277" s="124" t="s">
        <v>307</v>
      </c>
      <c r="P277" s="124" t="s">
        <v>213</v>
      </c>
      <c r="Q277" s="124" t="s">
        <v>214</v>
      </c>
      <c r="R277" s="124" t="s">
        <v>215</v>
      </c>
      <c r="S277" s="124" t="s">
        <v>216</v>
      </c>
      <c r="T277" s="124" t="s">
        <v>217</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76</v>
      </c>
      <c r="F281" s="25" cm="1">
        <f t="array" ref="F281">MMS_Dairy_N2ODirect_Equations.VEERG_4_3_1_3__1_TotalAnnualDirectNitrousOxideEmissionsFromMMS(F246,$E273,$I$264)</f>
        <v>6.2738666076030481E-3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76</v>
      </c>
      <c r="P281" s="25" cm="1">
        <f t="array" ref="P281">MMS_Dairy_N2ODirect_Equations.VEERG_4_3_1_3__1_TotalAnnualDirectNitrousOxideEmissionsFromMMS(P246,$E273,$I$264)</f>
        <v>6.2738666076030481E-3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29" t="str">
        <f>HYPERLINK("#A1", "▲ Back to top")</f>
        <v>▲ Back to top</v>
      </c>
      <c r="D285" s="25" t="str">
        <f>INDEX(X_Table_Dairy_ProductionSystems_Method1,4,1)</f>
        <v>Feed pad</v>
      </c>
      <c r="E285" s="25" t="s">
        <v>76</v>
      </c>
      <c r="F285" s="25" cm="1">
        <f t="array" ref="F285">MMS_Dairy_N2ODirect_Equations.VEERG_4_3_1_3__1_TotalAnnualDirectNitrousOxideEmissionsFromMMS(F250,$E273,$I$264)</f>
        <v>1.7766449529712264E-2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76</v>
      </c>
      <c r="P285" s="25" cm="1">
        <f t="array" ref="P285">MMS_Dairy_N2ODirect_Equations.VEERG_4_3_1_3__1_TotalAnnualDirectNitrousOxideEmissionsFromMMS(P250,$E273,$I$264)</f>
        <v>1.7766449529712264E-2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5" t="s">
        <v>411</v>
      </c>
      <c r="E287" s="136">
        <f>SUM(F278:J285)</f>
        <v>5.8975625860183567E-2</v>
      </c>
      <c r="F287" s="137" t="str">
        <f>$E$260</f>
        <v>t N2O</v>
      </c>
      <c r="N287" s="135" t="s">
        <v>411</v>
      </c>
      <c r="O287" s="136">
        <f>SUM(P278:T285)</f>
        <v>5.8975625860183567E-2</v>
      </c>
      <c r="P287" s="137" t="str">
        <f>$E$260</f>
        <v>t N2O</v>
      </c>
    </row>
    <row r="288" spans="1:20" ht="20.100000000000001" customHeight="1" x14ac:dyDescent="0.25"/>
    <row r="289" spans="4:17" ht="20.100000000000001" customHeight="1" x14ac:dyDescent="0.25">
      <c r="D289" s="132" t="str" cm="1">
        <f t="array" ref="D289:E290">Common_Equations.Common_ConvertN2OToCO2e_Arguments()</f>
        <v>EN2O</v>
      </c>
      <c r="E289" s="138" t="str">
        <v>Nitrous oxide emissions (t N2O)</v>
      </c>
      <c r="F289" s="139"/>
      <c r="G289" s="25">
        <f>VEERG_4_3_1_3__1_TotalAnnualDirectNitrousOxideEmissionsFromMMS_Result_Method1</f>
        <v>5.8975625860183567E-2</v>
      </c>
      <c r="N289" s="132" t="str" cm="1">
        <f t="array" ref="N289:O290">Common_Equations.Common_ConvertN2OToCO2e_Arguments()</f>
        <v>EN2O</v>
      </c>
      <c r="O289" s="138" t="str">
        <v>Nitrous oxide emissions (t N2O)</v>
      </c>
      <c r="P289" s="139"/>
      <c r="Q289" s="25">
        <f>VEERG_4_3_1_3__1_TotalAnnualDirectNitrousOxideEmissionsFromMMS_Result_Method2</f>
        <v>5.8975625860183567E-2</v>
      </c>
    </row>
    <row r="290" spans="4:17" ht="20.100000000000001" customHeight="1" x14ac:dyDescent="0.25">
      <c r="D290" s="132" t="str">
        <v>GWPN2O</v>
      </c>
      <c r="E290" s="138" t="str">
        <v>Global warming potential for nitrous oxide (t CO2-e / t N2O)</v>
      </c>
      <c r="F290" s="139"/>
      <c r="G290" s="25">
        <f>Common_InputFunctions.Utility_LookupValueInTableNumber("N2O",Table_GWPData[Gas],Table_GWPData[CO2-e factor])</f>
        <v>265</v>
      </c>
      <c r="N290" s="132" t="str">
        <v>GWPN2O</v>
      </c>
      <c r="O290" s="138" t="str">
        <v>Global warming potential for nitrous oxide (t CO2-e / t N2O)</v>
      </c>
      <c r="P290" s="139"/>
      <c r="Q290" s="25">
        <f>Common_InputFunctions.Utility_LookupValueInTableNumber("N2O",Table_GWPData[Gas],Table_GWPData[CO2-e factor])</f>
        <v>265</v>
      </c>
    </row>
    <row r="291" spans="4:17" ht="20.100000000000001" customHeight="1" x14ac:dyDescent="0.25"/>
    <row r="292" spans="4:17" ht="18.75" x14ac:dyDescent="0.25">
      <c r="D292" s="101" t="s">
        <v>412</v>
      </c>
      <c r="E292" s="101" cm="1">
        <f t="array" ref="E292">Common_Equations.Common_ConvertN2OToCO2e(G289,G290)</f>
        <v>15.628540852948646</v>
      </c>
      <c r="F292" s="140" t="str" cm="1">
        <f t="array" ref="F292">Common_Equations.Common_ConvertN2OToCO2e_Unit()</f>
        <v>t CO2e</v>
      </c>
      <c r="N292" s="101" t="s">
        <v>412</v>
      </c>
      <c r="O292" s="101" cm="1">
        <f t="array" ref="O292">Common_Equations.Common_ConvertN2OToCO2e(Q289,Q290)</f>
        <v>15.628540852948646</v>
      </c>
      <c r="P292" s="140"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B1F20936-D378-46D9-9529-BBC1CA40145A}"/>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A31CF-A602-4959-B307-C2FD4307076D}">
  <dimension ref="A1:W165"/>
  <sheetViews>
    <sheetView showGridLines="0" topLeftCell="A5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413</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8" t="s">
        <v>262</v>
      </c>
      <c r="E7" s="118"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7" t="s">
        <v>122</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4">_xlfn.CHOOSECOLS(MMS_Dairy_AtmosphericDeposition_Equations.VEERG_4_3_1_5__2_TotalNitrogenVolatilisedFromMMS_Arguments(),1,2)</f>
        <v>MN_jm</v>
      </c>
      <c r="E13" s="125" t="str">
        <v>total nitrogen in each MMS for dairy cattle classes</v>
      </c>
      <c r="F13" s="126"/>
      <c r="G13" s="120" t="str" cm="1">
        <f t="array" ref="G13:H14">_xlfn.CHOOSECOLS(MMS_Dairy_AtmosphericDeposition_Equations.VEERG_4_3_1_5__2_TotalNitrogenVolatilisedFromMMS_Arguments(),3,4)</f>
        <v>kg N</v>
      </c>
      <c r="H13" s="128" t="str">
        <v>Calculated from 4.3.1.3 (2)</v>
      </c>
      <c r="I13" s="127"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20" t="str">
        <v>FracGASM_m</v>
      </c>
      <c r="E14" s="125" t="str">
        <v>fraction of N volatilised from MMS</v>
      </c>
      <c r="F14" s="126"/>
      <c r="G14" s="120" t="str">
        <v>fraction</v>
      </c>
      <c r="H14" s="128" t="str">
        <v>Constant</v>
      </c>
      <c r="I14" s="127"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400</v>
      </c>
      <c r="O16" s="122" t="s">
        <v>401</v>
      </c>
    </row>
    <row r="17" spans="1:22" ht="20.100000000000001" customHeight="1" x14ac:dyDescent="0.25">
      <c r="A17" s="5" t="str">
        <f>HYPERLINK("#'Input - Fertiliser'!A1", "Fertiliser")</f>
        <v>Fertiliser</v>
      </c>
      <c r="D17" s="123" t="s">
        <v>402</v>
      </c>
      <c r="O17" s="123" t="s">
        <v>403</v>
      </c>
    </row>
    <row r="18" spans="1:22" ht="20.100000000000001" customHeight="1" x14ac:dyDescent="0.25">
      <c r="A18" s="5" t="str">
        <f>HYPERLINK("#'Input - Fuel'!A1", "Fuel")</f>
        <v>Fuel</v>
      </c>
      <c r="D18" s="124" t="s">
        <v>168</v>
      </c>
      <c r="E18" s="124" t="s">
        <v>307</v>
      </c>
      <c r="F18" s="124" t="s">
        <v>213</v>
      </c>
      <c r="G18" s="124" t="s">
        <v>214</v>
      </c>
      <c r="H18" s="124" t="s">
        <v>215</v>
      </c>
      <c r="I18" s="124" t="s">
        <v>216</v>
      </c>
      <c r="J18" s="124" t="s">
        <v>217</v>
      </c>
      <c r="O18" s="124" t="s">
        <v>168</v>
      </c>
      <c r="P18" s="124" t="s">
        <v>307</v>
      </c>
      <c r="Q18" s="124" t="s">
        <v>213</v>
      </c>
      <c r="R18" s="124" t="s">
        <v>214</v>
      </c>
      <c r="S18" s="124" t="s">
        <v>215</v>
      </c>
      <c r="T18" s="124" t="s">
        <v>216</v>
      </c>
      <c r="U18" s="124" t="s">
        <v>217</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399.24605684746678</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399.24605684746678</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Common farm inputs'!A1", "Common farm inputs")</f>
        <v>Common farm inputs</v>
      </c>
      <c r="D20" s="25" t="str">
        <f>INDEX(X_Table_Dairy_ProductionSystems_Method1,3,1)</f>
        <v>Milking shed</v>
      </c>
      <c r="E20" s="25" t="str">
        <f>INDEX(X_Table_Dairy_Stage1MMS_1_SumpAndDispersal,2,1)</f>
        <v>Sump and dispersal system</v>
      </c>
      <c r="F20" s="25">
        <f>INDEX(M1_Table_MN_j_m,3,3)</f>
        <v>399.24605684746678</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399.24605684746678</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Crop pasture farm input'!A1", "Crop pasture farm input")</f>
        <v>Crop pasture farm input</v>
      </c>
      <c r="D21" s="25" t="str">
        <f>INDEX(X_Table_Dairy_ProductionSystems_Method1,3,1)</f>
        <v>Milking shed</v>
      </c>
      <c r="E21" s="25" t="str">
        <f>INDEX(X_Table_Dairy_Stage1MMS_1_DrainsToPaddock,2,1)</f>
        <v>Drains to paddock</v>
      </c>
      <c r="F21" s="25">
        <f>INDEX(M1_Table_MN_j_m,4,3)</f>
        <v>399.24605684746678</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399.24605684746678</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Livestock farm Inputs'!A1", "Livestock farm Inputs")</f>
        <v>Livestock farm Inputs</v>
      </c>
      <c r="D22" s="25" t="str">
        <f>INDEX(X_Table_Dairy_ProductionSystems_Method1,3,1)</f>
        <v>Milking shed</v>
      </c>
      <c r="E22" s="25" t="s">
        <v>76</v>
      </c>
      <c r="F22" s="25">
        <f>INDEX(M1_Table_MN_j_m,5,3)</f>
        <v>798.49211369493332</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76</v>
      </c>
      <c r="Q22" s="25">
        <f>INDEX(M2_Table_MN_j_m,5,3)</f>
        <v>798.49211369493332</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Freight'!A1", "Freight")</f>
        <v>Freight</v>
      </c>
      <c r="D23" s="25" t="str">
        <f>INDEX(X_Table_Dairy_ProductionSystems_Method1,4,1)</f>
        <v>Feed pad</v>
      </c>
      <c r="E23" s="25" t="str">
        <f>INDEX(X_Table_Dairy_Stage1MMS_2_AnaerobicLagoon,2,1)</f>
        <v>Anaerobic lagoon</v>
      </c>
      <c r="F23" s="25">
        <f>INDEX(M1_Table_MN_j_m,6,3)</f>
        <v>1615.131775428388</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1615.131775428388</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A24" s="5" t="str">
        <f>HYPERLINK("#'Input - Manure sent off-site'!A1", "Manure sent off-site")</f>
        <v>Manure sent off-site</v>
      </c>
      <c r="D24" s="25" t="str">
        <f>INDEX(X_Table_Dairy_ProductionSystems_Method1,4,1)</f>
        <v>Feed pad</v>
      </c>
      <c r="E24" s="25" t="str">
        <f>INDEX(X_Table_Dairy_Stage1MMS_2_SumpAndDispersal,2,1)</f>
        <v>Sump and dispersal system</v>
      </c>
      <c r="F24" s="25">
        <f>INDEX(M1_Table_MN_j_m,7,3)</f>
        <v>1292.1054203427104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1292.1054203427104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A25" s="5" t="str">
        <f>HYPERLINK("#'Input - Solid waste'!A1", "Solid waste")</f>
        <v>Solid waste</v>
      </c>
      <c r="D25" s="25" t="str">
        <f>INDEX(X_Table_Dairy_ProductionSystems_Method1,4,1)</f>
        <v>Feed pad</v>
      </c>
      <c r="E25" s="25" t="str">
        <f>INDEX(X_Table_Dairy_Stage1MMS_2_DrainsToPaddock,2,1)</f>
        <v>Drains to paddock</v>
      </c>
      <c r="F25" s="25">
        <f>INDEX(M1_Table_MN_j_m,8,3)</f>
        <v>1292.1054203427104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1292.1054203427104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5" t="str">
        <f>HYPERLINK("#'Input - Data quality'!A1", "Data quality")</f>
        <v>Data quality</v>
      </c>
      <c r="D26" s="25" t="str">
        <f>INDEX(X_Table_Dairy_ProductionSystems_Method1,4,1)</f>
        <v>Feed pad</v>
      </c>
      <c r="E26" s="25" t="s">
        <v>76</v>
      </c>
      <c r="F26" s="25">
        <f>INDEX(M1_Table_MN_j_m,9,3)</f>
        <v>2261.1844855997429</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76</v>
      </c>
      <c r="Q26" s="25">
        <f>INDEX(M2_Table_MN_j_m,9,3)</f>
        <v>2261.1844855997429</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row r="28" spans="1:22" ht="20.100000000000001" customHeight="1" x14ac:dyDescent="0.25">
      <c r="D28" s="122" t="s">
        <v>414</v>
      </c>
    </row>
    <row r="29" spans="1:22" ht="20.100000000000001" customHeight="1" x14ac:dyDescent="0.25">
      <c r="A29" s="6" t="s">
        <v>2</v>
      </c>
      <c r="D29" s="123" t="s">
        <v>415</v>
      </c>
    </row>
    <row r="30" spans="1:22" ht="20.100000000000001" customHeight="1" x14ac:dyDescent="0.25">
      <c r="A30" s="5" t="str">
        <f>HYPERLINK("#'5.1.1.1-2 Inorganic fert N2O'!A1", "5.1.1.1-2 Inorganic fert N2O")</f>
        <v>5.1.1.1-2 Inorganic fert N2O</v>
      </c>
      <c r="D30" s="124" t="s">
        <v>307</v>
      </c>
      <c r="E30" s="124" t="s">
        <v>416</v>
      </c>
    </row>
    <row r="31" spans="1:22" ht="20.100000000000001" customHeight="1" x14ac:dyDescent="0.25">
      <c r="A31" s="5" t="str">
        <f>HYPERLINK("#'5.1.1.3-4 Inorganic fert CO2'!A1", "5.1.1.3-4 Inorganic fert CO2")</f>
        <v>5.1.1.3-4 Inorganic fert CO2</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HYPERLINK("#'5.2.1.1-2 Organic Fert N2O'!A1", "5.2.1.1-2 Organic fert N2O")</f>
        <v>5.2.1.1-2 Organic fert N2O</v>
      </c>
      <c r="D32" s="25" t="str">
        <v>Anaerobic lagoon</v>
      </c>
      <c r="E32" s="25">
        <v>0.35</v>
      </c>
      <c r="F32" s="26"/>
    </row>
    <row r="33" spans="1:22" ht="20.100000000000001" customHeight="1" x14ac:dyDescent="0.25">
      <c r="A33" s="5" t="str">
        <f>HYPERLINK("#'5.3.1.1-2 Lime CO2'!A1", "5.3.1.1-2 Lime CO2")</f>
        <v>5.3.1.1-2 Lime CO2</v>
      </c>
      <c r="D33" s="25" t="str">
        <v>Sump and dispersal system</v>
      </c>
      <c r="E33" s="25">
        <v>7.0000000000000007E-2</v>
      </c>
      <c r="F33" s="26"/>
    </row>
    <row r="34" spans="1:22" ht="20.100000000000001" customHeight="1" x14ac:dyDescent="0.25">
      <c r="A34" s="5" t="str">
        <f>HYPERLINK("#'5.4.1.1-4 Atmos deposition'!A1", "5.4.1.1-4 Atmos. deposition")</f>
        <v>5.4.1.1-4 Atmos. deposition</v>
      </c>
      <c r="D34" s="25" t="str">
        <v>Drains to paddock</v>
      </c>
      <c r="E34" s="25">
        <v>0.2</v>
      </c>
      <c r="F34" s="26"/>
    </row>
    <row r="35" spans="1:22" ht="20.100000000000001" customHeight="1" x14ac:dyDescent="0.25">
      <c r="A35" s="5" t="str">
        <f>HYPERLINK("#'5.5.1.1-2 Leaching and runoff'!A1", "5.5.1.1-2 Leaching &amp; runoff")</f>
        <v>5.5.1.1-2 Leaching &amp; runoff</v>
      </c>
      <c r="D35" s="25" t="str">
        <v>Solid storage</v>
      </c>
      <c r="E35" s="25">
        <v>0.3</v>
      </c>
      <c r="F35" s="26"/>
    </row>
    <row r="36" spans="1:22" ht="20.100000000000001" customHeight="1" x14ac:dyDescent="0.25">
      <c r="A36" s="5" t="str">
        <f>HYPERLINK("#'6.2.1.1-2 Pasture residue N2O'!A1", "6.2.1.1-2 Pasture residue N2O")</f>
        <v>6.2.1.1-2 Pasture residue N2O</v>
      </c>
    </row>
    <row r="37" spans="1:22" ht="20.100000000000001" customHeight="1" x14ac:dyDescent="0.25">
      <c r="A37" s="5" t="str">
        <f>HYPERLINK("#'6.3.1.1-2 Leach runoff pasture'!A1", "6.3.1.1-2 Leach &amp; runoff (pasture)")</f>
        <v>6.3.1.1-2 Leach &amp; runoff (pasture)</v>
      </c>
      <c r="D37" s="122" t="s">
        <v>417</v>
      </c>
      <c r="O37" s="122" t="s">
        <v>418</v>
      </c>
    </row>
    <row r="38" spans="1:22" ht="20.100000000000001" customHeight="1" x14ac:dyDescent="0.25">
      <c r="A38" s="5" t="str">
        <f>HYPERLINK("#'8.1.1.1-2 Transport fuel'!A1", "8.1.1.1-2 Transport fuel")</f>
        <v>8.1.1.1-2 Transport fuel</v>
      </c>
      <c r="D38" s="123" t="s">
        <v>419</v>
      </c>
      <c r="O38" s="123" t="s">
        <v>420</v>
      </c>
    </row>
    <row r="39" spans="1:22" ht="20.100000000000001" customHeight="1" x14ac:dyDescent="0.25">
      <c r="A39" s="5" t="str">
        <f>HYPERLINK("#'8.2.1.1-2 Stationary fuel'!A1", "8.2.1.1-2 Stationary fuel")</f>
        <v>8.2.1.1-2 Stationary fuel</v>
      </c>
      <c r="D39" s="124" t="s">
        <v>168</v>
      </c>
      <c r="E39" s="124" t="s">
        <v>307</v>
      </c>
      <c r="F39" s="124" t="s">
        <v>213</v>
      </c>
      <c r="G39" s="124" t="s">
        <v>214</v>
      </c>
      <c r="H39" s="124" t="s">
        <v>215</v>
      </c>
      <c r="I39" s="124" t="s">
        <v>216</v>
      </c>
      <c r="J39" s="124" t="s">
        <v>217</v>
      </c>
      <c r="O39" s="124" t="s">
        <v>168</v>
      </c>
      <c r="P39" s="124" t="s">
        <v>307</v>
      </c>
      <c r="Q39" s="124" t="s">
        <v>213</v>
      </c>
      <c r="R39" s="124" t="s">
        <v>214</v>
      </c>
      <c r="S39" s="124" t="s">
        <v>215</v>
      </c>
      <c r="T39" s="124" t="s">
        <v>216</v>
      </c>
      <c r="U39" s="124" t="s">
        <v>217</v>
      </c>
    </row>
    <row r="40" spans="1:22" ht="20.100000000000001" customHeight="1" x14ac:dyDescent="0.25">
      <c r="A40" s="5" t="str">
        <f>HYPERLINK("#'14.1.1-2 Purchased electricity'!A1", "14.1.1-2 Purchased electricity")</f>
        <v>14.1.1-2 Purchased electricity</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139.73611989661336</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139.73611989661336</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HYPERLINK("#'15 Scope 3'!A1", "15 Scope 3")</f>
        <v>15 Scope 3</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27.947223979322676</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27.947223979322676</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5" t="str">
        <f>HYPERLINK("#'Calcs - Manure sent off-site'!A1", "Calcs - Manure sent off-site")</f>
        <v>Calcs - Manure sent off-site</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79.849211369493361</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79.849211369493361</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5" t="str">
        <f>HYPERLINK("#'4.3.1.1-2 Methane'!A1", "4.3.1.1-2 Methane")</f>
        <v>4.3.1.1-2 Methane</v>
      </c>
      <c r="D43" s="25" t="str">
        <f>INDEX(X_Table_Dairy_ProductionSystems_Method1,3,1)</f>
        <v>Milking shed</v>
      </c>
      <c r="E43" s="25" t="s">
        <v>76</v>
      </c>
      <c r="F43" s="25" cm="1">
        <f t="array" ref="F43">MMS_Dairy_AtmosphericDeposition_Equations.VEERG_4_3_1_5__2_TotalNitrogenVolatilisedFromMMS(F22,$E35)</f>
        <v>239.54763410848</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76</v>
      </c>
      <c r="Q43" s="25" cm="1">
        <f t="array" ref="Q43">MMS_Dairy_AtmosphericDeposition_Equations.VEERG_4_3_1_5__2_TotalNitrogenVolatilisedFromMMS(Q22,$E35)</f>
        <v>239.54763410848</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HYPERLINK("#'4.3.1.3-4 Direct N20'!A1", "4.3.1.3-4 Direct N20")</f>
        <v>4.3.1.3-4 Direct N20</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565.29612139993571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565.29612139993571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119" t="str">
        <f>HYPERLINK("#'4.3.1.5 Atmos deposition'!A1", "4.3.1.5 Atmos deposition")</f>
        <v>4.3.1.5 Atmos deposition</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90.447379423989744</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90.447379423989744</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HYPERLINK("#'4.3.1.6-7 Leaching and runoff'!A1", "4.3.1.6-7 Leaching and runoff")</f>
        <v>4.3.1.6-7 Leaching and runoff</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258.42108406854209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258.42108406854209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HYPERLINK("#'4.3.1.8 Manure applied to soils'!A1", "4.3.1.8 Manure applied to soils")</f>
        <v>4.3.1.8 Manure applied to soils</v>
      </c>
      <c r="D47" s="25" t="str">
        <f>INDEX(X_Table_Dairy_ProductionSystems_Method1,4,1)</f>
        <v>Feed pad</v>
      </c>
      <c r="E47" s="25" t="s">
        <v>76</v>
      </c>
      <c r="F47" s="25" cm="1">
        <f t="array" ref="F47">MMS_Dairy_AtmosphericDeposition_Equations.VEERG_4_3_1_5__2_TotalNitrogenVolatilisedFromMMS(F26, $E35)</f>
        <v>678.35534567992283</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76</v>
      </c>
      <c r="Q47" s="25" cm="1">
        <f t="array" ref="Q47">MMS_Dairy_AtmosphericDeposition_Equations.VEERG_4_3_1_5__2_TotalNitrogenVolatilisedFromMMS(Q26, $E35)</f>
        <v>678.35534567992283</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HYPERLINK("#'4.3.1.9 Soil direct N2O'!A1", "4.3.1.9 Soil direct N2O")</f>
        <v>4.3.1.9 Soil direct N2O</v>
      </c>
    </row>
    <row r="49" spans="1:23" ht="20.100000000000001" customHeight="1" x14ac:dyDescent="0.25">
      <c r="A49" s="5" t="str">
        <f>HYPERLINK("#'4.3.1.10-11 Soil Atmos Dep'!A1", "4.3.1.10-11 Soil Atmos Dep")</f>
        <v>4.3.1.10-11 Soil Atmos Dep</v>
      </c>
      <c r="D49" s="142" t="s">
        <v>421</v>
      </c>
      <c r="E49" s="101">
        <f>SUM(F40:J47)</f>
        <v>5101.668293837286</v>
      </c>
      <c r="F49" s="140" t="str">
        <f>$E$11</f>
        <v>kg N</v>
      </c>
      <c r="O49" s="142" t="s">
        <v>421</v>
      </c>
      <c r="P49" s="101">
        <f>SUM(Q40:U47)</f>
        <v>5101.668293837286</v>
      </c>
      <c r="Q49" s="140" t="str">
        <f>$E$11</f>
        <v>kg N</v>
      </c>
    </row>
    <row r="50" spans="1:23" ht="20.100000000000001" customHeight="1" x14ac:dyDescent="0.25">
      <c r="A50" s="5" t="str">
        <f>HYPERLINK("#'4.3.1.12-13 Soil leach runoff'!A1", "4.3.1.12-13 Soil leach runoff")</f>
        <v>4.3.1.12-13 Soil leach runoff</v>
      </c>
    </row>
    <row r="51" spans="1:23" ht="20.100000000000001" customHeight="1" x14ac:dyDescent="0.25">
      <c r="A51" s="5" t="str">
        <f>HYPERLINK("#'3.3.1.1-2 Enteric Methane'!A1", "3.3.1.1-2 Enteric Methane")</f>
        <v>3.3.1.1-2 Enteric Methane</v>
      </c>
    </row>
    <row r="52" spans="1:23" ht="20.100000000000001" customHeight="1" x14ac:dyDescent="0.25">
      <c r="A52" s="5" t="str">
        <f>HYPERLINK("#'10.1.1-2 Solid waste treatment'!A1", "10.1.1-2 Solid waste treatment")</f>
        <v>10.1.1-2 Solid waste treatment</v>
      </c>
      <c r="C52" s="101"/>
      <c r="D52" s="101"/>
      <c r="E52" s="101"/>
      <c r="F52" s="101"/>
      <c r="G52" s="101"/>
      <c r="H52" s="101"/>
      <c r="I52" s="101"/>
      <c r="J52" s="101"/>
      <c r="K52" s="101"/>
      <c r="L52" s="101"/>
      <c r="N52" s="101"/>
      <c r="O52" s="101"/>
      <c r="P52" s="101"/>
      <c r="Q52" s="101"/>
      <c r="R52" s="101"/>
      <c r="S52" s="101"/>
      <c r="T52" s="101"/>
      <c r="U52" s="101"/>
      <c r="V52" s="101"/>
      <c r="W52" s="101"/>
    </row>
    <row r="53" spans="1:23" ht="20.100000000000001" customHeight="1" x14ac:dyDescent="0.25">
      <c r="D53" s="2" t="str" cm="1">
        <f t="array" ref="D53">MMS_Dairy_AtmosphericDeposition_Equations.VEERG_4_3_1_5__1_AnnualAtmosphericDepositionEmissionsFromMMS_Title()</f>
        <v>Annual atmospheric deposition emissions from MMS</v>
      </c>
    </row>
    <row r="54" spans="1:23" ht="20.100000000000001" customHeight="1" x14ac:dyDescent="0.25">
      <c r="D54" s="27" t="str" cm="1">
        <f t="array" ref="D54">MMS_Dairy_AtmosphericDeposition_Equations.VEERG_4_3_1_5__1_AnnualAtmosphericDepositionEmissionsFromMMS_Source()</f>
        <v>VEERG 2026: 4.3.1.5, Equation (1)</v>
      </c>
    </row>
    <row r="55" spans="1:23" ht="20.100000000000001" customHeight="1" x14ac:dyDescent="0.25">
      <c r="A55" s="100" t="s">
        <v>1</v>
      </c>
      <c r="D55" s="118" t="s">
        <v>262</v>
      </c>
      <c r="E55" s="118"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Dairy'!A1", "Constants - Dairy")</f>
        <v>Constants - Dairy</v>
      </c>
    </row>
    <row r="57" spans="1:23" ht="20.100000000000001" customHeight="1" x14ac:dyDescent="0.25">
      <c r="A57" s="5" t="str">
        <f>HYPERLINK("#'Constants - Ag Residue'!A1", "Constants - Ag residue")</f>
        <v>Constants - Ag residue</v>
      </c>
      <c r="D57" s="2"/>
      <c r="H57" s="1" t="s">
        <v>422</v>
      </c>
    </row>
    <row r="58" spans="1:23" ht="20.100000000000001" customHeight="1" x14ac:dyDescent="0.25">
      <c r="A58" s="5" t="str">
        <f>HYPERLINK("#'Constants - Common Livestock'!A1", "Constants - Common Livestock")</f>
        <v>Constants - Common Livestock</v>
      </c>
      <c r="D58" s="87" t="s">
        <v>263</v>
      </c>
      <c r="E58" s="1" t="str" cm="1">
        <f t="array" ref="E58">MMS_Dairy_AtmosphericDeposition_Equations.VEERG_4_3_1_5__1_AnnualAtmosphericDepositionEmissionsFromMMS_Variable()</f>
        <v>E_N2OMMSad</v>
      </c>
    </row>
    <row r="59" spans="1:23" ht="20.100000000000001" customHeight="1" x14ac:dyDescent="0.25">
      <c r="A59" s="5" t="str">
        <f>HYPERLINK("#'Constants - Electricity'!A1", "Constants - Electricity")</f>
        <v>Constants - Electricity</v>
      </c>
      <c r="D59" s="87" t="s">
        <v>122</v>
      </c>
      <c r="E59" s="15" t="str" cm="1">
        <f t="array" ref="E59">MMS_Dairy_AtmosphericDeposition_Equations.VEERG_4_3_1_5__1_AnnualAtmosphericDepositionEmissionsFromMMS_Unit()</f>
        <v>t N2O</v>
      </c>
    </row>
    <row r="60" spans="1:23" ht="20.100000000000001" customHeight="1" x14ac:dyDescent="0.25">
      <c r="A60" s="5" t="str">
        <f>HYPERLINK("#'Constants - Fertiliser'!A1", "Constants - Fertiliser")</f>
        <v>Constants - Fertiliser</v>
      </c>
    </row>
    <row r="61" spans="1:23" ht="20.100000000000001" customHeight="1" x14ac:dyDescent="0.25">
      <c r="A61" s="5" t="str">
        <f>HYPERLINK("#'Constants - Fuel'!A1", "Constants - Fuel")</f>
        <v>Constants - Fuel</v>
      </c>
      <c r="D61" s="120" t="str" cm="1">
        <f t="array" ref="D61:E66">_xlfn.CHOOSECOLS(MMS_Dairy_AtmosphericDeposition_Equations.VEERG_4_3_1_5__1_AnnualAtmosphericDepositionEmissionsFromMMS_Arguments(),1,2)</f>
        <v>MN_ATMOS</v>
      </c>
      <c r="E61" s="125" t="str">
        <v>mass of N volatilised from MMS</v>
      </c>
      <c r="F61" s="126"/>
      <c r="G61" s="120" t="str" cm="1">
        <f t="array" ref="G61:H66">_xlfn.CHOOSECOLS(MMS_Dairy_AtmosphericDeposition_Equations.VEERG_4_3_1_5__1_AnnualAtmosphericDepositionEmissionsFromMMS_Arguments(),3,4)</f>
        <v>kg N</v>
      </c>
      <c r="H61" s="128" t="str">
        <v>Calculated from 4.3.1.5 (2)</v>
      </c>
      <c r="I61" s="120">
        <f>$E$49</f>
        <v>5101.668293837286</v>
      </c>
      <c r="O61" s="132" t="str">
        <f>D61</f>
        <v>MN_ATMOS</v>
      </c>
      <c r="P61" s="138" t="str">
        <f>E61</f>
        <v>mass of N volatilised from MMS</v>
      </c>
      <c r="Q61" s="143"/>
      <c r="R61" s="132">
        <f>$P$49</f>
        <v>5101.668293837286</v>
      </c>
    </row>
    <row r="62" spans="1:23" ht="20.100000000000001" customHeight="1" x14ac:dyDescent="0.25">
      <c r="A62" s="5" t="str">
        <f>HYPERLINK("#'Constants - Scope 3'!A1", "Constants - Scope 3")</f>
        <v>Constants - Scope 3</v>
      </c>
      <c r="D62" s="120" t="str">
        <v>EF_N2O</v>
      </c>
      <c r="E62" s="125" t="str">
        <v>nitrous oxide emission factor for atmospheric deposition</v>
      </c>
      <c r="F62" s="126"/>
      <c r="G62" s="120" t="str">
        <v>kg N2O-N/kg N</v>
      </c>
      <c r="H62" s="128" t="str">
        <v>Constant</v>
      </c>
      <c r="I62" s="120">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2"/>
      <c r="P62" s="138"/>
      <c r="Q62" s="143"/>
      <c r="R62" s="132"/>
    </row>
    <row r="63" spans="1:23" ht="20.100000000000001" customHeight="1" x14ac:dyDescent="0.25">
      <c r="A63" s="5" t="str">
        <f>HYPERLINK("#'Constants - Common'!A1", "Constants - Common")</f>
        <v>Constants - Common</v>
      </c>
      <c r="D63" s="120" t="str">
        <v>C_N2O</v>
      </c>
      <c r="E63" s="125" t="str">
        <v>factor to convert elemental mass of N2O to molecular mass</v>
      </c>
      <c r="F63" s="126"/>
      <c r="G63" s="120" t="str">
        <v/>
      </c>
      <c r="H63" s="128" t="str">
        <v>Constant</v>
      </c>
      <c r="I63" s="120">
        <f>Common_InputFunctions.Utility_LookupValueInTableNumber("N2O",Table_GasToMolecularConversionFactor[Gas],Table_GasToMolecularConversionFactor[Conversion factor combined])</f>
        <v>1.5714285714285714</v>
      </c>
      <c r="O63" s="132"/>
      <c r="P63" s="138"/>
      <c r="Q63" s="143"/>
      <c r="R63" s="132"/>
    </row>
    <row r="64" spans="1:23" ht="20.100000000000001" customHeight="1" x14ac:dyDescent="0.25">
      <c r="A64" s="5" t="str">
        <f>HYPERLINK("#'Acknowledgements'!A1", "Acknowledgements")</f>
        <v>Acknowledgements</v>
      </c>
      <c r="D64" s="120" t="str">
        <v>j</v>
      </c>
      <c r="E64" s="125" t="str">
        <v>production system</v>
      </c>
      <c r="F64" s="126"/>
      <c r="G64" s="120" t="str">
        <v/>
      </c>
      <c r="H64" s="121" t="str">
        <v>Input</v>
      </c>
      <c r="I64" s="120" t="str">
        <f>X_Cell_Dairy_ManureAppliedProductionSystem</f>
        <v>Pasture</v>
      </c>
      <c r="O64" s="132"/>
      <c r="P64" s="138"/>
      <c r="Q64" s="143"/>
      <c r="R64" s="132"/>
    </row>
    <row r="65" spans="1:18" ht="20.100000000000001" customHeight="1" x14ac:dyDescent="0.25">
      <c r="A65" s="5" t="str">
        <f>HYPERLINK("#'Constants - Solid Waste'!A1", "Constants - Solid Waste")</f>
        <v>Constants - Solid Waste</v>
      </c>
      <c r="D65" s="120" t="str">
        <v>ir</v>
      </c>
      <c r="E65" s="125" t="str">
        <v>irrigation method</v>
      </c>
      <c r="F65" s="126"/>
      <c r="G65" s="120" t="str">
        <v/>
      </c>
      <c r="H65" s="121" t="str">
        <v>Input</v>
      </c>
      <c r="I65" s="120" t="str">
        <f>X_Cell_Dairy_ManureAppliedIrrigationMethod</f>
        <v>Sprinkler irrigation</v>
      </c>
      <c r="O65" s="132"/>
      <c r="P65" s="138"/>
      <c r="Q65" s="143"/>
      <c r="R65" s="132"/>
    </row>
    <row r="66" spans="1:18" ht="20.100000000000001" customHeight="1" x14ac:dyDescent="0.25">
      <c r="D66" s="120" t="str">
        <v>r</v>
      </c>
      <c r="E66" s="125" t="str">
        <v>rainfall region</v>
      </c>
      <c r="F66" s="126"/>
      <c r="G66" s="120" t="str">
        <v/>
      </c>
      <c r="H66" s="121" t="str">
        <v>Input</v>
      </c>
      <c r="I66" s="120" t="str">
        <f>X_Cell_Site_RainfallZone</f>
        <v>High rainfall</v>
      </c>
      <c r="O66" s="132"/>
      <c r="P66" s="138"/>
      <c r="Q66" s="143"/>
      <c r="R66" s="132"/>
    </row>
    <row r="67" spans="1:18" ht="20.100000000000001" customHeight="1" x14ac:dyDescent="0.25"/>
    <row r="68" spans="1:18" ht="20.100000000000001" customHeight="1" x14ac:dyDescent="0.25">
      <c r="D68" s="135" t="s">
        <v>423</v>
      </c>
      <c r="E68" s="136" cm="1">
        <f t="array" ref="E68">MMS_Dairy_AtmosphericDeposition_Equations.VEERG_4_3_1_5__1_AnnualAtmosphericDepositionEmissionsFromMMS($I$61,$I$62,$I$63)</f>
        <v>4.7299753181434263E-2</v>
      </c>
      <c r="F68" s="137" t="str">
        <f>$E$59</f>
        <v>t N2O</v>
      </c>
      <c r="O68" s="135" t="s">
        <v>423</v>
      </c>
      <c r="P68" s="136" cm="1">
        <f t="array" ref="P68">MMS_Dairy_AtmosphericDeposition_Equations.VEERG_4_3_1_5__1_AnnualAtmosphericDepositionEmissionsFromMMS($R$61,$I$62,$I$63)</f>
        <v>4.7299753181434263E-2</v>
      </c>
      <c r="Q68" s="137" t="str">
        <f>$E$59</f>
        <v>t N2O</v>
      </c>
    </row>
    <row r="69" spans="1:18" ht="20.100000000000001" customHeight="1" x14ac:dyDescent="0.25"/>
    <row r="70" spans="1:18" ht="20.100000000000001" customHeight="1" x14ac:dyDescent="0.25">
      <c r="D70" s="132" t="str" cm="1">
        <f t="array" ref="D70:E71">Common_Equations.Common_ConvertN2OToCO2e_Arguments()</f>
        <v>EN2O</v>
      </c>
      <c r="E70" s="138" t="str">
        <v>Nitrous oxide emissions (t N2O)</v>
      </c>
      <c r="F70" s="139"/>
      <c r="G70" s="25">
        <f>VEERG_4_3_1_5__1_AnnualAtmosphericDepositionEmissionsFromMMS_Result_Method1</f>
        <v>4.7299753181434263E-2</v>
      </c>
      <c r="O70" s="132" t="str" cm="1">
        <f t="array" ref="O70:P71">Common_Equations.Common_ConvertN2OToCO2e_Arguments()</f>
        <v>EN2O</v>
      </c>
      <c r="P70" s="138" t="str">
        <v>Nitrous oxide emissions (t N2O)</v>
      </c>
      <c r="Q70" s="139"/>
      <c r="R70" s="25">
        <f>VEERG_4_3_1_5__1_AnnualAtmosphericDepositionEmissionsFromMMS_Result_Method2</f>
        <v>4.7299753181434263E-2</v>
      </c>
    </row>
    <row r="71" spans="1:18" ht="20.100000000000001" customHeight="1" x14ac:dyDescent="0.25">
      <c r="D71" s="132" t="str">
        <v>GWPN2O</v>
      </c>
      <c r="E71" s="138" t="str">
        <v>Global warming potential for nitrous oxide (t CO2-e / t N2O)</v>
      </c>
      <c r="F71" s="139"/>
      <c r="G71" s="25">
        <f>Common_InputFunctions.Utility_LookupValueInTableNumber("N2O",Table_GWPData[Gas],Table_GWPData[CO2-e factor])</f>
        <v>265</v>
      </c>
      <c r="O71" s="132" t="str">
        <v>GWPN2O</v>
      </c>
      <c r="P71" s="138" t="str">
        <v>Global warming potential for nitrous oxide (t CO2-e / t N2O)</v>
      </c>
      <c r="Q71" s="139"/>
      <c r="R71" s="25">
        <f>Common_InputFunctions.Utility_LookupValueInTableNumber("N2O",Table_GWPData[Gas],Table_GWPData[CO2-e factor])</f>
        <v>265</v>
      </c>
    </row>
    <row r="72" spans="1:18" ht="20.100000000000001" customHeight="1" x14ac:dyDescent="0.25"/>
    <row r="73" spans="1:18" ht="20.100000000000001" customHeight="1" x14ac:dyDescent="0.25">
      <c r="D73" s="101" t="s">
        <v>412</v>
      </c>
      <c r="E73" s="101" cm="1">
        <f t="array" ref="E73">Common_Equations.Common_ConvertN2OToCO2e(G70,G71)</f>
        <v>12.53443459308008</v>
      </c>
      <c r="F73" s="140" t="str" cm="1">
        <f t="array" ref="F73">Common_Equations.Common_ConvertN2OToCO2e_Unit()</f>
        <v>t CO2e</v>
      </c>
      <c r="O73" s="101" t="s">
        <v>412</v>
      </c>
      <c r="P73" s="101" cm="1">
        <f t="array" ref="P73">Common_Equations.Common_ConvertN2OToCO2e(R70,R71)</f>
        <v>12.53443459308008</v>
      </c>
      <c r="Q73" s="140"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21CF4752-6BD0-45D8-9046-EF53BB3D2FD0}"/>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904D-215A-4EB3-96A6-6F6541B7A19D}">
  <dimension ref="A1:W165"/>
  <sheetViews>
    <sheetView showGridLines="0" topLeftCell="A4"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424</v>
      </c>
    </row>
    <row r="2" spans="1:23" s="3" customFormat="1" ht="20.100000000000001" customHeight="1" x14ac:dyDescent="0.25">
      <c r="A2"/>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8" t="s">
        <v>262</v>
      </c>
      <c r="E7" s="118"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7" t="s">
        <v>122</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8">_xlfn.CHOOSECOLS(MMS_Dairy_LeachingAndRunoff_Equations.VEERG_4_3_1_6__2_MassOfNitrogenLostToLeachingAndRunoffFromSolidStorage_Arguments(),1,2)</f>
        <v>MN_jm4</v>
      </c>
      <c r="E13" s="125" t="str">
        <v>total nitrogen in solid storage system m=4 (kg N)</v>
      </c>
      <c r="F13" s="133"/>
      <c r="G13" s="126"/>
      <c r="H13" s="120" t="str" cm="1">
        <f t="array" ref="H13:I18">_xlfn.CHOOSECOLS(MMS_Dairy_LeachingAndRunoff_Equations.VEERG_4_3_1_6__2_MassOfNitrogenLostToLeachingAndRunoffFromSolidStorage_Arguments(),3,4)</f>
        <v>kg N</v>
      </c>
      <c r="I13" s="128" t="str">
        <v>Calculated from 4.3.1.3 (2)</v>
      </c>
      <c r="J13" s="127"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20" t="str">
        <v>FracWET_i</v>
      </c>
      <c r="E14" s="125" t="str">
        <v>fraction of N that is available for leaching and runoff from the leaching zone z and irrigation type ir</v>
      </c>
      <c r="F14" s="133"/>
      <c r="G14" s="126"/>
      <c r="H14" s="120" t="str">
        <v>fraction</v>
      </c>
      <c r="I14" s="128" t="str">
        <v>Constant</v>
      </c>
      <c r="J14" s="120">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0" t="str">
        <v>FracLEACH_MS</v>
      </c>
      <c r="E15" s="125" t="str">
        <v>fraction of N that is lost through leaching and runoff</v>
      </c>
      <c r="F15" s="133"/>
      <c r="G15" s="126"/>
      <c r="H15" s="120" t="str">
        <v>fraction</v>
      </c>
      <c r="I15" s="128" t="str">
        <v>Constant</v>
      </c>
      <c r="J15" s="120">
        <f>SourceData_Dairy_FractionOfNitrogenLostThroughLeachingAndRunoffSolidStorage_Data</f>
        <v>0.02</v>
      </c>
    </row>
    <row r="16" spans="1:23" ht="20.100000000000001" customHeight="1" x14ac:dyDescent="0.25">
      <c r="A16" s="5" t="str">
        <f>HYPERLINK("#'Input - Fert Prod System'!A1", "Fert Prod System")</f>
        <v>Fert Prod System</v>
      </c>
      <c r="D16" s="120" t="str">
        <v>z</v>
      </c>
      <c r="E16" s="125" t="str">
        <v>location in leaching zone</v>
      </c>
      <c r="F16" s="133"/>
      <c r="G16" s="126"/>
      <c r="H16" s="120" t="str">
        <v/>
      </c>
      <c r="I16" s="121" t="str">
        <v>Input</v>
      </c>
      <c r="J16" s="120" t="str">
        <f>X_Cell_Site_LeachingZone</f>
        <v>NO - Not in leaching zone</v>
      </c>
    </row>
    <row r="17" spans="1:22" ht="20.100000000000001" customHeight="1" x14ac:dyDescent="0.25">
      <c r="A17" s="5" t="str">
        <f>HYPERLINK("#'Input - Fertiliser'!A1", "Fertiliser")</f>
        <v>Fertiliser</v>
      </c>
      <c r="D17" s="120" t="str">
        <v>j</v>
      </c>
      <c r="E17" s="125" t="str">
        <v>production system</v>
      </c>
      <c r="F17" s="133"/>
      <c r="G17" s="126"/>
      <c r="H17" s="120" t="str">
        <v/>
      </c>
      <c r="I17" s="121" t="str">
        <v>Input</v>
      </c>
      <c r="J17" s="120" t="str">
        <f>X_Cell_Dairy_ManureAppliedProductionSystem</f>
        <v>Pasture</v>
      </c>
    </row>
    <row r="18" spans="1:22" ht="20.100000000000001" customHeight="1" x14ac:dyDescent="0.25">
      <c r="A18" s="5" t="str">
        <f>HYPERLINK("#'Input - Fuel'!A1", "Fuel")</f>
        <v>Fuel</v>
      </c>
      <c r="D18" s="120" t="str">
        <v>ir</v>
      </c>
      <c r="E18" s="125" t="str">
        <v>irrigation method</v>
      </c>
      <c r="F18" s="133"/>
      <c r="G18" s="126"/>
      <c r="H18" s="120" t="str">
        <v/>
      </c>
      <c r="I18" s="121" t="str">
        <v>Input</v>
      </c>
      <c r="J18" s="120"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Common farm inputs'!A1", "Common farm inputs")</f>
        <v>Common farm inputs</v>
      </c>
      <c r="D20" s="122" t="s">
        <v>425</v>
      </c>
      <c r="O20" s="122" t="s">
        <v>426</v>
      </c>
    </row>
    <row r="21" spans="1:22" ht="20.100000000000001" customHeight="1" x14ac:dyDescent="0.25">
      <c r="A21" s="5" t="str">
        <f>HYPERLINK("#'Input - Crop pasture farm input'!A1", "Crop pasture farm input")</f>
        <v>Crop pasture farm input</v>
      </c>
      <c r="D21" s="123" t="s">
        <v>427</v>
      </c>
      <c r="O21" s="123" t="s">
        <v>428</v>
      </c>
    </row>
    <row r="22" spans="1:22" ht="20.100000000000001" customHeight="1" x14ac:dyDescent="0.25">
      <c r="A22" s="5" t="str">
        <f>HYPERLINK("#'Input - Livestock farm Inputs'!A1", "Livestock farm Inputs")</f>
        <v>Livestock farm Inputs</v>
      </c>
      <c r="D22" s="124" t="s">
        <v>168</v>
      </c>
      <c r="E22" s="124" t="s">
        <v>307</v>
      </c>
      <c r="F22" s="124" t="s">
        <v>213</v>
      </c>
      <c r="G22" s="124" t="s">
        <v>214</v>
      </c>
      <c r="H22" s="124" t="s">
        <v>215</v>
      </c>
      <c r="I22" s="124" t="s">
        <v>216</v>
      </c>
      <c r="J22" s="124" t="s">
        <v>217</v>
      </c>
      <c r="O22" s="124" t="s">
        <v>168</v>
      </c>
      <c r="P22" s="124" t="s">
        <v>307</v>
      </c>
      <c r="Q22" s="124" t="s">
        <v>213</v>
      </c>
      <c r="R22" s="124" t="s">
        <v>214</v>
      </c>
      <c r="S22" s="124" t="s">
        <v>215</v>
      </c>
      <c r="T22" s="124" t="s">
        <v>216</v>
      </c>
      <c r="U22" s="124" t="s">
        <v>217</v>
      </c>
    </row>
    <row r="23" spans="1:22" ht="20.100000000000001" customHeight="1" x14ac:dyDescent="0.25">
      <c r="A23" s="5" t="str">
        <f>HYPERLINK("#'Input - Freight'!A1", "Freight")</f>
        <v>Freight</v>
      </c>
      <c r="D23" s="25" t="str">
        <f>INDEX(X_Table_Dairy_ProductionSystems_Method1,3,1)</f>
        <v>Milking shed</v>
      </c>
      <c r="E23" s="25" t="s">
        <v>76</v>
      </c>
      <c r="F23" s="25">
        <f>INDEX(M1_Table_MN_j_m,5,3)</f>
        <v>798.49211369493332</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76</v>
      </c>
      <c r="Q23" s="25">
        <f>INDEX(M2_Table_MN_j_m,5,3)</f>
        <v>798.49211369493332</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A24" s="5" t="str">
        <f>HYPERLINK("#'Input - Manure sent off-site'!A1", "Manure sent off-site")</f>
        <v>Manure sent off-site</v>
      </c>
      <c r="D24" s="25" t="str">
        <f>INDEX(X_Table_Dairy_ProductionSystems_Method1,4,1)</f>
        <v>Feed pad</v>
      </c>
      <c r="E24" s="25" t="s">
        <v>76</v>
      </c>
      <c r="F24" s="25">
        <f>INDEX(M1_Table_MN_j_m,9,3)</f>
        <v>2261.1844855997429</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76</v>
      </c>
      <c r="Q24" s="25">
        <f>INDEX(M2_Table_MN_j_m,9,3)</f>
        <v>2261.1844855997429</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c r="A25" s="5" t="str">
        <f>HYPERLINK("#'Input - Solid waste'!A1", "Solid waste")</f>
        <v>Solid waste</v>
      </c>
    </row>
    <row r="26" spans="1:22" ht="20.100000000000001" customHeight="1" x14ac:dyDescent="0.25">
      <c r="A26" s="5" t="str">
        <f>HYPERLINK("#'Input - Data quality'!A1", "Data quality")</f>
        <v>Data quality</v>
      </c>
      <c r="D26" s="122" t="s">
        <v>429</v>
      </c>
      <c r="O26" s="122" t="s">
        <v>430</v>
      </c>
    </row>
    <row r="27" spans="1:22" ht="20.100000000000001" customHeight="1" x14ac:dyDescent="0.25">
      <c r="D27" s="123" t="s">
        <v>431</v>
      </c>
      <c r="O27" s="123" t="s">
        <v>432</v>
      </c>
    </row>
    <row r="28" spans="1:22" ht="20.100000000000001" customHeight="1" x14ac:dyDescent="0.25">
      <c r="D28" s="124" t="s">
        <v>168</v>
      </c>
      <c r="E28" s="124" t="s">
        <v>307</v>
      </c>
      <c r="F28" s="124" t="s">
        <v>213</v>
      </c>
      <c r="G28" s="124" t="s">
        <v>214</v>
      </c>
      <c r="H28" s="124" t="s">
        <v>215</v>
      </c>
      <c r="I28" s="124" t="s">
        <v>216</v>
      </c>
      <c r="J28" s="124" t="s">
        <v>217</v>
      </c>
      <c r="O28" s="124" t="s">
        <v>168</v>
      </c>
      <c r="P28" s="124" t="s">
        <v>307</v>
      </c>
      <c r="Q28" s="124" t="s">
        <v>213</v>
      </c>
      <c r="R28" s="124" t="s">
        <v>214</v>
      </c>
      <c r="S28" s="124" t="s">
        <v>215</v>
      </c>
      <c r="T28" s="124" t="s">
        <v>216</v>
      </c>
      <c r="U28" s="124" t="s">
        <v>217</v>
      </c>
    </row>
    <row r="29" spans="1:22" ht="20.100000000000001" customHeight="1" x14ac:dyDescent="0.25">
      <c r="A29" s="6" t="s">
        <v>2</v>
      </c>
      <c r="D29" s="25" t="str">
        <f>INDEX(X_Table_Dairy_ProductionSystems_Method1,3,1)</f>
        <v>Milking shed</v>
      </c>
      <c r="E29" s="25" t="s">
        <v>76</v>
      </c>
      <c r="F29" s="25" cm="1">
        <f t="array" ref="F29">MMS_Dairy_LeachingAndRunoff_Equations.VEERG_4_3_1_6__2_MassOfNitrogenLostToLeachingAndRunoffFromSolidStorage(F23,$J$14,$J$15)</f>
        <v>15.969842273898667</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76</v>
      </c>
      <c r="Q29" s="25" cm="1">
        <f t="array" ref="Q29">MMS_Dairy_LeachingAndRunoff_Equations.VEERG_4_3_1_6__2_MassOfNitrogenLostToLeachingAndRunoffFromSolidStorage(Q23,$J$14,$J$15)</f>
        <v>15.969842273898667</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HYPERLINK("#'5.1.1.1-2 Inorganic fert N2O'!A1", "5.1.1.1-2 Inorganic fert N2O")</f>
        <v>5.1.1.1-2 Inorganic fert N2O</v>
      </c>
      <c r="D30" s="25" t="str">
        <f>INDEX(X_Table_Dairy_ProductionSystems_Method1,4,1)</f>
        <v>Feed pad</v>
      </c>
      <c r="E30" s="25" t="s">
        <v>76</v>
      </c>
      <c r="F30" s="25" cm="1">
        <f t="array" ref="F30">MMS_Dairy_LeachingAndRunoff_Equations.VEERG_4_3_1_6__2_MassOfNitrogenLostToLeachingAndRunoffFromSolidStorage(F24,$J$14,$J$15)</f>
        <v>45.223689711994858</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76</v>
      </c>
      <c r="Q30" s="25" cm="1">
        <f t="array" ref="Q30">MMS_Dairy_LeachingAndRunoff_Equations.VEERG_4_3_1_6__2_MassOfNitrogenLostToLeachingAndRunoffFromSolidStorage(Q24,$J$14,$J$15)</f>
        <v>45.223689711994858</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HYPERLINK("#'5.1.1.3-4 Inorganic fert CO2'!A1", "5.1.1.3-4 Inorganic fert CO2")</f>
        <v>5.1.1.3-4 Inorganic fert CO2</v>
      </c>
    </row>
    <row r="32" spans="1:22" ht="20.100000000000001" customHeight="1" x14ac:dyDescent="0.25">
      <c r="A32" s="5" t="str">
        <f>HYPERLINK("#'5.2.1.1-2 Organic Fert N2O'!A1", "5.2.1.1-2 Organic fert N2O")</f>
        <v>5.2.1.1-2 Organic fert N2O</v>
      </c>
    </row>
    <row r="33" spans="1:23" ht="20.100000000000001" customHeight="1" x14ac:dyDescent="0.25">
      <c r="A33" s="5" t="str">
        <f>HYPERLINK("#'5.3.1.1-2 Lime CO2'!A1", "5.3.1.1-2 Lime CO2")</f>
        <v>5.3.1.1-2 Lime CO2</v>
      </c>
      <c r="C33" s="101"/>
      <c r="D33" s="101"/>
      <c r="E33" s="101"/>
      <c r="F33" s="101"/>
      <c r="G33" s="101"/>
      <c r="H33" s="101"/>
      <c r="I33" s="101"/>
      <c r="J33" s="101"/>
      <c r="K33" s="101"/>
      <c r="L33" s="101"/>
      <c r="N33" s="101"/>
      <c r="O33" s="101"/>
      <c r="P33" s="101"/>
      <c r="Q33" s="101"/>
      <c r="R33" s="101"/>
      <c r="S33" s="101"/>
      <c r="T33" s="101"/>
      <c r="U33" s="101"/>
      <c r="V33" s="101"/>
      <c r="W33" s="101"/>
    </row>
    <row r="34" spans="1:23" ht="20.100000000000001" customHeight="1" x14ac:dyDescent="0.25">
      <c r="A34" s="5" t="str">
        <f>HYPERLINK("#'5.4.1.1-4 Atmos deposition'!A1", "5.4.1.1-4 Atmos. deposition")</f>
        <v>5.4.1.1-4 Atmos. deposition</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HYPERLINK("#'5.5.1.1-2 Leaching and runoff'!A1", "5.5.1.1-2 Leaching &amp; runoff")</f>
        <v>5.5.1.1-2 Leaching &amp; runoff</v>
      </c>
      <c r="D35" s="27" t="str" cm="1">
        <f t="array" ref="D35">MMS_Dairy_LeachingAndRunoff_Equations.VEERG_4_3_1_6__1_AnnualEmissionsFromLeachingAndRunoffFromMMS_Source()</f>
        <v>VEERG 2026: 4.3.1.6, Equation (1)</v>
      </c>
    </row>
    <row r="36" spans="1:23" ht="20.100000000000001" customHeight="1" x14ac:dyDescent="0.25">
      <c r="A36" s="5" t="str">
        <f>HYPERLINK("#'6.2.1.1-2 Pasture residue N2O'!A1", "6.2.1.1-2 Pasture residue N2O")</f>
        <v>6.2.1.1-2 Pasture residue N2O</v>
      </c>
      <c r="D36" s="118" t="s">
        <v>262</v>
      </c>
      <c r="E36" s="118"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HYPERLINK("#'6.3.1.1-2 Leach runoff pasture'!A1", "6.3.1.1-2 Leach &amp; runoff (pasture)")</f>
        <v>6.3.1.1-2 Leach &amp; runoff (pasture)</v>
      </c>
    </row>
    <row r="38" spans="1:23" ht="20.100000000000001" customHeight="1" x14ac:dyDescent="0.25">
      <c r="A38" s="5" t="str">
        <f>HYPERLINK("#'8.1.1.1-2 Transport fuel'!A1", "8.1.1.1-2 Transport fuel")</f>
        <v>8.1.1.1-2 Transport fuel</v>
      </c>
      <c r="D38" s="2"/>
    </row>
    <row r="39" spans="1:23" ht="20.100000000000001" customHeight="1" x14ac:dyDescent="0.25">
      <c r="A39" s="5" t="str">
        <f>HYPERLINK("#'8.2.1.1-2 Stationary fuel'!A1", "8.2.1.1-2 Stationary fuel")</f>
        <v>8.2.1.1-2 Stationary fuel</v>
      </c>
      <c r="D39" s="87" t="s">
        <v>263</v>
      </c>
      <c r="E39" s="1" t="str" cm="1">
        <f t="array" ref="E39">MMS_Dairy_LeachingAndRunoff_Equations.VEERG_4_3_1_6__1_AnnualEmissionsFromLeachingAndRunoffFromMMS_Variable()</f>
        <v>E_N2Oleach</v>
      </c>
    </row>
    <row r="40" spans="1:23" ht="20.100000000000001" customHeight="1" x14ac:dyDescent="0.25">
      <c r="A40" s="5" t="str">
        <f>HYPERLINK("#'14.1.1-2 Purchased electricity'!A1", "14.1.1-2 Purchased electricity")</f>
        <v>14.1.1-2 Purchased electricity</v>
      </c>
      <c r="D40" s="87" t="s">
        <v>122</v>
      </c>
      <c r="E40" s="15" t="str" cm="1">
        <f t="array" ref="E40">MMS_Dairy_LeachingAndRunoff_Equations.VEERG_4_3_1_6__1_AnnualEmissionsFromLeachingAndRunoffFromMMS_Unit()</f>
        <v>t N2O</v>
      </c>
    </row>
    <row r="41" spans="1:23" ht="20.100000000000001" customHeight="1" x14ac:dyDescent="0.25">
      <c r="A41" s="5" t="str">
        <f>HYPERLINK("#'15 Scope 3'!A1", "15 Scope 3")</f>
        <v>15 Scope 3</v>
      </c>
    </row>
    <row r="42" spans="1:23" ht="20.100000000000001" customHeight="1" x14ac:dyDescent="0.25">
      <c r="A42" s="5" t="str">
        <f>HYPERLINK("#'Calcs - Manure sent off-site'!A1", "Calcs - Manure sent off-site")</f>
        <v>Calcs - Manure sent off-site</v>
      </c>
      <c r="D42" s="120" t="str" cm="1">
        <f t="array" ref="D42:E44">_xlfn.CHOOSECOLS(MMS_Dairy_LeachingAndRunoff_Equations.VEERG_4_3_1_6__1_AnnualEmissionsFromLeachingAndRunoffFromMMS_Arguments(),1,2)</f>
        <v>MNLeach_jm</v>
      </c>
      <c r="E42" s="125" t="str">
        <v>mass of N lost through leaching and runoff</v>
      </c>
      <c r="F42" s="126"/>
      <c r="G42" s="120" t="str" cm="1">
        <f t="array" ref="G42:H44">_xlfn.CHOOSECOLS(MMS_Dairy_LeachingAndRunoff_Equations.VEERG_4_3_1_6__1_AnnualEmissionsFromLeachingAndRunoffFromMMS_Arguments(),3,4)</f>
        <v>kg N</v>
      </c>
      <c r="H42" s="128" t="str">
        <v>Calculated from 4.3.1.6 (2)</v>
      </c>
      <c r="I42" s="127" t="str" cm="1">
        <f t="array" aca="1" ref="I42" ca="1">HYPERLINK(Common_InputFunctions.Utility_SourceHyperlink($D$26),$D$26)</f>
        <v>M1_Table_MN_leach_j_m-4</v>
      </c>
    </row>
    <row r="43" spans="1:23" ht="20.100000000000001" customHeight="1" x14ac:dyDescent="0.25">
      <c r="A43" s="5" t="str">
        <f>HYPERLINK("#'4.3.1.1-2 Methane'!A1", "4.3.1.1-2 Methane")</f>
        <v>4.3.1.1-2 Methane</v>
      </c>
      <c r="D43" s="120" t="str">
        <v>EF_leach</v>
      </c>
      <c r="E43" s="125" t="str">
        <v>nitrous oxide emission factor for leaching and runoff</v>
      </c>
      <c r="F43" s="126"/>
      <c r="G43" s="120" t="str">
        <v>kg N2O-N/kg N</v>
      </c>
      <c r="H43" s="128" t="str">
        <v>Constant</v>
      </c>
      <c r="I43" s="120">
        <f>SourceData_Dairy_EmissionFactorForLeachingAndRunoff_Data</f>
        <v>1.0999999999999999E-2</v>
      </c>
    </row>
    <row r="44" spans="1:23" ht="20.100000000000001" customHeight="1" x14ac:dyDescent="0.25">
      <c r="A44" s="5" t="str">
        <f>HYPERLINK("#'4.3.1.3-4 Direct N20'!A1", "4.3.1.3-4 Direct N20")</f>
        <v>4.3.1.3-4 Direct N20</v>
      </c>
      <c r="D44" s="120" t="str">
        <v>C_N2O</v>
      </c>
      <c r="E44" s="125" t="str">
        <v>factor to convert elemental mass of N2O to molecular mass</v>
      </c>
      <c r="F44" s="126"/>
      <c r="G44" s="120" t="str">
        <v/>
      </c>
      <c r="H44" s="128" t="str">
        <v>Constant</v>
      </c>
      <c r="I44" s="120">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HYPERLINK("#'4.3.1.5 Atmos deposition'!A1", "4.3.1.5 Atmos deposition")</f>
        <v>4.3.1.5 Atmos deposition</v>
      </c>
    </row>
    <row r="46" spans="1:23" ht="20.100000000000001" customHeight="1" x14ac:dyDescent="0.25">
      <c r="A46" s="119" t="str">
        <f>HYPERLINK("#'4.3.1.6-7 Leaching and runoff'!A1", "4.3.1.6-7 Leaching and runoff")</f>
        <v>4.3.1.6-7 Leaching and runoff</v>
      </c>
      <c r="D46" s="122" t="s">
        <v>433</v>
      </c>
      <c r="O46" s="122" t="s">
        <v>434</v>
      </c>
    </row>
    <row r="47" spans="1:23" ht="20.100000000000001" customHeight="1" x14ac:dyDescent="0.25">
      <c r="A47" s="5" t="str">
        <f>HYPERLINK("#'4.3.1.8 Manure applied to soils'!A1", "4.3.1.8 Manure applied to soils")</f>
        <v>4.3.1.8 Manure applied to soils</v>
      </c>
      <c r="D47" s="123" t="s">
        <v>435</v>
      </c>
      <c r="O47" s="123" t="s">
        <v>436</v>
      </c>
    </row>
    <row r="48" spans="1:23" ht="20.100000000000001" customHeight="1" x14ac:dyDescent="0.25">
      <c r="A48" s="5" t="str">
        <f>HYPERLINK("#'4.3.1.9 Soil direct N2O'!A1", "4.3.1.9 Soil direct N2O")</f>
        <v>4.3.1.9 Soil direct N2O</v>
      </c>
      <c r="D48" s="124" t="s">
        <v>168</v>
      </c>
      <c r="E48" s="124" t="s">
        <v>307</v>
      </c>
      <c r="F48" s="124" t="s">
        <v>213</v>
      </c>
      <c r="G48" s="124" t="s">
        <v>214</v>
      </c>
      <c r="H48" s="124" t="s">
        <v>215</v>
      </c>
      <c r="I48" s="124" t="s">
        <v>216</v>
      </c>
      <c r="J48" s="124" t="s">
        <v>217</v>
      </c>
      <c r="O48" s="124" t="s">
        <v>168</v>
      </c>
      <c r="P48" s="124" t="s">
        <v>307</v>
      </c>
      <c r="Q48" s="124" t="s">
        <v>213</v>
      </c>
      <c r="R48" s="124" t="s">
        <v>214</v>
      </c>
      <c r="S48" s="124" t="s">
        <v>215</v>
      </c>
      <c r="T48" s="124" t="s">
        <v>216</v>
      </c>
      <c r="U48" s="124" t="s">
        <v>217</v>
      </c>
    </row>
    <row r="49" spans="1:22" ht="20.100000000000001" customHeight="1" x14ac:dyDescent="0.25">
      <c r="A49" s="5" t="str">
        <f>HYPERLINK("#'4.3.1.10-11 Soil Atmos Dep'!A1", "4.3.1.10-11 Soil Atmos Dep")</f>
        <v>4.3.1.10-11 Soil Atmos Dep</v>
      </c>
      <c r="D49" s="25" t="str">
        <f>INDEX(X_Table_Dairy_ProductionSystems_Method1,3,1)</f>
        <v>Milking shed</v>
      </c>
      <c r="E49" s="25" t="s">
        <v>76</v>
      </c>
      <c r="F49" s="25" cm="1">
        <f t="array" ref="F49">MMS_Dairy_LeachingAndRunoff_Equations.VEERG_4_3_1_6__1_AnnualEmissionsFromLeachingAndRunoffFromMMS(F29,$I$43,$I$44)</f>
        <v>2.7605013073453405E-4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76</v>
      </c>
      <c r="Q49" s="25" cm="1">
        <f t="array" ref="Q49">MMS_Dairy_LeachingAndRunoff_Equations.VEERG_4_3_1_6__1_AnnualEmissionsFromLeachingAndRunoffFromMMS(Q29,$I$43,$I$44)</f>
        <v>2.7605013073453405E-4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A50" s="5" t="str">
        <f>HYPERLINK("#'4.3.1.12-13 Soil leach runoff'!A1", "4.3.1.12-13 Soil leach runoff")</f>
        <v>4.3.1.12-13 Soil leach runoff</v>
      </c>
      <c r="D50" s="25" t="str">
        <f>INDEX(X_Table_Dairy_ProductionSystems_Method1,4,1)</f>
        <v>Feed pad</v>
      </c>
      <c r="E50" s="25" t="s">
        <v>76</v>
      </c>
      <c r="F50" s="25" cm="1">
        <f t="array" ref="F50">MMS_Dairy_LeachingAndRunoff_Equations.VEERG_4_3_1_6__1_AnnualEmissionsFromLeachingAndRunoffFromMMS(F30,$I$43,$I$44)</f>
        <v>7.8172377930733959E-4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76</v>
      </c>
      <c r="Q50" s="25" cm="1">
        <f t="array" ref="Q50">MMS_Dairy_LeachingAndRunoff_Equations.VEERG_4_3_1_6__1_AnnualEmissionsFromLeachingAndRunoffFromMMS(Q30,$I$43,$I$44)</f>
        <v>7.8172377930733959E-4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c r="A51" s="5" t="str">
        <f>HYPERLINK("#'3.3.1.1-2 Enteric Methane'!A1", "3.3.1.1-2 Enteric Methane")</f>
        <v>3.3.1.1-2 Enteric Methane</v>
      </c>
    </row>
    <row r="52" spans="1:22" ht="20.100000000000001" customHeight="1" x14ac:dyDescent="0.25">
      <c r="A52" s="5" t="str">
        <f>HYPERLINK("#'10.1.1-2 Solid waste treatment'!A1", "10.1.1-2 Solid waste treatment")</f>
        <v>10.1.1-2 Solid waste treatment</v>
      </c>
      <c r="D52" s="135" t="s">
        <v>423</v>
      </c>
      <c r="E52" s="136">
        <f>SUM(F49:J50)</f>
        <v>2.5949275378480772E-3</v>
      </c>
      <c r="F52" s="137" t="str">
        <f>$E$40</f>
        <v>t N2O</v>
      </c>
      <c r="O52" s="135" t="s">
        <v>423</v>
      </c>
      <c r="P52" s="136">
        <f>SUM(Q49:U50)</f>
        <v>2.5949275378480772E-3</v>
      </c>
      <c r="Q52" s="137" t="str">
        <f>$E$40</f>
        <v>t N2O</v>
      </c>
    </row>
    <row r="53" spans="1:22" ht="20.100000000000001" customHeight="1" x14ac:dyDescent="0.25"/>
    <row r="54" spans="1:22" ht="20.100000000000001" customHeight="1" x14ac:dyDescent="0.25">
      <c r="D54" s="132" t="str" cm="1">
        <f t="array" ref="D54:E55">Common_Equations.Common_ConvertN2OToCO2e_Arguments()</f>
        <v>EN2O</v>
      </c>
      <c r="E54" s="138" t="str">
        <v>Nitrous oxide emissions (t N2O)</v>
      </c>
      <c r="F54" s="139"/>
      <c r="G54" s="25">
        <f>VEERG_4_3_1_6__1_AnnualEmissionsFromLeachingAndRunoffFromMMS_Result_Method1</f>
        <v>2.5949275378480772E-3</v>
      </c>
      <c r="O54" s="132" t="str" cm="1">
        <f t="array" ref="O54:P55">Common_Equations.Common_ConvertN2OToCO2e_Arguments()</f>
        <v>EN2O</v>
      </c>
      <c r="P54" s="138" t="str">
        <v>Nitrous oxide emissions (t N2O)</v>
      </c>
      <c r="Q54" s="139"/>
      <c r="R54" s="25">
        <f>VEERG_4_3_1_6__1_AnnualEmissionsFromLeachingAndRunoffFromMMS_Result_Method2</f>
        <v>2.5949275378480772E-3</v>
      </c>
    </row>
    <row r="55" spans="1:22" ht="20.100000000000001" customHeight="1" x14ac:dyDescent="0.25">
      <c r="A55" s="100" t="s">
        <v>1</v>
      </c>
      <c r="D55" s="132" t="str">
        <v>GWPN2O</v>
      </c>
      <c r="E55" s="138" t="str">
        <v>Global warming potential for nitrous oxide (t CO2-e / t N2O)</v>
      </c>
      <c r="F55" s="139"/>
      <c r="G55" s="25">
        <f>Common_InputFunctions.Utility_LookupValueInTableNumber("N2O",Table_GWPData[Gas],Table_GWPData[CO2-e factor])</f>
        <v>265</v>
      </c>
      <c r="O55" s="132" t="str">
        <v>GWPN2O</v>
      </c>
      <c r="P55" s="138" t="str">
        <v>Global warming potential for nitrous oxide (t CO2-e / t N2O)</v>
      </c>
      <c r="Q55" s="139"/>
      <c r="R55" s="25">
        <f>Common_InputFunctions.Utility_LookupValueInTableNumber("N2O",Table_GWPData[Gas],Table_GWPData[CO2-e factor])</f>
        <v>265</v>
      </c>
    </row>
    <row r="56" spans="1:22" ht="20.100000000000001" customHeight="1" x14ac:dyDescent="0.25">
      <c r="A56" s="5" t="str">
        <f>HYPERLINK("#'Constants - Dairy'!A1", "Constants - Dairy")</f>
        <v>Constants - Dairy</v>
      </c>
    </row>
    <row r="57" spans="1:22" ht="20.100000000000001" customHeight="1" x14ac:dyDescent="0.25">
      <c r="A57" s="5" t="str">
        <f>HYPERLINK("#'Constants - Ag Residue'!A1", "Constants - Ag residue")</f>
        <v>Constants - Ag residue</v>
      </c>
      <c r="D57" s="101" t="s">
        <v>412</v>
      </c>
      <c r="E57" s="101" cm="1">
        <f t="array" ref="E57">Common_Equations.Common_ConvertN2OToCO2e(G54,G55)</f>
        <v>0.68765579752974049</v>
      </c>
      <c r="F57" s="140" t="str" cm="1">
        <f t="array" ref="F57">Common_Equations.Common_ConvertN2OToCO2e_Unit()</f>
        <v>t CO2e</v>
      </c>
      <c r="O57" s="101" t="s">
        <v>412</v>
      </c>
      <c r="P57" s="101" cm="1">
        <f t="array" ref="P57">Common_Equations.Common_ConvertN2OToCO2e(R54,R55)</f>
        <v>0.68765579752974049</v>
      </c>
      <c r="Q57" s="140" t="str" cm="1">
        <f t="array" ref="Q57">Common_Equations.Common_ConvertN2OToCO2e_Unit()</f>
        <v>t CO2e</v>
      </c>
    </row>
    <row r="58" spans="1:22" ht="20.100000000000001" customHeight="1" x14ac:dyDescent="0.25">
      <c r="A58" s="5" t="str">
        <f>HYPERLINK("#'Constants - Common Livestock'!A1", "Constants - Common Livestock")</f>
        <v>Constants - Common Livestock</v>
      </c>
    </row>
    <row r="59" spans="1:22" ht="20.100000000000001" customHeight="1" x14ac:dyDescent="0.25">
      <c r="A59" s="5" t="str">
        <f>HYPERLINK("#'Constants - Electricity'!A1", "Constants - Electricity")</f>
        <v>Constants - Electricity</v>
      </c>
    </row>
    <row r="60" spans="1:22" ht="20.100000000000001" customHeight="1" x14ac:dyDescent="0.25">
      <c r="A60" s="5" t="str">
        <f>HYPERLINK("#'Constants - Fertiliser'!A1", "Constants - Fertiliser")</f>
        <v>Constants - Fertiliser</v>
      </c>
    </row>
    <row r="61" spans="1:22" ht="20.100000000000001" customHeight="1" x14ac:dyDescent="0.25">
      <c r="A61" s="5" t="str">
        <f>HYPERLINK("#'Constants - Fuel'!A1", "Constants - Fuel")</f>
        <v>Constants - Fuel</v>
      </c>
    </row>
    <row r="62" spans="1:22" ht="20.100000000000001" customHeight="1" x14ac:dyDescent="0.25">
      <c r="A62" s="5" t="str">
        <f>HYPERLINK("#'Constants - Scope 3'!A1", "Constants - Scope 3")</f>
        <v>Constants - Scope 3</v>
      </c>
    </row>
    <row r="63" spans="1:22" ht="20.100000000000001" customHeight="1" x14ac:dyDescent="0.25">
      <c r="A63" s="5" t="str">
        <f>HYPERLINK("#'Constants - Common'!A1", "Constants - Common")</f>
        <v>Constants - Common</v>
      </c>
    </row>
    <row r="64" spans="1:22"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27A76702-C7AE-4580-BD6D-EAA8266E532B}"/>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8EF16-E747-4C37-B066-3C1D1BC74C5F}">
  <dimension ref="A1:W207"/>
  <sheetViews>
    <sheetView showGridLines="0" topLeftCell="B53"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4"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437</v>
      </c>
      <c r="M1" s="144"/>
    </row>
    <row r="2" spans="1:23" s="3" customFormat="1" ht="20.100000000000001" customHeight="1" x14ac:dyDescent="0.25">
      <c r="A2"/>
      <c r="M2" s="144"/>
    </row>
    <row r="3" spans="1:23" ht="20.100000000000001" customHeight="1" x14ac:dyDescent="0.25">
      <c r="A3" s="5" t="str">
        <f>HYPERLINK("#'Home'!A1", "Home")</f>
        <v>Home</v>
      </c>
      <c r="C3" s="32"/>
      <c r="D3" s="32" t="s">
        <v>136</v>
      </c>
      <c r="E3" s="32"/>
      <c r="F3" s="32"/>
      <c r="G3" s="32"/>
      <c r="H3" s="32"/>
      <c r="I3" s="32"/>
      <c r="J3" s="32"/>
      <c r="K3" s="32"/>
      <c r="L3" s="32"/>
      <c r="N3" s="32"/>
      <c r="O3" s="32" t="s">
        <v>137</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8" t="s">
        <v>262</v>
      </c>
      <c r="E7" s="118"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7" t="s">
        <v>122</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7">_xlfn.CHOOSECOLS(MMS_Dairy_ManureAppliedToSoils_Equations.VEERG_4_3_1_8__1_MassOfNitrogenAppliedToSoilsScope1_Arguments(),1,2)</f>
        <v>MN_jm</v>
      </c>
      <c r="E13" s="125" t="str">
        <v>total nitrogen in each MMS for dairy cattle classes</v>
      </c>
      <c r="F13" s="126"/>
      <c r="G13" s="120" t="str" cm="1">
        <f t="array" ref="G13:H17">_xlfn.CHOOSECOLS(MMS_Dairy_ManureAppliedToSoils_Equations.VEERG_4_3_1_8__1_MassOfNitrogenAppliedToSoilsScope1_Arguments(),3,4)</f>
        <v>kg N</v>
      </c>
      <c r="H13" s="128" t="str">
        <v>Calculated from 4.3.1.3 (2)</v>
      </c>
      <c r="I13" s="127"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20" t="str">
        <v>EF_m</v>
      </c>
      <c r="E14" s="125" t="str">
        <v>emission factor for nitrous oxide emissions per MMS</v>
      </c>
      <c r="F14" s="126"/>
      <c r="G14" s="120" t="str">
        <v>kg N2O-N/kg N</v>
      </c>
      <c r="H14" s="128" t="str">
        <v>Constant</v>
      </c>
      <c r="I14" s="127" t="str" cm="1">
        <f t="array" aca="1" ref="I14" ca="1">HYPERLINK(Common_InputFunctions.Utility_SourceHyperlink($D$19),$D$19)</f>
        <v>Table_EF_m</v>
      </c>
    </row>
    <row r="15" spans="1:23" ht="20.100000000000001" customHeight="1" x14ac:dyDescent="0.25">
      <c r="A15" s="5" t="str">
        <f>HYPERLINK("#'Input - Pasture'!A1", "Pasture")</f>
        <v>Pasture</v>
      </c>
      <c r="D15" s="120" t="str">
        <v>FracGASM_m</v>
      </c>
      <c r="E15" s="125" t="str">
        <v>fraction of N volatilised from MMS</v>
      </c>
      <c r="F15" s="126"/>
      <c r="G15" s="120" t="str">
        <v>fraction</v>
      </c>
      <c r="H15" s="128" t="str">
        <v>Constant</v>
      </c>
      <c r="I15" s="127"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20" t="str">
        <v>MNLeach_jm</v>
      </c>
      <c r="E16" s="125" t="str">
        <v>mass of N lost through leaching and runoff from each MMS</v>
      </c>
      <c r="F16" s="126"/>
      <c r="G16" s="120" t="str">
        <v>kg N</v>
      </c>
      <c r="H16" s="128" t="str">
        <v>Calculated from 4.3.1.6 (2)</v>
      </c>
      <c r="I16" s="127" t="str" cm="1">
        <f t="array" aca="1" ref="I16" ca="1">HYPERLINK(Common_InputFunctions.Utility_SourceHyperlink($D$49),$D$49)</f>
        <v>M1_Table_MN_leach_j_m</v>
      </c>
    </row>
    <row r="17" spans="1:9" ht="20.100000000000001" customHeight="1" x14ac:dyDescent="0.25">
      <c r="A17" s="5" t="str">
        <f>HYPERLINK("#'Input - Fertiliser'!A1", "Fertiliser")</f>
        <v>Fertiliser</v>
      </c>
      <c r="D17" s="120" t="str">
        <v>PF_scope</v>
      </c>
      <c r="E17" s="125" t="str">
        <v>fraction of manure applied to soil within farm boundary</v>
      </c>
      <c r="F17" s="126"/>
      <c r="G17" s="120" t="str">
        <v>fraction</v>
      </c>
      <c r="H17" s="121" t="str">
        <v>Input</v>
      </c>
      <c r="I17" s="127"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2" t="s">
        <v>404</v>
      </c>
    </row>
    <row r="20" spans="1:9" ht="20.100000000000001" customHeight="1" x14ac:dyDescent="0.25">
      <c r="A20" s="5" t="str">
        <f>HYPERLINK("#'Input - Common farm inputs'!A1", "Common farm inputs")</f>
        <v>Common farm inputs</v>
      </c>
      <c r="D20" s="123" t="s">
        <v>405</v>
      </c>
    </row>
    <row r="21" spans="1:9" ht="20.100000000000001" customHeight="1" x14ac:dyDescent="0.25">
      <c r="A21" s="5" t="str">
        <f>HYPERLINK("#'Input - Crop pasture farm input'!A1", "Crop pasture farm input")</f>
        <v>Crop pasture farm input</v>
      </c>
      <c r="D21" s="124" t="s">
        <v>307</v>
      </c>
      <c r="E21" s="124" t="s">
        <v>406</v>
      </c>
    </row>
    <row r="22" spans="1:9" ht="20.100000000000001" customHeight="1" x14ac:dyDescent="0.25">
      <c r="A22" s="5" t="str">
        <f>HYPERLINK("#'Input - Livestock farm Inputs'!A1", "Livestock farm Inputs")</f>
        <v>Livestock farm Inputs</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Freight'!A1", "Freight")</f>
        <v>Freight</v>
      </c>
      <c r="D23" s="25" t="str">
        <v>Anaerobic lagoon</v>
      </c>
      <c r="E23" s="25">
        <v>0</v>
      </c>
    </row>
    <row r="24" spans="1:9" ht="20.100000000000001" customHeight="1" x14ac:dyDescent="0.25">
      <c r="A24" s="5" t="str">
        <f>HYPERLINK("#'Input - Manure sent off-site'!A1", "Manure sent off-site")</f>
        <v>Manure sent off-site</v>
      </c>
      <c r="D24" s="25" t="str">
        <v>Sump and dispersal system</v>
      </c>
      <c r="E24" s="25">
        <v>0</v>
      </c>
    </row>
    <row r="25" spans="1:9" ht="20.100000000000001" customHeight="1" x14ac:dyDescent="0.25">
      <c r="A25" s="5" t="str">
        <f>HYPERLINK("#'Input - Solid waste'!A1", "Solid waste")</f>
        <v>Solid waste</v>
      </c>
      <c r="D25" s="25" t="str">
        <v>Drains to paddock</v>
      </c>
      <c r="E25" s="25">
        <v>0</v>
      </c>
    </row>
    <row r="26" spans="1:9" ht="20.100000000000001" customHeight="1" x14ac:dyDescent="0.25">
      <c r="A26" s="5" t="str">
        <f>HYPERLINK("#'Input - Data quality'!A1", "Data quality")</f>
        <v>Data quality</v>
      </c>
      <c r="D26" s="25" t="str">
        <v>Solid storage</v>
      </c>
      <c r="E26" s="25">
        <v>5.0000000000000001E-3</v>
      </c>
    </row>
    <row r="27" spans="1:9" ht="20.100000000000001" customHeight="1" x14ac:dyDescent="0.25"/>
    <row r="28" spans="1:9" ht="20.100000000000001" customHeight="1" x14ac:dyDescent="0.25">
      <c r="D28" s="122" t="s">
        <v>414</v>
      </c>
    </row>
    <row r="29" spans="1:9" ht="20.100000000000001" customHeight="1" x14ac:dyDescent="0.25">
      <c r="A29" s="6" t="s">
        <v>2</v>
      </c>
      <c r="D29" s="123" t="s">
        <v>415</v>
      </c>
    </row>
    <row r="30" spans="1:9" ht="20.100000000000001" customHeight="1" x14ac:dyDescent="0.25">
      <c r="A30" s="5" t="str">
        <f>HYPERLINK("#'5.1.1.1-2 Inorganic fert N2O'!A1", "5.1.1.1-2 Inorganic fert N2O")</f>
        <v>5.1.1.1-2 Inorganic fert N2O</v>
      </c>
      <c r="D30" s="124" t="s">
        <v>307</v>
      </c>
      <c r="E30" s="124" t="s">
        <v>416</v>
      </c>
    </row>
    <row r="31" spans="1:9" ht="20.100000000000001" customHeight="1" x14ac:dyDescent="0.25">
      <c r="A31" s="5" t="str">
        <f>HYPERLINK("#'5.1.1.3-4 Inorganic fert CO2'!A1", "5.1.1.3-4 Inorganic fert CO2")</f>
        <v>5.1.1.3-4 Inorganic fert CO2</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HYPERLINK("#'5.2.1.1-2 Organic Fert N2O'!A1", "5.2.1.1-2 Organic fert N2O")</f>
        <v>5.2.1.1-2 Organic fert N2O</v>
      </c>
      <c r="D32" s="25" t="str">
        <v>Anaerobic lagoon</v>
      </c>
      <c r="E32" s="25">
        <v>0.35</v>
      </c>
      <c r="F32" s="26" t="str">
        <f>'Constants - Dairy'!$D$84</f>
        <v>kg N2O-N/kg N excreted</v>
      </c>
    </row>
    <row r="33" spans="1:22" ht="20.100000000000001" customHeight="1" x14ac:dyDescent="0.25">
      <c r="A33" s="5" t="str">
        <f>HYPERLINK("#'5.3.1.1-2 Lime CO2'!A1", "5.3.1.1-2 Lime CO2")</f>
        <v>5.3.1.1-2 Lime CO2</v>
      </c>
      <c r="D33" s="25" t="str">
        <v>Sump and dispersal system</v>
      </c>
      <c r="E33" s="25">
        <v>7.0000000000000007E-2</v>
      </c>
      <c r="F33" s="26" t="str">
        <f>'Constants - Dairy'!$D$84</f>
        <v>kg N2O-N/kg N excreted</v>
      </c>
    </row>
    <row r="34" spans="1:22" ht="20.100000000000001" customHeight="1" x14ac:dyDescent="0.25">
      <c r="A34" s="5" t="str">
        <f>HYPERLINK("#'5.4.1.1-4 Atmos deposition'!A1", "5.4.1.1-4 Atmos. deposition")</f>
        <v>5.4.1.1-4 Atmos. deposition</v>
      </c>
      <c r="D34" s="25" t="str">
        <v>Drains to paddock</v>
      </c>
      <c r="E34" s="25">
        <v>0.2</v>
      </c>
      <c r="F34" s="26" t="str">
        <f>'Constants - Dairy'!$D$84</f>
        <v>kg N2O-N/kg N excreted</v>
      </c>
    </row>
    <row r="35" spans="1:22" ht="20.100000000000001" customHeight="1" x14ac:dyDescent="0.25">
      <c r="A35" s="5" t="str">
        <f>HYPERLINK("#'5.5.1.1-2 Leaching and runoff'!A1", "5.5.1.1-2 Leaching &amp; runoff")</f>
        <v>5.5.1.1-2 Leaching &amp; runoff</v>
      </c>
      <c r="D35" s="25" t="str">
        <v>Solid storage</v>
      </c>
      <c r="E35" s="25">
        <v>0.3</v>
      </c>
      <c r="F35" s="26" t="str">
        <f>'Constants - Dairy'!$D$84</f>
        <v>kg N2O-N/kg N excreted</v>
      </c>
    </row>
    <row r="36" spans="1:22" ht="20.100000000000001" customHeight="1" x14ac:dyDescent="0.25">
      <c r="A36" s="5" t="str">
        <f>HYPERLINK("#'6.2.1.1-2 Pasture residue N2O'!A1", "6.2.1.1-2 Pasture residue N2O")</f>
        <v>6.2.1.1-2 Pasture residue N2O</v>
      </c>
    </row>
    <row r="37" spans="1:22" ht="20.100000000000001" customHeight="1" x14ac:dyDescent="0.25">
      <c r="A37" s="5" t="str">
        <f>HYPERLINK("#'6.3.1.1-2 Leach runoff pasture'!A1", "6.3.1.1-2 Leach &amp; runoff (pasture)")</f>
        <v>6.3.1.1-2 Leach &amp; runoff (pasture)</v>
      </c>
      <c r="D37" s="122" t="s">
        <v>400</v>
      </c>
      <c r="M37"/>
      <c r="O37" s="122" t="s">
        <v>401</v>
      </c>
    </row>
    <row r="38" spans="1:22" ht="20.100000000000001" customHeight="1" x14ac:dyDescent="0.25">
      <c r="A38" s="5" t="str">
        <f>HYPERLINK("#'8.1.1.1-2 Transport fuel'!A1", "8.1.1.1-2 Transport fuel")</f>
        <v>8.1.1.1-2 Transport fuel</v>
      </c>
      <c r="D38" s="123" t="s">
        <v>402</v>
      </c>
      <c r="M38"/>
      <c r="O38" s="123" t="s">
        <v>403</v>
      </c>
    </row>
    <row r="39" spans="1:22" ht="20.100000000000001" customHeight="1" x14ac:dyDescent="0.25">
      <c r="A39" s="5" t="str">
        <f>HYPERLINK("#'8.2.1.1-2 Stationary fuel'!A1", "8.2.1.1-2 Stationary fuel")</f>
        <v>8.2.1.1-2 Stationary fuel</v>
      </c>
      <c r="D39" s="124" t="s">
        <v>168</v>
      </c>
      <c r="E39" s="124" t="s">
        <v>307</v>
      </c>
      <c r="F39" s="124" t="s">
        <v>213</v>
      </c>
      <c r="G39" s="124" t="s">
        <v>214</v>
      </c>
      <c r="H39" s="124" t="s">
        <v>215</v>
      </c>
      <c r="I39" s="124" t="s">
        <v>216</v>
      </c>
      <c r="J39" s="124" t="s">
        <v>217</v>
      </c>
      <c r="M39"/>
      <c r="O39" s="124" t="s">
        <v>168</v>
      </c>
      <c r="P39" s="124" t="s">
        <v>307</v>
      </c>
      <c r="Q39" s="124" t="s">
        <v>213</v>
      </c>
      <c r="R39" s="124" t="s">
        <v>214</v>
      </c>
      <c r="S39" s="124" t="s">
        <v>215</v>
      </c>
      <c r="T39" s="124" t="s">
        <v>216</v>
      </c>
      <c r="U39" s="124" t="s">
        <v>217</v>
      </c>
    </row>
    <row r="40" spans="1:22" ht="20.100000000000001" customHeight="1" x14ac:dyDescent="0.25">
      <c r="A40" s="5" t="str">
        <f>HYPERLINK("#'14.1.1-2 Purchased electricity'!A1", "14.1.1-2 Purchased electricity")</f>
        <v>14.1.1-2 Purchased electricity</v>
      </c>
      <c r="D40" s="25" t="str">
        <f>INDEX(X_Table_Dairy_ProductionSystems_Method1,3,1)</f>
        <v>Milking shed</v>
      </c>
      <c r="E40" s="25" t="str">
        <f>INDEX(X_Table_Dairy_Stage1MMS_1_AnaerobicLagoon,2,1)</f>
        <v>Anaerobic lagoon</v>
      </c>
      <c r="F40" s="25">
        <f>INDEX(M1_Table_MN_j_m,2,3)</f>
        <v>399.24605684746678</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399.24605684746678</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HYPERLINK("#'15 Scope 3'!A1", "15 Scope 3")</f>
        <v>15 Scope 3</v>
      </c>
      <c r="D41" s="25" t="str">
        <f>INDEX(X_Table_Dairy_ProductionSystems_Method1,3,1)</f>
        <v>Milking shed</v>
      </c>
      <c r="E41" s="25" t="str">
        <f>INDEX(X_Table_Dairy_Stage1MMS_1_SumpAndDispersal,2,1)</f>
        <v>Sump and dispersal system</v>
      </c>
      <c r="F41" s="25">
        <f>INDEX(M1_Table_MN_j_m,3,3)</f>
        <v>399.24605684746678</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399.24605684746678</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HYPERLINK("#'Calcs - Manure sent off-site'!A1", "Calcs - Manure sent off-site")</f>
        <v>Calcs - Manure sent off-site</v>
      </c>
      <c r="D42" s="25" t="str">
        <f>INDEX(X_Table_Dairy_ProductionSystems_Method1,3,1)</f>
        <v>Milking shed</v>
      </c>
      <c r="E42" s="25" t="str">
        <f>INDEX(X_Table_Dairy_Stage1MMS_1_DrainsToPaddock,2,1)</f>
        <v>Drains to paddock</v>
      </c>
      <c r="F42" s="25">
        <f>INDEX(M1_Table_MN_j_m,4,3)</f>
        <v>399.24605684746678</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399.24605684746678</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HYPERLINK("#'4.3.1.1-2 Methane'!A1", "4.3.1.1-2 Methane")</f>
        <v>4.3.1.1-2 Methane</v>
      </c>
      <c r="D43" s="25" t="str">
        <f>INDEX(X_Table_Dairy_ProductionSystems_Method1,3,1)</f>
        <v>Milking shed</v>
      </c>
      <c r="E43" s="25" t="s">
        <v>76</v>
      </c>
      <c r="F43" s="25">
        <f>INDEX(M1_Table_MN_j_m,5,3)</f>
        <v>798.49211369493332</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76</v>
      </c>
      <c r="Q43" s="25">
        <f>INDEX(M2_Table_MN_j_m,5,3)</f>
        <v>798.49211369493332</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5" t="str">
        <f>HYPERLINK("#'4.3.1.3-4 Direct N20'!A1", "4.3.1.3-4 Direct N20")</f>
        <v>4.3.1.3-4 Direct N20</v>
      </c>
      <c r="D44" s="25" t="str">
        <f>INDEX(X_Table_Dairy_ProductionSystems_Method1,4,1)</f>
        <v>Feed pad</v>
      </c>
      <c r="E44" s="25" t="str">
        <f>INDEX(X_Table_Dairy_Stage1MMS_2_AnaerobicLagoon,2,1)</f>
        <v>Anaerobic lagoon</v>
      </c>
      <c r="F44" s="25">
        <f>INDEX(M1_Table_MN_j_m,6,3)</f>
        <v>1615.131775428388</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1615.131775428388</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5" t="str">
        <f>HYPERLINK("#'4.3.1.5 Atmos deposition'!A1", "4.3.1.5 Atmos deposition")</f>
        <v>4.3.1.5 Atmos deposition</v>
      </c>
      <c r="D45" s="25" t="str">
        <f>INDEX(X_Table_Dairy_ProductionSystems_Method1,4,1)</f>
        <v>Feed pad</v>
      </c>
      <c r="E45" s="25" t="str">
        <f>INDEX(X_Table_Dairy_Stage1MMS_2_SumpAndDispersal,2,1)</f>
        <v>Sump and dispersal system</v>
      </c>
      <c r="F45" s="25">
        <f>INDEX(M1_Table_MN_j_m,7,3)</f>
        <v>1292.1054203427104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1292.1054203427104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HYPERLINK("#'4.3.1.6-7 Leaching and runoff'!A1", "4.3.1.6-7 Leaching and runoff")</f>
        <v>4.3.1.6-7 Leaching and runoff</v>
      </c>
      <c r="D46" s="25" t="str">
        <f>INDEX(X_Table_Dairy_ProductionSystems_Method1,4,1)</f>
        <v>Feed pad</v>
      </c>
      <c r="E46" s="25" t="str">
        <f>INDEX(X_Table_Dairy_Stage1MMS_2_DrainsToPaddock,2,1)</f>
        <v>Drains to paddock</v>
      </c>
      <c r="F46" s="25">
        <f>INDEX(M1_Table_MN_j_m,8,3)</f>
        <v>1292.1054203427104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1292.1054203427104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119" t="str">
        <f>HYPERLINK("#'4.3.1.8 Manure applied to soils'!A1", "4.3.1.8 Manure applied to soils")</f>
        <v>4.3.1.8 Manure applied to soils</v>
      </c>
      <c r="D47" s="25" t="str">
        <f>INDEX(X_Table_Dairy_ProductionSystems_Method1,4,1)</f>
        <v>Feed pad</v>
      </c>
      <c r="E47" s="25" t="s">
        <v>76</v>
      </c>
      <c r="F47" s="25">
        <f>INDEX(M1_Table_MN_j_m,9,3)</f>
        <v>2261.1844855997429</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76</v>
      </c>
      <c r="Q47" s="25">
        <f>INDEX(M2_Table_MN_j_m,9,3)</f>
        <v>2261.1844855997429</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HYPERLINK("#'4.3.1.9 Soil direct N2O'!A1", "4.3.1.9 Soil direct N2O")</f>
        <v>4.3.1.9 Soil direct N2O</v>
      </c>
    </row>
    <row r="49" spans="1:22" ht="20.100000000000001" customHeight="1" x14ac:dyDescent="0.25">
      <c r="A49" s="5" t="str">
        <f>HYPERLINK("#'4.3.1.10-11 Soil Atmos Dep'!A1", "4.3.1.10-11 Soil Atmos Dep")</f>
        <v>4.3.1.10-11 Soil Atmos Dep</v>
      </c>
      <c r="D49" s="122" t="s">
        <v>438</v>
      </c>
      <c r="O49" s="122" t="s">
        <v>439</v>
      </c>
    </row>
    <row r="50" spans="1:22" ht="20.100000000000001" customHeight="1" x14ac:dyDescent="0.25">
      <c r="A50" s="5" t="str">
        <f>HYPERLINK("#'4.3.1.12-13 Soil leach runoff'!A1", "4.3.1.12-13 Soil leach runoff")</f>
        <v>4.3.1.12-13 Soil leach runoff</v>
      </c>
      <c r="D50" s="123" t="s">
        <v>440</v>
      </c>
      <c r="O50" s="123" t="s">
        <v>441</v>
      </c>
    </row>
    <row r="51" spans="1:22" ht="20.100000000000001" customHeight="1" x14ac:dyDescent="0.25">
      <c r="A51" s="5" t="str">
        <f>HYPERLINK("#'3.3.1.1-2 Enteric Methane'!A1", "3.3.1.1-2 Enteric Methane")</f>
        <v>3.3.1.1-2 Enteric Methane</v>
      </c>
      <c r="D51" s="124" t="s">
        <v>168</v>
      </c>
      <c r="E51" s="124" t="s">
        <v>307</v>
      </c>
      <c r="F51" s="124" t="s">
        <v>213</v>
      </c>
      <c r="G51" s="124" t="s">
        <v>214</v>
      </c>
      <c r="H51" s="124" t="s">
        <v>215</v>
      </c>
      <c r="I51" s="124" t="s">
        <v>216</v>
      </c>
      <c r="J51" s="124" t="s">
        <v>217</v>
      </c>
      <c r="O51" s="124" t="s">
        <v>168</v>
      </c>
      <c r="P51" s="124" t="s">
        <v>307</v>
      </c>
      <c r="Q51" s="124" t="s">
        <v>213</v>
      </c>
      <c r="R51" s="124" t="s">
        <v>214</v>
      </c>
      <c r="S51" s="124" t="s">
        <v>215</v>
      </c>
      <c r="T51" s="124" t="s">
        <v>216</v>
      </c>
      <c r="U51" s="124" t="s">
        <v>217</v>
      </c>
    </row>
    <row r="52" spans="1:22" ht="20.100000000000001" customHeight="1" x14ac:dyDescent="0.25">
      <c r="A52" s="5" t="str">
        <f>HYPERLINK("#'10.1.1-2 Solid waste treatment'!A1", "10.1.1-2 Solid waste treatment")</f>
        <v>10.1.1-2 Solid waste treatment</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100" t="s">
        <v>1</v>
      </c>
      <c r="D55" s="25" t="str">
        <f>INDEX(X_Table_Dairy_ProductionSystems_Method1,3,1)</f>
        <v>Milking shed</v>
      </c>
      <c r="E55" s="25" t="s">
        <v>76</v>
      </c>
      <c r="F55" s="25">
        <f>INDEX(M1_Table_MN_leach_j_m4,2,3)</f>
        <v>15.969842273898667</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76</v>
      </c>
      <c r="Q55" s="25">
        <f>INDEX(M2_Table_MN_leach_j_m4,2,3)</f>
        <v>15.969842273898667</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Dairy'!A1", "Constants - Dairy")</f>
        <v>Constants - Dairy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Ag Residue'!A1", "Constants - Ag residue")</f>
        <v>Constants - Ag residue</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Common Livestock'!A1", "Constants - Common Livestock")</f>
        <v>Constants - Common Livestock</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Electricity'!A1", "Constants - Electricity")</f>
        <v>Constants - Electricity</v>
      </c>
      <c r="D59" s="25" t="str">
        <f>INDEX(X_Table_Dairy_ProductionSystems_Method1,4,1)</f>
        <v>Feed pad</v>
      </c>
      <c r="E59" s="25" t="s">
        <v>76</v>
      </c>
      <c r="F59" s="25">
        <f>INDEX(M1_Table_MN_leach_j_m4,3,3)</f>
        <v>45.223689711994858</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76</v>
      </c>
      <c r="Q59" s="25">
        <f>INDEX(M2_Table_MN_leach_j_m4,3,3)</f>
        <v>45.223689711994858</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Fertiliser'!A1", "Constants - Fertiliser")</f>
        <v>Constants - Fertiliser</v>
      </c>
    </row>
    <row r="61" spans="1:22" ht="20.100000000000001" customHeight="1" x14ac:dyDescent="0.25">
      <c r="A61" s="5" t="str">
        <f>HYPERLINK("#'Constants - Fuel'!A1", "Constants - Fuel")</f>
        <v>Constants - Fuel</v>
      </c>
      <c r="D61" s="122" t="s">
        <v>442</v>
      </c>
    </row>
    <row r="62" spans="1:22" ht="20.100000000000001" customHeight="1" x14ac:dyDescent="0.25">
      <c r="A62" s="5" t="str">
        <f>HYPERLINK("#'Constants - Scope 3'!A1", "Constants - Scope 3")</f>
        <v>Constants - Scope 3</v>
      </c>
      <c r="D62" s="123" t="s">
        <v>443</v>
      </c>
    </row>
    <row r="63" spans="1:22" ht="20.100000000000001" customHeight="1" x14ac:dyDescent="0.25">
      <c r="A63" s="5" t="str">
        <f>HYPERLINK("#'Constants - Common'!A1", "Constants - Common")</f>
        <v>Constants - Common</v>
      </c>
      <c r="D63" s="94" t="s">
        <v>168</v>
      </c>
      <c r="E63" s="94" t="s">
        <v>307</v>
      </c>
      <c r="F63" s="94" t="s">
        <v>444</v>
      </c>
    </row>
    <row r="64" spans="1:22" ht="20.100000000000001" customHeight="1" x14ac:dyDescent="0.25">
      <c r="A64" s="5" t="str">
        <f>HYPERLINK("#'Acknowledgements'!A1", "Acknowledgements")</f>
        <v>Acknowledgements</v>
      </c>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1:22" ht="20.100000000000001" customHeight="1" x14ac:dyDescent="0.25">
      <c r="A65" s="5" t="str">
        <f>HYPERLINK("#'Constants - Solid Waste'!A1", "Constants - Solid Waste")</f>
        <v>Constants - Solid Waste</v>
      </c>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1: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1: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1: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1: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1: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1: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1:22" ht="20.100000000000001" customHeight="1" x14ac:dyDescent="0.25"/>
    <row r="73" spans="1:22" ht="20.100000000000001" customHeight="1" x14ac:dyDescent="0.25">
      <c r="D73" s="122" t="s">
        <v>445</v>
      </c>
      <c r="O73" s="122" t="s">
        <v>446</v>
      </c>
    </row>
    <row r="74" spans="1:22" ht="20.100000000000001" customHeight="1" x14ac:dyDescent="0.25">
      <c r="D74" s="123" t="s">
        <v>447</v>
      </c>
      <c r="O74" s="123" t="s">
        <v>448</v>
      </c>
    </row>
    <row r="75" spans="1:22" ht="20.100000000000001" customHeight="1" x14ac:dyDescent="0.25">
      <c r="D75" s="124" t="s">
        <v>168</v>
      </c>
      <c r="E75" s="124" t="s">
        <v>307</v>
      </c>
      <c r="F75" s="124" t="s">
        <v>213</v>
      </c>
      <c r="G75" s="124" t="s">
        <v>214</v>
      </c>
      <c r="H75" s="124" t="s">
        <v>215</v>
      </c>
      <c r="I75" s="124" t="s">
        <v>216</v>
      </c>
      <c r="J75" s="124" t="s">
        <v>217</v>
      </c>
      <c r="O75" s="124" t="s">
        <v>168</v>
      </c>
      <c r="P75" s="124" t="s">
        <v>307</v>
      </c>
      <c r="Q75" s="124" t="s">
        <v>213</v>
      </c>
      <c r="R75" s="124" t="s">
        <v>214</v>
      </c>
      <c r="S75" s="124" t="s">
        <v>215</v>
      </c>
      <c r="T75" s="124" t="s">
        <v>216</v>
      </c>
      <c r="U75" s="124" t="s">
        <v>217</v>
      </c>
    </row>
    <row r="76" spans="1: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194.63245271314003</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194.63245271314003</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1: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278.47412465110807</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278.47412465110807</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1: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239.54763410848008</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239.54763410848008</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1:22" ht="20.100000000000001" customHeight="1" x14ac:dyDescent="0.25">
      <c r="D79" s="25" t="str">
        <f>INDEX(X_Table_Dairy_ProductionSystems_Method1,3,1)</f>
        <v>Milking shed</v>
      </c>
      <c r="E79" s="25" t="s">
        <v>76</v>
      </c>
      <c r="F79" s="25" cm="1">
        <f t="array" aca="1" ref="F79" ca="1">MMS_Dairy_ManureAppliedToSoils_Equations.VEERG_4_3_1_8__1_MassOfNitrogenAppliedToSoilsScope1(F43,_xlfn.XLOOKUP($E79,$D$22:$D$26,$E$22:$E$26),_xlfn.XLOOKUP($E79, $D$31:$D$35,$E$31:$E$35),F55,$F67)</f>
        <v>404.23663255806008</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76</v>
      </c>
      <c r="Q79" s="25" cm="1">
        <f t="array" aca="1" ref="Q79" ca="1">MMS_Dairy_ManureAppliedToSoils_Equations.VEERG_4_3_1_8__1_MassOfNitrogenAppliedToSoilsScope1(Q43,_xlfn.XLOOKUP($P79,$D$22:$D$26,$E$22:$E$26),_xlfn.XLOOKUP($P79, $D$31:$D$35,$E$31:$E$35),Q55,$F67)</f>
        <v>404.23663255806008</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1: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787.37674052133912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787.37674052133912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901.24353068904043</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901.24353068904043</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775.26325220562626</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775.26325220562626</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76</v>
      </c>
      <c r="F83" s="25" cm="1">
        <f t="array" aca="1" ref="F83" ca="1">MMS_Dairy_ManureAppliedToSoils_Equations.VEERG_4_3_1_8__1_MassOfNitrogenAppliedToSoilsScope1(F47,_xlfn.XLOOKUP($E83,$D$22:$D$26,$E$22:$E$26),_xlfn.XLOOKUP($E83, $D$31:$D$35,$E$31:$E$35),F59,$F71)</f>
        <v>1144.72464583487</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76</v>
      </c>
      <c r="Q83" s="25" cm="1">
        <f t="array" aca="1" ref="Q83" ca="1">MMS_Dairy_ManureAppliedToSoils_Equations.VEERG_4_3_1_8__1_MassOfNitrogenAppliedToSoilsScope1(Q47,_xlfn.XLOOKUP($P83,$D$22:$D$26,$E$22:$E$26),_xlfn.XLOOKUP($P83, $D$31:$D$35,$E$31:$E$35),Q59,$F71)</f>
        <v>1144.72464583487</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5" t="s">
        <v>449</v>
      </c>
      <c r="E85" s="136">
        <f ca="1">SUM(F76:J83)</f>
        <v>11592.578908618651</v>
      </c>
      <c r="F85" s="137" t="str">
        <f>$E$11</f>
        <v>kg N</v>
      </c>
      <c r="O85" s="135" t="s">
        <v>449</v>
      </c>
      <c r="P85" s="136">
        <f ca="1">SUM(Q76:U83)</f>
        <v>11592.578908618651</v>
      </c>
      <c r="Q85" s="137" t="str">
        <f>$E$11</f>
        <v>kg N</v>
      </c>
    </row>
    <row r="86" spans="3:23" ht="20.100000000000001" customHeight="1" x14ac:dyDescent="0.25"/>
    <row r="87" spans="3:23" ht="20.100000000000001" customHeight="1" x14ac:dyDescent="0.25"/>
    <row r="88" spans="3:23" ht="20.100000000000001" customHeight="1" x14ac:dyDescent="0.25">
      <c r="C88" s="101"/>
      <c r="D88" s="101"/>
      <c r="E88" s="101"/>
      <c r="F88" s="101"/>
      <c r="G88" s="101"/>
      <c r="H88" s="101"/>
      <c r="I88" s="101"/>
      <c r="J88" s="101"/>
      <c r="K88" s="101"/>
      <c r="L88" s="101"/>
      <c r="N88" s="101"/>
      <c r="O88" s="101"/>
      <c r="P88" s="101"/>
      <c r="Q88" s="101"/>
      <c r="R88" s="101"/>
      <c r="S88" s="101"/>
      <c r="T88" s="101"/>
      <c r="U88" s="101"/>
      <c r="V88" s="101"/>
      <c r="W88" s="101"/>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8" t="s">
        <v>262</v>
      </c>
      <c r="E91" s="118"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7" t="s">
        <v>263</v>
      </c>
      <c r="E94" s="1" t="str" cm="1">
        <f t="array" ref="E94">MMS_Dairy_ManureAppliedToSoils_Equations.VEERG_4_3_1_8__2_MassOfNitrogenAppliedToSoilsScope3_Variable()</f>
        <v>MNSoil_scope3</v>
      </c>
    </row>
    <row r="95" spans="3:23" ht="20.100000000000001" customHeight="1" x14ac:dyDescent="0.25">
      <c r="D95" s="87" t="s">
        <v>122</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20" t="str" cm="1">
        <f t="array" ref="D97:E101">_xlfn.CHOOSECOLS(MMS_Dairy_ManureAppliedToSoils_Equations.VEERG_4_3_1_8__2_MassOfNitrogenAppliedToSoilsScope3_Arguments(),1,2)</f>
        <v>MN_jm</v>
      </c>
      <c r="E97" s="125" t="str">
        <v>total nitrogen in each MMS for dairy cattle classes</v>
      </c>
      <c r="F97" s="126"/>
      <c r="G97" s="120" t="str" cm="1">
        <f t="array" ref="G97:H101">_xlfn.CHOOSECOLS(MMS_Dairy_ManureAppliedToSoils_Equations.VEERG_4_3_1_8__2_MassOfNitrogenAppliedToSoilsScope3_Arguments(),3,4)</f>
        <v>kg N</v>
      </c>
      <c r="H97" s="128" t="str">
        <v>Calculated from 4.3.1.3 (2)</v>
      </c>
      <c r="I97" s="127" t="str" cm="1">
        <f t="array" aca="1" ref="I97" ca="1">HYPERLINK(Common_InputFunctions.Utility_SourceHyperlink($D$37),$D$37)</f>
        <v>M1_Table_MN_j_m</v>
      </c>
    </row>
    <row r="98" spans="4:22" ht="20.100000000000001" customHeight="1" x14ac:dyDescent="0.25">
      <c r="D98" s="120" t="str">
        <v>EF_m</v>
      </c>
      <c r="E98" s="125" t="str">
        <v>emission factor for nitrous oxide emissions per MMS</v>
      </c>
      <c r="F98" s="126"/>
      <c r="G98" s="120" t="str">
        <v>kg N2O-N/kg N</v>
      </c>
      <c r="H98" s="128" t="str">
        <v>Constant</v>
      </c>
      <c r="I98" s="127" t="str" cm="1">
        <f t="array" aca="1" ref="I98" ca="1">HYPERLINK(Common_InputFunctions.Utility_SourceHyperlink($D$19),$D$19)</f>
        <v>Table_EF_m</v>
      </c>
    </row>
    <row r="99" spans="4:22" ht="20.100000000000001" customHeight="1" x14ac:dyDescent="0.25">
      <c r="D99" s="120" t="str">
        <v>FracGASM_m</v>
      </c>
      <c r="E99" s="125" t="str">
        <v>fraction of N volatilised from MMS</v>
      </c>
      <c r="F99" s="126"/>
      <c r="G99" s="120" t="str">
        <v>fraction</v>
      </c>
      <c r="H99" s="128" t="str">
        <v>Constant</v>
      </c>
      <c r="I99" s="127" t="str" cm="1">
        <f t="array" aca="1" ref="I99" ca="1">HYPERLINK(Common_InputFunctions.Utility_SourceHyperlink($D$28),$D$28)</f>
        <v>Table_FracGASM_m</v>
      </c>
    </row>
    <row r="100" spans="4:22" ht="20.100000000000001" customHeight="1" x14ac:dyDescent="0.25">
      <c r="D100" s="120" t="str">
        <v>MNLeach_jm</v>
      </c>
      <c r="E100" s="125" t="str">
        <v>mass of N lost through leaching and runoff from each MMS</v>
      </c>
      <c r="F100" s="126"/>
      <c r="G100" s="120" t="str">
        <v>kg N</v>
      </c>
      <c r="H100" s="128" t="str">
        <v>Calculated from 4.3.1.6 (2)</v>
      </c>
      <c r="I100" s="127" t="str" cm="1">
        <f t="array" aca="1" ref="I100" ca="1">HYPERLINK(Common_InputFunctions.Utility_SourceHyperlink($D$49),$D$49)</f>
        <v>M1_Table_MN_leach_j_m</v>
      </c>
    </row>
    <row r="101" spans="4:22" ht="20.100000000000001" customHeight="1" x14ac:dyDescent="0.25">
      <c r="D101" s="120" t="str">
        <v>PF</v>
      </c>
      <c r="E101" s="125" t="str">
        <v>fraction of manure applied to soil within farm boundary</v>
      </c>
      <c r="F101" s="126"/>
      <c r="G101" s="120" t="str">
        <v>fraction</v>
      </c>
      <c r="H101" s="121" t="str">
        <v>Input</v>
      </c>
      <c r="I101" s="127" t="str" cm="1">
        <f t="array" aca="1" ref="I101" ca="1">HYPERLINK(Common_InputFunctions.Utility_SourceHyperlink($D$61),$D$61)</f>
        <v>Table_PF_scope</v>
      </c>
    </row>
    <row r="102" spans="4:22" ht="20.100000000000001" customHeight="1" x14ac:dyDescent="0.25"/>
    <row r="103" spans="4:22" ht="20.100000000000001" customHeight="1" x14ac:dyDescent="0.25">
      <c r="D103" s="122" t="s">
        <v>450</v>
      </c>
      <c r="O103" s="122" t="s">
        <v>451</v>
      </c>
    </row>
    <row r="104" spans="4:22" ht="20.100000000000001" customHeight="1" x14ac:dyDescent="0.25">
      <c r="D104" s="123" t="s">
        <v>452</v>
      </c>
      <c r="O104" s="123" t="s">
        <v>453</v>
      </c>
    </row>
    <row r="105" spans="4:22" ht="20.100000000000001" customHeight="1" x14ac:dyDescent="0.25">
      <c r="D105" s="124" t="s">
        <v>168</v>
      </c>
      <c r="E105" s="124" t="s">
        <v>307</v>
      </c>
      <c r="F105" s="124" t="s">
        <v>213</v>
      </c>
      <c r="G105" s="124" t="s">
        <v>214</v>
      </c>
      <c r="H105" s="124" t="s">
        <v>215</v>
      </c>
      <c r="I105" s="124" t="s">
        <v>216</v>
      </c>
      <c r="J105" s="124" t="s">
        <v>217</v>
      </c>
      <c r="O105" s="124" t="s">
        <v>168</v>
      </c>
      <c r="P105" s="124" t="s">
        <v>307</v>
      </c>
      <c r="Q105" s="124" t="s">
        <v>213</v>
      </c>
      <c r="R105" s="124" t="s">
        <v>214</v>
      </c>
      <c r="S105" s="124" t="s">
        <v>215</v>
      </c>
      <c r="T105" s="124" t="s">
        <v>216</v>
      </c>
      <c r="U105" s="124" t="s">
        <v>217</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64.877484237713347</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64.877484237713347</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92.824708217036019</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92.824708217036019</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79.849211369493361</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79.849211369493361</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76</v>
      </c>
      <c r="F109" s="25" cm="1">
        <f t="array" aca="1" ref="F109" ca="1">MMS_Dairy_ManureAppliedToSoils_Equations.VEERG_4_3_1_8__2_MassOfNitrogenAppliedToSoilsScope3(F43, _xlfn.XLOOKUP($E109, $D$22:$D$26,$E$22:$E$26), _xlfn.XLOOKUP($E109,$D$31:$D$35,$E$31:$E$35),F55, $F67)</f>
        <v>134.74554418602003</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76</v>
      </c>
      <c r="Q109" s="25" cm="1">
        <f t="array" aca="1" ref="Q109" ca="1">MMS_Dairy_ManureAppliedToSoils_Equations.VEERG_4_3_1_8__2_MassOfNitrogenAppliedToSoilsScope3(Q43, _xlfn.XLOOKUP($P109, $D$22:$D$26,$E$22:$E$26), _xlfn.XLOOKUP($P109,$D$31:$D$35,$E$31:$E$35),Q55, $F67)</f>
        <v>134.74554418602003</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262.45891350711304</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262.45891350711304</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300.41451022968016</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300.41451022968016</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258.42108406854209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258.42108406854209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76</v>
      </c>
      <c r="F113" s="25" cm="1">
        <f t="array" aca="1" ref="F113" ca="1">MMS_Dairy_ManureAppliedToSoils_Equations.VEERG_4_3_1_8__2_MassOfNitrogenAppliedToSoilsScope3(F47, _xlfn.XLOOKUP($E113, $D$22:$D$26,$E$22:$E$26), _xlfn.XLOOKUP($E113,$D$31:$D$35,$E$31:$E$35),F59, $F71)</f>
        <v>381.57488194495664</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76</v>
      </c>
      <c r="Q113" s="25" cm="1">
        <f t="array" aca="1" ref="Q113" ca="1">MMS_Dairy_ManureAppliedToSoils_Equations.VEERG_4_3_1_8__2_MassOfNitrogenAppliedToSoilsScope3(Q47, _xlfn.XLOOKUP($P113, $D$22:$D$26,$E$22:$E$26), _xlfn.XLOOKUP($P113,$D$31:$D$35,$E$31:$E$35),Q59, $F71)</f>
        <v>381.57488194495664</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5" t="s">
        <v>454</v>
      </c>
      <c r="E115" s="136">
        <f ca="1">SUM(F106:J113)</f>
        <v>3864.1929695395502</v>
      </c>
      <c r="F115" s="137" t="str">
        <f>$E$11</f>
        <v>kg N</v>
      </c>
      <c r="O115" s="135" t="s">
        <v>454</v>
      </c>
      <c r="P115" s="136">
        <f ca="1">SUM(Q106:U113)</f>
        <v>3864.1929695395502</v>
      </c>
      <c r="Q115" s="137" t="str">
        <f>$E$11</f>
        <v>kg N</v>
      </c>
    </row>
    <row r="116" spans="3:23" ht="20.100000000000001" customHeight="1" x14ac:dyDescent="0.25"/>
    <row r="117" spans="3:23" ht="20.100000000000001" customHeight="1" x14ac:dyDescent="0.25"/>
    <row r="118" spans="3:23" ht="20.100000000000001" customHeight="1" x14ac:dyDescent="0.25">
      <c r="C118" s="101"/>
      <c r="D118" s="101"/>
      <c r="E118" s="101"/>
      <c r="F118" s="101"/>
      <c r="G118" s="101"/>
      <c r="H118" s="101"/>
      <c r="I118" s="101"/>
      <c r="J118" s="101"/>
      <c r="K118" s="101"/>
      <c r="L118" s="101"/>
      <c r="N118" s="101"/>
      <c r="O118" s="101"/>
      <c r="P118" s="101"/>
      <c r="Q118" s="101"/>
      <c r="R118" s="101"/>
      <c r="S118" s="101"/>
      <c r="T118" s="101"/>
      <c r="U118" s="101"/>
      <c r="V118" s="101"/>
      <c r="W118" s="101"/>
    </row>
    <row r="119" spans="3:23" ht="20.100000000000001" customHeight="1" x14ac:dyDescent="0.25">
      <c r="D119" s="145" t="str">
        <f>"Below are applications of " &amp; D6 &amp; " that are applied to the following contexts:"</f>
        <v>Below are applications of VEERG 2026: 4.3.1.8, Equation (1) that are applied to the following contexts:</v>
      </c>
      <c r="E119" s="53"/>
      <c r="F119" s="53"/>
      <c r="G119" s="53"/>
      <c r="H119" s="54"/>
    </row>
    <row r="120" spans="3:23" ht="20.100000000000001" customHeight="1" x14ac:dyDescent="0.25">
      <c r="D120" s="55" t="s">
        <v>455</v>
      </c>
      <c r="E120" s="56"/>
      <c r="F120" s="56"/>
      <c r="G120" s="56"/>
      <c r="H120" s="57"/>
    </row>
    <row r="121" spans="3:23" ht="20.100000000000001" customHeight="1" x14ac:dyDescent="0.25"/>
    <row r="122" spans="3:23" ht="20.100000000000001" customHeight="1" x14ac:dyDescent="0.25">
      <c r="D122" s="2" t="s">
        <v>456</v>
      </c>
    </row>
    <row r="123" spans="3:23" ht="20.100000000000001" customHeight="1" x14ac:dyDescent="0.25"/>
    <row r="124" spans="3:23" ht="20.100000000000001" customHeight="1" x14ac:dyDescent="0.25">
      <c r="D124" s="122" t="s">
        <v>457</v>
      </c>
    </row>
    <row r="125" spans="3:23" ht="20.100000000000001" customHeight="1" x14ac:dyDescent="0.25">
      <c r="D125" s="123" t="s">
        <v>458</v>
      </c>
    </row>
    <row r="126" spans="3:23" ht="20.100000000000001" customHeight="1" x14ac:dyDescent="0.25">
      <c r="D126" s="94" t="s">
        <v>168</v>
      </c>
      <c r="E126" s="94" t="s">
        <v>307</v>
      </c>
      <c r="F126" s="94" t="s">
        <v>459</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76</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76</v>
      </c>
      <c r="F134" s="25">
        <f>INDEX(X_Table_Dairy_Stage1MMS_2_SolidStorage_Destinations,2,3)</f>
        <v>0.25</v>
      </c>
      <c r="G134" s="26"/>
    </row>
    <row r="135" spans="4:22" ht="20.100000000000001" customHeight="1" x14ac:dyDescent="0.25"/>
    <row r="136" spans="4:22" ht="20.100000000000001" customHeight="1" x14ac:dyDescent="0.25">
      <c r="D136" s="122" t="s">
        <v>460</v>
      </c>
      <c r="O136" s="122" t="s">
        <v>461</v>
      </c>
    </row>
    <row r="137" spans="4:22" ht="20.100000000000001" customHeight="1" x14ac:dyDescent="0.25">
      <c r="D137" s="123" t="s">
        <v>462</v>
      </c>
      <c r="O137" s="123" t="s">
        <v>463</v>
      </c>
    </row>
    <row r="138" spans="4:22" ht="20.100000000000001" customHeight="1" x14ac:dyDescent="0.25">
      <c r="D138" s="124" t="s">
        <v>168</v>
      </c>
      <c r="E138" s="124" t="s">
        <v>307</v>
      </c>
      <c r="F138" s="124" t="s">
        <v>213</v>
      </c>
      <c r="G138" s="124" t="s">
        <v>214</v>
      </c>
      <c r="H138" s="124" t="s">
        <v>215</v>
      </c>
      <c r="I138" s="124" t="s">
        <v>216</v>
      </c>
      <c r="J138" s="124" t="s">
        <v>217</v>
      </c>
      <c r="O138" s="124" t="s">
        <v>168</v>
      </c>
      <c r="P138" s="124" t="s">
        <v>307</v>
      </c>
      <c r="Q138" s="124" t="s">
        <v>213</v>
      </c>
      <c r="R138" s="124" t="s">
        <v>214</v>
      </c>
      <c r="S138" s="124" t="s">
        <v>215</v>
      </c>
      <c r="T138" s="124" t="s">
        <v>216</v>
      </c>
      <c r="U138" s="124" t="s">
        <v>217</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64.877484237713347</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64.877484237713347</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92.824708217036019</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92.824708217036019</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79.849211369493361</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79.849211369493361</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76</v>
      </c>
      <c r="F142" s="25" cm="1">
        <f t="array" ref="F142">MMS_Dairy_ManureAppliedToSoils_Equations.VEERG_4_3_1_8__1_MassOfNitrogenAppliedToSoilsScope1(F43,_xlfn.XLOOKUP($E142,$D$22:$D$26,$E$22:$E$26),_xlfn.XLOOKUP($E142,$D$31:$D$35,$E$31:$E$35),F55,$F130)</f>
        <v>134.74554418602003</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76</v>
      </c>
      <c r="Q142" s="25" cm="1">
        <f t="array" ref="Q142">MMS_Dairy_ManureAppliedToSoils_Equations.VEERG_4_3_1_8__1_MassOfNitrogenAppliedToSoilsScope1(Q43,_xlfn.XLOOKUP($P142,$D$22:$D$26,$E$22:$E$26),_xlfn.XLOOKUP($P142,$D$31:$D$35,$E$31:$E$35),Q55,$F130)</f>
        <v>134.74554418602003</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262.45891350711304</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262.45891350711304</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300.41451022968016</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300.41451022968016</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258.42108406854209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258.42108406854209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76</v>
      </c>
      <c r="F146" s="25" cm="1">
        <f t="array" ref="F146">MMS_Dairy_ManureAppliedToSoils_Equations.VEERG_4_3_1_8__1_MassOfNitrogenAppliedToSoilsScope1(F47,_xlfn.XLOOKUP($E146,$D$22:$D$26,$E$22:$E$26),_xlfn.XLOOKUP($E146,$D$31:$D$35,$E$31:$E$35),F59,$F134)</f>
        <v>381.57488194495664</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76</v>
      </c>
      <c r="Q146" s="25" cm="1">
        <f t="array" ref="Q146">MMS_Dairy_ManureAppliedToSoils_Equations.VEERG_4_3_1_8__1_MassOfNitrogenAppliedToSoilsScope1(Q47,_xlfn.XLOOKUP($P146,$D$22:$D$26,$E$22:$E$26),_xlfn.XLOOKUP($P146,$D$31:$D$35,$E$31:$E$35),Q59,$F134)</f>
        <v>381.57488194495664</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5" t="s">
        <v>464</v>
      </c>
      <c r="E148" s="136">
        <f>SUM(F139:J146)</f>
        <v>3864.1929695395502</v>
      </c>
      <c r="F148" s="137" t="str">
        <f>$E$95</f>
        <v>kg N</v>
      </c>
      <c r="O148" s="135" t="s">
        <v>464</v>
      </c>
      <c r="P148" s="136">
        <f>SUM(Q139:U146)</f>
        <v>3864.1929695395502</v>
      </c>
      <c r="Q148" s="137"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A2DE3C93-A89B-4752-AD0F-45362E5588B5}"/>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62637-C4D3-48AC-9AF5-53A802AC5A9E}">
  <dimension ref="A1:W165"/>
  <sheetViews>
    <sheetView showGridLines="0" topLeftCell="B3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6"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179</v>
      </c>
      <c r="M1" s="96"/>
    </row>
    <row r="2" spans="1:23" s="3" customFormat="1" ht="20.100000000000001" customHeight="1" x14ac:dyDescent="0.25">
      <c r="A2"/>
      <c r="M2" s="96"/>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8" t="s">
        <v>262</v>
      </c>
      <c r="E7" s="118"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7" t="s">
        <v>263</v>
      </c>
      <c r="E10" s="1" t="str" cm="1">
        <f t="array" ref="E10">MMS_Dairy_N2ODirect_Equations.VEERG_4_3_1_3__2_TotalNitrogenInEachMMS_Variable()</f>
        <v>MN_jm</v>
      </c>
    </row>
    <row r="11" spans="1:23" ht="20.100000000000001" customHeight="1" x14ac:dyDescent="0.25">
      <c r="A11" s="5" t="str">
        <f>HYPERLINK("#'Input - Dairy'!A1", "Dairy")</f>
        <v>Dairy</v>
      </c>
      <c r="D11" s="87" t="s">
        <v>122</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4">_xlfn.CHOOSECOLS(MMS_Dairy_N2ODirect_Equations.VEERG_4_3_1_3__2_TotalNitrogenInEachMMS_Arguments(),1,2)</f>
        <v>AE_j</v>
      </c>
      <c r="E13" s="125" t="str">
        <v>total nitrogen excreted by each dairy class</v>
      </c>
      <c r="F13" s="126"/>
      <c r="G13" s="120" t="str" cm="1">
        <f t="array" ref="G13:H14">_xlfn.CHOOSECOLS(MMS_Dairy_N2ODirect_Equations.VEERG_4_3_1_3__2_TotalNitrogenInEachMMS_Arguments(),3,4)</f>
        <v>kg N</v>
      </c>
      <c r="H13" s="128" t="str">
        <v>Calculated from 4.3.1.3 (3a) and (3b)</v>
      </c>
      <c r="I13" s="127"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20" t="str">
        <v>MMS_jm</v>
      </c>
      <c r="E14" s="125" t="str">
        <v>manure management system fraction for class j and system m</v>
      </c>
      <c r="F14" s="126"/>
      <c r="G14" s="120" t="str">
        <v>fraction</v>
      </c>
      <c r="H14" s="121" t="str">
        <v>Input</v>
      </c>
      <c r="I14" s="127"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395</v>
      </c>
      <c r="O16" s="122" t="s">
        <v>465</v>
      </c>
    </row>
    <row r="17" spans="1:22" ht="20.100000000000001" customHeight="1" x14ac:dyDescent="0.25">
      <c r="A17" s="5" t="str">
        <f>HYPERLINK("#'Input - Fertiliser'!A1", "Fertiliser")</f>
        <v>Fertiliser</v>
      </c>
      <c r="D17" s="123" t="s">
        <v>466</v>
      </c>
      <c r="O17" s="123" t="s">
        <v>467</v>
      </c>
    </row>
    <row r="18" spans="1:22" ht="20.100000000000001" customHeight="1" x14ac:dyDescent="0.25">
      <c r="A18" s="5" t="str">
        <f>HYPERLINK("#'Input - Fuel'!A1", "Fuel")</f>
        <v>Fuel</v>
      </c>
      <c r="D18" s="124" t="s">
        <v>213</v>
      </c>
      <c r="E18" s="124" t="s">
        <v>214</v>
      </c>
      <c r="F18" s="124" t="s">
        <v>215</v>
      </c>
      <c r="G18" s="124" t="s">
        <v>216</v>
      </c>
      <c r="H18" s="124" t="s">
        <v>217</v>
      </c>
      <c r="O18" s="124" t="s">
        <v>213</v>
      </c>
      <c r="P18" s="124" t="s">
        <v>214</v>
      </c>
      <c r="Q18" s="124" t="s">
        <v>215</v>
      </c>
      <c r="R18" s="124" t="s">
        <v>216</v>
      </c>
      <c r="S18" s="124" t="s">
        <v>217</v>
      </c>
    </row>
    <row r="19" spans="1:22" ht="20.100000000000001" customHeight="1" x14ac:dyDescent="0.25">
      <c r="A19" s="5" t="str">
        <f>HYPERLINK("#'Input - Electricity'!A1", "Electricity")</f>
        <v>Electricity</v>
      </c>
      <c r="D19" s="25">
        <f>INDEX(M1_Table_AE_j124,2,1)</f>
        <v>18147.548038521214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18147.548038521214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Common farm inputs'!A1", "Common farm inputs")</f>
        <v>Common farm inputs</v>
      </c>
    </row>
    <row r="21" spans="1:22" ht="20.100000000000001" customHeight="1" x14ac:dyDescent="0.25">
      <c r="A21" s="5" t="str">
        <f>HYPERLINK("#'Input - Crop pasture farm input'!A1", "Crop pasture farm input")</f>
        <v>Crop pasture farm input</v>
      </c>
    </row>
    <row r="22" spans="1:22" ht="20.100000000000001" customHeight="1" x14ac:dyDescent="0.25">
      <c r="A22" s="5" t="str">
        <f>HYPERLINK("#'Input - Livestock farm Inputs'!A1", "Livestock farm Inputs")</f>
        <v>Livestock farm Inputs</v>
      </c>
      <c r="D22" s="122" t="s">
        <v>468</v>
      </c>
      <c r="O22" s="122" t="s">
        <v>469</v>
      </c>
    </row>
    <row r="23" spans="1:22" ht="20.100000000000001" customHeight="1" x14ac:dyDescent="0.25">
      <c r="A23" s="5" t="str">
        <f>HYPERLINK("#'Input - Freight'!A1", "Freight")</f>
        <v>Freight</v>
      </c>
      <c r="D23" s="123" t="s">
        <v>470</v>
      </c>
      <c r="O23" s="123" t="s">
        <v>471</v>
      </c>
    </row>
    <row r="24" spans="1:22" ht="20.100000000000001" customHeight="1" x14ac:dyDescent="0.25">
      <c r="A24" s="5" t="str">
        <f>HYPERLINK("#'Input - Manure sent off-site'!A1", "Manure sent off-site")</f>
        <v>Manure sent off-site</v>
      </c>
      <c r="D24" s="94" t="s">
        <v>168</v>
      </c>
      <c r="E24" s="94" t="s">
        <v>307</v>
      </c>
      <c r="F24" s="94" t="s">
        <v>213</v>
      </c>
      <c r="G24" s="94" t="s">
        <v>214</v>
      </c>
      <c r="H24" s="94" t="s">
        <v>215</v>
      </c>
      <c r="I24" s="94" t="s">
        <v>216</v>
      </c>
      <c r="J24" s="94" t="s">
        <v>217</v>
      </c>
      <c r="O24" s="94" t="s">
        <v>168</v>
      </c>
      <c r="P24" s="94" t="s">
        <v>307</v>
      </c>
      <c r="Q24" s="94" t="s">
        <v>213</v>
      </c>
      <c r="R24" s="94" t="s">
        <v>214</v>
      </c>
      <c r="S24" s="94" t="s">
        <v>215</v>
      </c>
      <c r="T24" s="94" t="s">
        <v>216</v>
      </c>
      <c r="U24" s="94" t="s">
        <v>217</v>
      </c>
    </row>
    <row r="25" spans="1:22" ht="20.100000000000001" customHeight="1" x14ac:dyDescent="0.25">
      <c r="A25" s="5" t="str">
        <f>HYPERLINK("#'Input - Solid waste'!A1", "Solid waste")</f>
        <v>Solid waste</v>
      </c>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5" t="str">
        <f>HYPERLINK("#'Input - Data quality'!A1", "Data quality")</f>
        <v>Data quality</v>
      </c>
    </row>
    <row r="27" spans="1:22" ht="20.100000000000001" customHeight="1" x14ac:dyDescent="0.25">
      <c r="Q27" s="141"/>
    </row>
    <row r="28" spans="1:22" ht="20.100000000000001" customHeight="1" x14ac:dyDescent="0.25">
      <c r="D28" s="122" t="s">
        <v>472</v>
      </c>
      <c r="O28" s="122" t="s">
        <v>473</v>
      </c>
    </row>
    <row r="29" spans="1:22" ht="20.100000000000001" customHeight="1" x14ac:dyDescent="0.25">
      <c r="A29" s="6" t="s">
        <v>2</v>
      </c>
      <c r="D29" s="123" t="s">
        <v>474</v>
      </c>
      <c r="O29" s="123" t="s">
        <v>475</v>
      </c>
    </row>
    <row r="30" spans="1:22" ht="20.100000000000001" customHeight="1" x14ac:dyDescent="0.25">
      <c r="A30" s="5" t="str">
        <f>HYPERLINK("#'5.1.1.1-2 Inorganic fert N2O'!A1", "5.1.1.1-2 Inorganic fert N2O")</f>
        <v>5.1.1.1-2 Inorganic fert N2O</v>
      </c>
      <c r="D30" s="124" t="s">
        <v>168</v>
      </c>
      <c r="E30" s="124" t="s">
        <v>307</v>
      </c>
      <c r="F30" s="124" t="s">
        <v>213</v>
      </c>
      <c r="G30" s="124" t="s">
        <v>214</v>
      </c>
      <c r="H30" s="124" t="s">
        <v>215</v>
      </c>
      <c r="I30" s="124" t="s">
        <v>216</v>
      </c>
      <c r="J30" s="124" t="s">
        <v>217</v>
      </c>
      <c r="O30" s="124" t="s">
        <v>168</v>
      </c>
      <c r="P30" s="124" t="s">
        <v>307</v>
      </c>
      <c r="Q30" s="124" t="s">
        <v>213</v>
      </c>
      <c r="R30" s="124" t="s">
        <v>214</v>
      </c>
      <c r="S30" s="124" t="s">
        <v>215</v>
      </c>
      <c r="T30" s="124" t="s">
        <v>216</v>
      </c>
      <c r="U30" s="124" t="s">
        <v>217</v>
      </c>
    </row>
    <row r="31" spans="1:22" ht="20.100000000000001" customHeight="1" x14ac:dyDescent="0.25">
      <c r="A31" s="5" t="str">
        <f>HYPERLINK("#'5.1.1.3-4 Inorganic fert CO2'!A1", "5.1.1.3-4 Inorganic fert CO2")</f>
        <v>5.1.1.3-4 Inorganic fert CO2</v>
      </c>
      <c r="D31" s="25" t="str">
        <f>INDEX(X_Table_Dairy_ProductionSystems_Method1,2,1)</f>
        <v>Pasture</v>
      </c>
      <c r="E31" s="25" t="str">
        <f>'Constants - Common Livestock'!$E$27</f>
        <v>Pasture range and paddock</v>
      </c>
      <c r="F31" s="25" cm="1">
        <f t="array" ref="F31">MMS_Dairy_N2ODirect_Equations.VEERG_4_3_1_3__2_TotalNitrogenInEachMMS(D19,F25)</f>
        <v>9690.7906525703293</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9690.7906525703293</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HYPERLINK("#'5.2.1.1-2 Organic Fert N2O'!A1", "5.2.1.1-2 Organic fert N2O")</f>
        <v>5.2.1.1-2 Organic fert N2O</v>
      </c>
    </row>
    <row r="33" spans="1:23" ht="20.100000000000001" customHeight="1" x14ac:dyDescent="0.25">
      <c r="A33" s="5" t="str">
        <f>HYPERLINK("#'5.3.1.1-2 Lime CO2'!A1", "5.3.1.1-2 Lime CO2")</f>
        <v>5.3.1.1-2 Lime CO2</v>
      </c>
    </row>
    <row r="34" spans="1:23" ht="20.100000000000001" customHeight="1" x14ac:dyDescent="0.25">
      <c r="A34" s="5" t="str">
        <f>HYPERLINK("#'5.4.1.1-4 Atmos deposition'!A1", "5.4.1.1-4 Atmos. deposition")</f>
        <v>5.4.1.1-4 Atmos. deposition</v>
      </c>
      <c r="C34" s="101"/>
      <c r="D34" s="101"/>
      <c r="E34" s="101"/>
      <c r="F34" s="101"/>
      <c r="G34" s="101"/>
      <c r="H34" s="101"/>
      <c r="I34" s="101"/>
      <c r="J34" s="101"/>
      <c r="K34" s="101"/>
      <c r="L34" s="101"/>
      <c r="N34" s="101"/>
      <c r="O34" s="101"/>
      <c r="P34" s="101"/>
      <c r="Q34" s="101"/>
      <c r="R34" s="101"/>
      <c r="S34" s="101"/>
      <c r="T34" s="101"/>
      <c r="U34" s="101"/>
      <c r="V34" s="101"/>
      <c r="W34" s="101"/>
    </row>
    <row r="35" spans="1:23" ht="20.100000000000001" customHeight="1" x14ac:dyDescent="0.25">
      <c r="A35" s="5" t="str">
        <f>HYPERLINK("#'5.5.1.1-2 Leaching and runoff'!A1", "5.5.1.1-2 Leaching &amp; runoff")</f>
        <v>5.5.1.1-2 Leaching &amp; runoff</v>
      </c>
      <c r="D35" s="2" t="str" cm="1">
        <f t="array" ref="D35">MMS_Dairy_Soil_N2ODirect_Equations.VEERG_4_3_1_9__1_DirectNitrousOxideEmissionsOnPasture_Title()</f>
        <v>Direct nitrous oxide emissions on pasture</v>
      </c>
    </row>
    <row r="36" spans="1:23" ht="20.100000000000001" customHeight="1" x14ac:dyDescent="0.25">
      <c r="A36" s="5" t="str">
        <f>HYPERLINK("#'6.2.1.1-2 Pasture residue N2O'!A1", "6.2.1.1-2 Pasture residue N2O")</f>
        <v>6.2.1.1-2 Pasture residue N2O</v>
      </c>
      <c r="D36" s="27" t="str" cm="1">
        <f t="array" ref="D36">MMS_Dairy_Soil_N2ODirect_Equations.VEERG_4_3_1_9__1_DirectNitrousOxideEmissionsOnPasture_Source()</f>
        <v>VEERG 2026: 4.3.1.9, Equation (1)</v>
      </c>
    </row>
    <row r="37" spans="1:23" ht="20.100000000000001" customHeight="1" x14ac:dyDescent="0.25">
      <c r="A37" s="5" t="str">
        <f>HYPERLINK("#'6.3.1.1-2 Leach runoff pasture'!A1", "6.3.1.1-2 Leach &amp; runoff (pasture)")</f>
        <v>6.3.1.1-2 Leach &amp; runoff (pasture)</v>
      </c>
      <c r="D37" s="118" t="s">
        <v>476</v>
      </c>
      <c r="E37" s="118" t="str" cm="1">
        <f t="array" aca="1" ref="E37" ca="1">Common_InputFunctions.Utility_DisplayFunctionName($F$51)</f>
        <v>=MMS_Dairy_Soil_N2ODirect_Equations.VEERG_4_3_1_9__1_DirectNitrousOxideEmissionsOnPasture</v>
      </c>
    </row>
    <row r="38" spans="1:23" ht="20.100000000000001" customHeight="1" x14ac:dyDescent="0.25">
      <c r="A38" s="5" t="str">
        <f>HYPERLINK("#'8.1.1.1-2 Transport fuel'!A1", "8.1.1.1-2 Transport fuel")</f>
        <v>8.1.1.1-2 Transport fuel</v>
      </c>
    </row>
    <row r="39" spans="1:23" ht="20.100000000000001" customHeight="1" x14ac:dyDescent="0.25">
      <c r="A39" s="5" t="str">
        <f>HYPERLINK("#'8.2.1.1-2 Stationary fuel'!A1", "8.2.1.1-2 Stationary fuel")</f>
        <v>8.2.1.1-2 Stationary fuel</v>
      </c>
    </row>
    <row r="40" spans="1:23" ht="20.100000000000001" customHeight="1" x14ac:dyDescent="0.25">
      <c r="A40" s="5" t="str">
        <f>HYPERLINK("#'14.1.1-2 Purchased electricity'!A1", "14.1.1-2 Purchased electricity")</f>
        <v>14.1.1-2 Purchased electricity</v>
      </c>
      <c r="D40" s="87" t="s">
        <v>263</v>
      </c>
      <c r="E40" s="1" t="str" cm="1">
        <f t="array" ref="E40">MMS_Dairy_Soil_N2ODirect_Equations.VEERG_4_3_1_9__1_DirectNitrousOxideEmissionsOnPasture_Variable()</f>
        <v>E_N2Odir</v>
      </c>
    </row>
    <row r="41" spans="1:23" ht="20.100000000000001" customHeight="1" x14ac:dyDescent="0.25">
      <c r="A41" s="5" t="str">
        <f>HYPERLINK("#'15 Scope 3'!A1", "15 Scope 3")</f>
        <v>15 Scope 3</v>
      </c>
      <c r="D41" s="87" t="s">
        <v>122</v>
      </c>
      <c r="E41" s="15" t="str" cm="1">
        <f t="array" ref="E41">MMS_Dairy_Soil_N2ODirect_Equations.VEERG_4_3_1_9__1_DirectNitrousOxideEmissionsOnPasture_Unit()</f>
        <v>t N2O</v>
      </c>
    </row>
    <row r="42" spans="1:23" ht="20.100000000000001" customHeight="1" x14ac:dyDescent="0.25">
      <c r="A42" s="5" t="str">
        <f>HYPERLINK("#'Calcs - Manure sent off-site'!A1", "Calcs - Manure sent off-site")</f>
        <v>Calcs - Manure sent off-site</v>
      </c>
    </row>
    <row r="43" spans="1:23" ht="20.100000000000001" customHeight="1" x14ac:dyDescent="0.25">
      <c r="A43" s="5" t="str">
        <f>HYPERLINK("#'4.3.1.1-2 Methane'!A1", "4.3.1.1-2 Methane")</f>
        <v>4.3.1.1-2 Methane</v>
      </c>
      <c r="D43" s="120" t="str" cm="1">
        <f t="array" ref="D43:E46">_xlfn.CHOOSECOLS(MMS_Dairy_Soil_N2ODirect_Equations.VEERG_4_3_1_9__1_DirectNitrousOxideEmissionsOnPasture_Arguments(),1,2)</f>
        <v>MN_jm14</v>
      </c>
      <c r="E43" s="125" t="str">
        <v>mass of nitrogen excreted on pasture, range, and paddock for each dairy cattle class</v>
      </c>
      <c r="F43" s="133"/>
      <c r="G43" s="126"/>
      <c r="H43" s="120" t="str" cm="1">
        <f t="array" ref="H43:I46">_xlfn.CHOOSECOLS(MMS_Dairy_Soil_N2ODirect_Equations.VEERG_4_3_1_9__1_DirectNitrousOxideEmissionsOnPasture_Arguments(),3,4)</f>
        <v>kg N</v>
      </c>
      <c r="I43" s="128" t="str">
        <v>Calculated from 4.3.1.3 (2)</v>
      </c>
      <c r="J43" s="127" t="str" cm="1">
        <f t="array" aca="1" ref="J43" ca="1">HYPERLINK(Common_InputFunctions.Utility_SourceHyperlink($D$28),$D$28)</f>
        <v>M1_Table_MN_j_m-14</v>
      </c>
    </row>
    <row r="44" spans="1:23" ht="20.100000000000001" customHeight="1" x14ac:dyDescent="0.25">
      <c r="A44" s="5" t="str">
        <f>HYPERLINK("#'4.3.1.3-4 Direct N20'!A1", "4.3.1.3-4 Direct N20")</f>
        <v>4.3.1.3-4 Direct N20</v>
      </c>
      <c r="D44" s="120" t="str">
        <v>EF_PRP</v>
      </c>
      <c r="E44" s="125" t="str">
        <v>emission factor for nitrous oxide emissions for urine and dung deposited on PRP</v>
      </c>
      <c r="F44" s="133"/>
      <c r="G44" s="126"/>
      <c r="H44" s="120" t="str">
        <v>kg N2O-N/kg N deposited</v>
      </c>
      <c r="I44" s="128" t="str">
        <v>Constant</v>
      </c>
      <c r="J44" s="120">
        <f>Common_InputFunctions.Utility_LookupValueInTable(J46, Table_SourceData_EFPastureRangeAndPaddock[Climate zone],Table_SourceData_EFPastureRangeAndPaddock[EFPRP])</f>
        <v>2E-3</v>
      </c>
    </row>
    <row r="45" spans="1:23" ht="20.100000000000001" customHeight="1" x14ac:dyDescent="0.25">
      <c r="A45" s="5" t="str">
        <f>HYPERLINK("#'4.3.1.5 Atmos deposition'!A1", "4.3.1.5 Atmos deposition")</f>
        <v>4.3.1.5 Atmos deposition</v>
      </c>
      <c r="D45" s="120" t="str">
        <v>C_N2O</v>
      </c>
      <c r="E45" s="125" t="str">
        <v>factor to convert elemental mass of N2O to molecular mass</v>
      </c>
      <c r="F45" s="133"/>
      <c r="G45" s="126"/>
      <c r="H45" s="120" t="str">
        <v/>
      </c>
      <c r="I45" s="128" t="str">
        <v>Constant</v>
      </c>
      <c r="J45" s="120">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HYPERLINK("#'4.3.1.6-7 Leaching and runoff'!A1", "4.3.1.6-7 Leaching and runoff")</f>
        <v>4.3.1.6-7 Leaching and runoff</v>
      </c>
      <c r="D46" s="120" t="str">
        <v>z</v>
      </c>
      <c r="E46" s="125" t="str">
        <v>Wet or dry climate zone</v>
      </c>
      <c r="F46" s="133"/>
      <c r="G46" s="126"/>
      <c r="H46" s="120" t="str">
        <v/>
      </c>
      <c r="I46" s="121" t="str">
        <v>Input</v>
      </c>
      <c r="J46" s="120" t="str">
        <f>X_Cell_Site_WetOrDryClimateZone</f>
        <v>Dry climate zone</v>
      </c>
    </row>
    <row r="47" spans="1:23" ht="20.100000000000001" customHeight="1" x14ac:dyDescent="0.25">
      <c r="A47" s="5" t="str">
        <f>HYPERLINK("#'4.3.1.8 Manure applied to soils'!A1", "4.3.1.8 Manure applied to soils")</f>
        <v>4.3.1.8 Manure applied to soils</v>
      </c>
    </row>
    <row r="48" spans="1:23" ht="20.100000000000001" customHeight="1" x14ac:dyDescent="0.25">
      <c r="A48" s="119" t="str">
        <f>HYPERLINK("#'4.3.1.9 Soil direct N2O'!A1", "4.3.1.9 Soil direct N2O")</f>
        <v>4.3.1.9 Soil direct N2O</v>
      </c>
      <c r="D48" s="122" t="s">
        <v>407</v>
      </c>
      <c r="O48" s="122" t="s">
        <v>408</v>
      </c>
    </row>
    <row r="49" spans="1:22" ht="20.100000000000001" customHeight="1" x14ac:dyDescent="0.25">
      <c r="A49" s="5" t="str">
        <f>HYPERLINK("#'4.3.1.10-11 Soil Atmos Dep'!A1", "4.3.1.10-11 Soil Atmos Dep")</f>
        <v>4.3.1.10-11 Soil Atmos Dep</v>
      </c>
      <c r="D49" s="123" t="s">
        <v>477</v>
      </c>
      <c r="O49" s="123" t="s">
        <v>478</v>
      </c>
    </row>
    <row r="50" spans="1:22" ht="20.100000000000001" customHeight="1" x14ac:dyDescent="0.25">
      <c r="A50" s="5" t="str">
        <f>HYPERLINK("#'4.3.1.12-13 Soil leach runoff'!A1", "4.3.1.12-13 Soil leach runoff")</f>
        <v>4.3.1.12-13 Soil leach runoff</v>
      </c>
      <c r="D50" s="124" t="s">
        <v>168</v>
      </c>
      <c r="E50" s="124" t="s">
        <v>307</v>
      </c>
      <c r="F50" s="124" t="s">
        <v>213</v>
      </c>
      <c r="G50" s="124" t="s">
        <v>214</v>
      </c>
      <c r="H50" s="124" t="s">
        <v>215</v>
      </c>
      <c r="I50" s="124" t="s">
        <v>216</v>
      </c>
      <c r="J50" s="124" t="s">
        <v>217</v>
      </c>
      <c r="O50" s="124" t="s">
        <v>168</v>
      </c>
      <c r="P50" s="124" t="s">
        <v>307</v>
      </c>
      <c r="Q50" s="124" t="s">
        <v>213</v>
      </c>
      <c r="R50" s="124" t="s">
        <v>214</v>
      </c>
      <c r="S50" s="124" t="s">
        <v>215</v>
      </c>
      <c r="T50" s="124" t="s">
        <v>216</v>
      </c>
      <c r="U50" s="124" t="s">
        <v>217</v>
      </c>
    </row>
    <row r="51" spans="1:22" ht="20.100000000000001" customHeight="1" x14ac:dyDescent="0.25">
      <c r="A51" s="5" t="str">
        <f>HYPERLINK("#'3.3.1.1-2 Enteric Methane'!A1", "3.3.1.1-2 Enteric Methane")</f>
        <v>3.3.1.1-2 Enteric Methane</v>
      </c>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3.0456770622363894E-2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3.0456770622363894E-2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5" t="str">
        <f>HYPERLINK("#'10.1.1-2 Solid waste treatment'!A1", "10.1.1-2 Solid waste treatment")</f>
        <v>10.1.1-2 Solid waste treatment</v>
      </c>
    </row>
    <row r="53" spans="1:22" ht="20.100000000000001" customHeight="1" x14ac:dyDescent="0.25">
      <c r="D53" s="135" t="s">
        <v>411</v>
      </c>
      <c r="E53" s="136">
        <f>SUM(F51:J51)</f>
        <v>7.4716451267705888E-2</v>
      </c>
      <c r="F53" s="137" t="str">
        <f>$E$41</f>
        <v>t N2O</v>
      </c>
      <c r="O53" s="135" t="s">
        <v>411</v>
      </c>
      <c r="P53" s="136">
        <f>SUM(Q51:U51)</f>
        <v>7.4716451267705888E-2</v>
      </c>
      <c r="Q53" s="137" t="str">
        <f>$E$41</f>
        <v>t N2O</v>
      </c>
    </row>
    <row r="54" spans="1:22" ht="20.100000000000001" customHeight="1" x14ac:dyDescent="0.25"/>
    <row r="55" spans="1:22" ht="20.100000000000001" customHeight="1" x14ac:dyDescent="0.25">
      <c r="A55" s="100" t="s">
        <v>1</v>
      </c>
      <c r="D55" s="132" t="str" cm="1">
        <f t="array" ref="D55:E56">Common_Equations.Common_ConvertN2OToCO2e_Arguments()</f>
        <v>EN2O</v>
      </c>
      <c r="E55" s="138" t="str">
        <v>Nitrous oxide emissions (t N2O)</v>
      </c>
      <c r="F55" s="139"/>
      <c r="G55" s="25">
        <f>VEERG_4_3_1_9__1_DirectNitrousOxideEmissionsOnPasture_Result_Method1</f>
        <v>7.4716451267705888E-2</v>
      </c>
      <c r="O55" s="132" t="str" cm="1">
        <f t="array" ref="O55:P56">Common_Equations.Common_ConvertN2OToCO2e_Arguments()</f>
        <v>EN2O</v>
      </c>
      <c r="P55" s="138" t="str">
        <v>Nitrous oxide emissions (t N2O)</v>
      </c>
      <c r="Q55" s="139"/>
      <c r="R55" s="25">
        <f>VEERG_4_3_1_9__1_DirectNitrousOxideEmissionsOnPasture_Result_Method2</f>
        <v>7.4716451267705888E-2</v>
      </c>
    </row>
    <row r="56" spans="1:22" ht="20.100000000000001" customHeight="1" x14ac:dyDescent="0.25">
      <c r="A56" s="5" t="str">
        <f>HYPERLINK("#'Constants - Dairy'!A1", "Constants - Dairy")</f>
        <v>Constants - Dairy</v>
      </c>
      <c r="D56" s="132" t="str">
        <v>GWPN2O</v>
      </c>
      <c r="E56" s="138" t="str">
        <v>Global warming potential for nitrous oxide (t CO2-e / t N2O)</v>
      </c>
      <c r="F56" s="139"/>
      <c r="G56" s="25">
        <f>Common_InputFunctions.Utility_LookupValueInTableNumber("N2O",Table_GWPData[Gas],Table_GWPData[CO2-e factor])</f>
        <v>265</v>
      </c>
      <c r="O56" s="132" t="str">
        <v>GWPN2O</v>
      </c>
      <c r="P56" s="138" t="str">
        <v>Global warming potential for nitrous oxide (t CO2-e / t N2O)</v>
      </c>
      <c r="Q56" s="139"/>
      <c r="R56" s="25">
        <f>Common_InputFunctions.Utility_LookupValueInTableNumber("N2O",Table_GWPData[Gas],Table_GWPData[CO2-e factor])</f>
        <v>265</v>
      </c>
    </row>
    <row r="57" spans="1:22" ht="20.100000000000001" customHeight="1" x14ac:dyDescent="0.25">
      <c r="A57" s="5" t="str">
        <f>HYPERLINK("#'Constants - Ag Residue'!A1", "Constants - Ag residue")</f>
        <v>Constants - Ag residue</v>
      </c>
    </row>
    <row r="58" spans="1:22" ht="20.100000000000001" customHeight="1" x14ac:dyDescent="0.25">
      <c r="A58" s="5" t="str">
        <f>HYPERLINK("#'Constants - Common Livestock'!A1", "Constants - Common Livestock")</f>
        <v>Constants - Common Livestock</v>
      </c>
      <c r="D58" s="101" t="s">
        <v>412</v>
      </c>
      <c r="E58" s="101" cm="1">
        <f t="array" ref="E58">Common_Equations.Common_ConvertN2OToCO2e(G55,G56)</f>
        <v>19.799859585942059</v>
      </c>
      <c r="F58" s="140" t="str" cm="1">
        <f t="array" ref="F58">Common_Equations.Common_ConvertN2OToCO2e_Unit()</f>
        <v>t CO2e</v>
      </c>
      <c r="O58" s="101" t="s">
        <v>412</v>
      </c>
      <c r="P58" s="101" cm="1">
        <f t="array" ref="P58">Common_Equations.Common_ConvertN2OToCO2e(R55,R56)</f>
        <v>19.799859585942059</v>
      </c>
      <c r="Q58" s="140" t="str" cm="1">
        <f t="array" ref="Q58">Common_Equations.Common_ConvertN2OToCO2e_Unit()</f>
        <v>t CO2e</v>
      </c>
    </row>
    <row r="59" spans="1:22" ht="20.100000000000001" customHeight="1" x14ac:dyDescent="0.25">
      <c r="A59" s="5" t="str">
        <f>HYPERLINK("#'Constants - Electricity'!A1", "Constants - Electricity")</f>
        <v>Constants - Electricity</v>
      </c>
    </row>
    <row r="60" spans="1:22" ht="20.100000000000001" customHeight="1" x14ac:dyDescent="0.25">
      <c r="A60" s="5" t="str">
        <f>HYPERLINK("#'Constants - Fertiliser'!A1", "Constants - Fertiliser")</f>
        <v>Constants - Fertiliser</v>
      </c>
    </row>
    <row r="61" spans="1:22" ht="20.100000000000001" customHeight="1" x14ac:dyDescent="0.25">
      <c r="A61" s="5" t="str">
        <f>HYPERLINK("#'Constants - Fuel'!A1", "Constants - Fuel")</f>
        <v>Constants - Fuel</v>
      </c>
    </row>
    <row r="62" spans="1:22" ht="20.100000000000001" customHeight="1" x14ac:dyDescent="0.25">
      <c r="A62" s="5" t="str">
        <f>HYPERLINK("#'Constants - Scope 3'!A1", "Constants - Scope 3")</f>
        <v>Constants - Scope 3</v>
      </c>
    </row>
    <row r="63" spans="1:22" ht="20.100000000000001" customHeight="1" x14ac:dyDescent="0.25">
      <c r="A63" s="5" t="str">
        <f>HYPERLINK("#'Constants - Common'!A1", "Constants - Common")</f>
        <v>Constants - Common</v>
      </c>
    </row>
    <row r="64" spans="1:22"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5EE5D5C4-BCD2-4734-9B54-B0588FA40373}"/>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EDA646-FF7B-4139-A0BA-01680488A83B}">
  <dimension ref="A1:W165"/>
  <sheetViews>
    <sheetView showGridLines="0" topLeftCell="A7"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479</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8" t="s">
        <v>262</v>
      </c>
      <c r="E7" s="118"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7" t="s">
        <v>122</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4">_xlfn.CHOOSECOLS(MMS_Dairy_Soil_AtmosphericDeposition_Equations.VEERG_4_3_1_10__2_MassOfNitrogenVolatilisedOnPasture_Arguments(),1,2)</f>
        <v>MN_jm14</v>
      </c>
      <c r="E13" s="120" t="str">
        <v>mass of nitrogen excreted on pasture, range and paddock for each dairy class</v>
      </c>
      <c r="F13" s="120"/>
      <c r="G13" s="120" t="str" cm="1">
        <f t="array" ref="G13:H14">_xlfn.CHOOSECOLS(MMS_Dairy_Soil_AtmosphericDeposition_Equations.VEERG_4_3_1_10__2_MassOfNitrogenVolatilisedOnPasture_Arguments(),3,4)</f>
        <v>kg N</v>
      </c>
      <c r="H13" s="128" t="str">
        <v>Calculated from 4.3.1.3 (2)</v>
      </c>
      <c r="I13" s="127"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20" t="str">
        <v>FracGASMsoil</v>
      </c>
      <c r="E14" s="120" t="str">
        <v>fraction of nitrogen volatilised from urine and faeces deposited on pasture</v>
      </c>
      <c r="F14" s="120"/>
      <c r="G14" s="120" t="str">
        <v>(kg NH3-N + NOx-N)/kg N)</v>
      </c>
      <c r="H14" s="128" t="str">
        <v>Constant</v>
      </c>
      <c r="I14" s="120">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2" t="s">
        <v>472</v>
      </c>
      <c r="M16" s="96"/>
      <c r="O16" s="122" t="s">
        <v>473</v>
      </c>
    </row>
    <row r="17" spans="1:23" ht="20.100000000000001" customHeight="1" x14ac:dyDescent="0.25">
      <c r="A17" s="5" t="str">
        <f>HYPERLINK("#'Input - Fertiliser'!A1", "Fertiliser")</f>
        <v>Fertiliser</v>
      </c>
      <c r="D17" s="123" t="s">
        <v>474</v>
      </c>
      <c r="M17" s="96"/>
      <c r="O17" s="123" t="s">
        <v>475</v>
      </c>
    </row>
    <row r="18" spans="1:23" ht="20.100000000000001" customHeight="1" x14ac:dyDescent="0.25">
      <c r="A18" s="5" t="str">
        <f>HYPERLINK("#'Input - Fuel'!A1", "Fuel")</f>
        <v>Fuel</v>
      </c>
      <c r="D18" s="124" t="s">
        <v>168</v>
      </c>
      <c r="E18" s="124" t="s">
        <v>307</v>
      </c>
      <c r="F18" s="124" t="s">
        <v>213</v>
      </c>
      <c r="G18" s="124" t="s">
        <v>214</v>
      </c>
      <c r="H18" s="124" t="s">
        <v>215</v>
      </c>
      <c r="I18" s="124" t="s">
        <v>216</v>
      </c>
      <c r="J18" s="124" t="s">
        <v>217</v>
      </c>
      <c r="M18" s="96"/>
      <c r="O18" s="124" t="s">
        <v>168</v>
      </c>
      <c r="P18" s="124" t="s">
        <v>307</v>
      </c>
      <c r="Q18" s="124" t="s">
        <v>213</v>
      </c>
      <c r="R18" s="124" t="s">
        <v>214</v>
      </c>
      <c r="S18" s="124" t="s">
        <v>215</v>
      </c>
      <c r="T18" s="124" t="s">
        <v>216</v>
      </c>
      <c r="U18" s="124" t="s">
        <v>217</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9690.7906525703293</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6"/>
      <c r="O19" s="25" t="str">
        <f>INDEX(X_Table_Dairy_ProductionSystems_Method1,2,1)</f>
        <v>Pasture</v>
      </c>
      <c r="P19" s="25" t="str">
        <f>'Constants - Common Livestock'!$E$27</f>
        <v>Pasture range and paddock</v>
      </c>
      <c r="Q19" s="25">
        <f>INDEX(M2_Table_MN_j_m14,2,3)</f>
        <v>9690.7906525703293</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Common farm inputs'!A1", "Common farm inputs")</f>
        <v>Common farm inputs</v>
      </c>
    </row>
    <row r="21" spans="1:23" ht="20.100000000000001" customHeight="1" x14ac:dyDescent="0.25">
      <c r="A21" s="5" t="str">
        <f>HYPERLINK("#'Input - Crop pasture farm input'!A1", "Crop pasture farm input")</f>
        <v>Crop pasture farm input</v>
      </c>
      <c r="D21" s="122" t="s">
        <v>480</v>
      </c>
      <c r="O21" s="122" t="s">
        <v>481</v>
      </c>
    </row>
    <row r="22" spans="1:23" ht="20.100000000000001" customHeight="1" x14ac:dyDescent="0.25">
      <c r="A22" s="5" t="str">
        <f>HYPERLINK("#'Input - Livestock farm Inputs'!A1", "Livestock farm Inputs")</f>
        <v>Livestock farm Inputs</v>
      </c>
      <c r="D22" s="123" t="s">
        <v>482</v>
      </c>
      <c r="O22" s="123" t="s">
        <v>483</v>
      </c>
    </row>
    <row r="23" spans="1:23" ht="20.100000000000001" customHeight="1" x14ac:dyDescent="0.25">
      <c r="A23" s="5" t="str">
        <f>HYPERLINK("#'Input - Freight'!A1", "Freight")</f>
        <v>Freight</v>
      </c>
      <c r="D23" s="124" t="s">
        <v>168</v>
      </c>
      <c r="E23" s="124" t="s">
        <v>307</v>
      </c>
      <c r="F23" s="124" t="s">
        <v>213</v>
      </c>
      <c r="G23" s="124" t="s">
        <v>214</v>
      </c>
      <c r="H23" s="124" t="s">
        <v>215</v>
      </c>
      <c r="I23" s="124" t="s">
        <v>216</v>
      </c>
      <c r="J23" s="124" t="s">
        <v>217</v>
      </c>
      <c r="O23" s="124" t="s">
        <v>168</v>
      </c>
      <c r="P23" s="124" t="s">
        <v>307</v>
      </c>
      <c r="Q23" s="124" t="s">
        <v>213</v>
      </c>
      <c r="R23" s="124" t="s">
        <v>214</v>
      </c>
      <c r="S23" s="124" t="s">
        <v>215</v>
      </c>
      <c r="T23" s="124" t="s">
        <v>216</v>
      </c>
      <c r="U23" s="124" t="s">
        <v>217</v>
      </c>
    </row>
    <row r="24" spans="1:23" ht="20.100000000000001" customHeight="1" x14ac:dyDescent="0.25">
      <c r="A24" s="5" t="str">
        <f>HYPERLINK("#'Input - Manure sent off-site'!A1", "Manure sent off-site")</f>
        <v>Manure sent off-site</v>
      </c>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2035.0660370397691</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2035.0660370397691</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c r="A25" s="5" t="str">
        <f>HYPERLINK("#'Input - Solid waste'!A1", "Solid waste")</f>
        <v>Solid waste</v>
      </c>
    </row>
    <row r="26" spans="1:23" ht="20.100000000000001" customHeight="1" x14ac:dyDescent="0.25">
      <c r="A26" s="5" t="str">
        <f>HYPERLINK("#'Input - Data quality'!A1", "Data quality")</f>
        <v>Data quality</v>
      </c>
      <c r="D26" s="142" t="s">
        <v>484</v>
      </c>
      <c r="E26" s="101">
        <f>SUM(F24:J24)</f>
        <v>4992.4174256148935</v>
      </c>
      <c r="F26" s="140" t="str">
        <f>$E$11</f>
        <v>kg N</v>
      </c>
      <c r="O26" s="142" t="s">
        <v>484</v>
      </c>
      <c r="P26" s="101">
        <f>SUM(Q24:U24)</f>
        <v>4992.4174256148935</v>
      </c>
      <c r="Q26" s="140" t="str">
        <f>$E$11</f>
        <v>kg N</v>
      </c>
    </row>
    <row r="27" spans="1:23" ht="20.100000000000001" customHeight="1" x14ac:dyDescent="0.25"/>
    <row r="28" spans="1:23" ht="20.100000000000001" customHeight="1" x14ac:dyDescent="0.25"/>
    <row r="29" spans="1:23" ht="20.100000000000001" customHeight="1" x14ac:dyDescent="0.25">
      <c r="A29" s="6" t="s">
        <v>2</v>
      </c>
      <c r="C29" s="101"/>
      <c r="D29" s="101"/>
      <c r="E29" s="101"/>
      <c r="F29" s="101"/>
      <c r="G29" s="101"/>
      <c r="H29" s="101"/>
      <c r="I29" s="101"/>
      <c r="J29" s="101"/>
      <c r="K29" s="101"/>
      <c r="L29" s="101"/>
      <c r="N29" s="101"/>
      <c r="O29" s="101"/>
      <c r="P29" s="101"/>
      <c r="Q29" s="101"/>
      <c r="R29" s="101"/>
      <c r="S29" s="101"/>
      <c r="T29" s="101"/>
      <c r="U29" s="101"/>
      <c r="V29" s="101"/>
      <c r="W29" s="101"/>
    </row>
    <row r="30" spans="1:23" ht="20.100000000000001" customHeight="1" x14ac:dyDescent="0.25">
      <c r="A30" s="5" t="str">
        <f>HYPERLINK("#'5.1.1.1-2 Inorganic fert N2O'!A1", "5.1.1.1-2 Inorganic fert N2O")</f>
        <v>5.1.1.1-2 Inorganic fert N2O</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HYPERLINK("#'5.1.1.3-4 Inorganic fert CO2'!A1", "5.1.1.3-4 Inorganic fert CO2")</f>
        <v>5.1.1.3-4 Inorganic fert CO2</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HYPERLINK("#'5.2.1.1-2 Organic Fert N2O'!A1", "5.2.1.1-2 Organic fert N2O")</f>
        <v>5.2.1.1-2 Organic fert N2O</v>
      </c>
      <c r="D32" s="118" t="s">
        <v>262</v>
      </c>
      <c r="E32" s="118"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HYPERLINK("#'5.3.1.1-2 Lime CO2'!A1", "5.3.1.1-2 Lime CO2")</f>
        <v>5.3.1.1-2 Lime CO2</v>
      </c>
    </row>
    <row r="34" spans="1:19" ht="20.100000000000001" customHeight="1" x14ac:dyDescent="0.25">
      <c r="A34" s="5" t="str">
        <f>HYPERLINK("#'5.4.1.1-4 Atmos deposition'!A1", "5.4.1.1-4 Atmos. deposition")</f>
        <v>5.4.1.1-4 Atmos. deposition</v>
      </c>
    </row>
    <row r="35" spans="1:19" ht="20.100000000000001" customHeight="1" x14ac:dyDescent="0.25">
      <c r="A35" s="5" t="str">
        <f>HYPERLINK("#'5.5.1.1-2 Leaching and runoff'!A1", "5.5.1.1-2 Leaching &amp; runoff")</f>
        <v>5.5.1.1-2 Leaching &amp; runoff</v>
      </c>
      <c r="D35" s="87" t="s">
        <v>263</v>
      </c>
      <c r="E35" s="1" t="str" cm="1">
        <f t="array" ref="E35">MMS_Dairy_Soil_AtmosphericDeposition_Equations.VEERG_4_3_1_10__1_AtmosphericDepositionEmissionsFromUrineAndDungOnPasture_Variable()</f>
        <v>E_N2Oad</v>
      </c>
    </row>
    <row r="36" spans="1:19" ht="20.100000000000001" customHeight="1" x14ac:dyDescent="0.25">
      <c r="A36" s="5" t="str">
        <f>HYPERLINK("#'6.2.1.1-2 Pasture residue N2O'!A1", "6.2.1.1-2 Pasture residue N2O")</f>
        <v>6.2.1.1-2 Pasture residue N2O</v>
      </c>
      <c r="D36" s="87" t="s">
        <v>122</v>
      </c>
      <c r="E36" s="15" t="str" cm="1">
        <f t="array" ref="E36">MMS_Dairy_Soil_AtmosphericDeposition_Equations.VEERG_4_3_1_10__1_AtmosphericDepositionEmissionsFromUrineAndDungOnPasture_Unit()</f>
        <v>t N2O</v>
      </c>
    </row>
    <row r="37" spans="1:19" ht="20.100000000000001" customHeight="1" x14ac:dyDescent="0.25">
      <c r="A37" s="5" t="str">
        <f>HYPERLINK("#'6.3.1.1-2 Leach runoff pasture'!A1", "6.3.1.1-2 Leach &amp; runoff (pasture)")</f>
        <v>6.3.1.1-2 Leach &amp; runoff (pasture)</v>
      </c>
    </row>
    <row r="38" spans="1:19" ht="20.100000000000001" customHeight="1" x14ac:dyDescent="0.25">
      <c r="A38" s="5" t="str">
        <f>HYPERLINK("#'8.1.1.1-2 Transport fuel'!A1", "8.1.1.1-2 Transport fuel")</f>
        <v>8.1.1.1-2 Transport fuel</v>
      </c>
      <c r="D38" s="120" t="str" cm="1">
        <f t="array" ref="D38:E43">_xlfn.CHOOSECOLS(MMS_Dairy_Soil_AtmosphericDeposition_Equations.VEERG_4_3_1_10__1_AtmosphericDepositionEmissionsFromUrineAndDungOnPasture_Arguments(),1,2)</f>
        <v>M_vol_m14</v>
      </c>
      <c r="E38" s="125" t="str">
        <v>mass of nitrogen volatilised from urine and faeces deposited on pasture</v>
      </c>
      <c r="F38" s="126"/>
      <c r="G38" s="120" t="str" cm="1">
        <f t="array" ref="G38:H43">_xlfn.CHOOSECOLS(MMS_Dairy_Soil_AtmosphericDeposition_Equations.VEERG_4_3_1_10__1_AtmosphericDepositionEmissionsFromUrineAndDungOnPasture_Arguments(),3,4)</f>
        <v>kg N</v>
      </c>
      <c r="H38" s="128" t="str">
        <v>Calculated from 4.3.1.10 (2)</v>
      </c>
      <c r="I38" s="120">
        <f>$E$26</f>
        <v>4992.4174256148935</v>
      </c>
      <c r="O38" s="132" t="str">
        <f>D38</f>
        <v>M_vol_m14</v>
      </c>
      <c r="P38" s="132" t="str">
        <f>E38</f>
        <v>mass of nitrogen volatilised from urine and faeces deposited on pasture</v>
      </c>
      <c r="Q38" s="138"/>
      <c r="R38" s="143"/>
      <c r="S38" s="132">
        <f>$P$26</f>
        <v>4992.4174256148935</v>
      </c>
    </row>
    <row r="39" spans="1:19" ht="20.100000000000001" customHeight="1" x14ac:dyDescent="0.25">
      <c r="A39" s="5" t="str">
        <f>HYPERLINK("#'8.2.1.1-2 Stationary fuel'!A1", "8.2.1.1-2 Stationary fuel")</f>
        <v>8.2.1.1-2 Stationary fuel</v>
      </c>
      <c r="D39" s="120" t="str">
        <v>EF_N2O</v>
      </c>
      <c r="E39" s="125" t="str">
        <v>nitrous oxide emission factor for atmospheric deposition</v>
      </c>
      <c r="F39" s="126"/>
      <c r="G39" s="120" t="str">
        <v>kg N2O-N/kg N</v>
      </c>
      <c r="H39" s="128" t="str">
        <v>Constant</v>
      </c>
      <c r="I39" s="120">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2"/>
      <c r="P39" s="138"/>
      <c r="Q39" s="146"/>
      <c r="R39" s="143"/>
      <c r="S39" s="132"/>
    </row>
    <row r="40" spans="1:19" ht="20.100000000000001" customHeight="1" x14ac:dyDescent="0.25">
      <c r="A40" s="5" t="str">
        <f>HYPERLINK("#'14.1.1-2 Purchased electricity'!A1", "14.1.1-2 Purchased electricity")</f>
        <v>14.1.1-2 Purchased electricity</v>
      </c>
      <c r="D40" s="120" t="str">
        <v>C_N2O</v>
      </c>
      <c r="E40" s="125" t="str">
        <v>factor to convert elemental mass of N2O to molecular mass</v>
      </c>
      <c r="F40" s="126"/>
      <c r="G40" s="120" t="str">
        <v/>
      </c>
      <c r="H40" s="128" t="str">
        <v>Constant</v>
      </c>
      <c r="I40" s="120">
        <f>Common_InputFunctions.Utility_LookupValueInTableNumber("N2O",Table_GasToMolecularConversionFactor[Gas],Table_GasToMolecularConversionFactor[Conversion factor combined])</f>
        <v>1.5714285714285714</v>
      </c>
      <c r="O40" s="132"/>
      <c r="P40" s="138"/>
      <c r="Q40" s="146"/>
      <c r="R40" s="143"/>
      <c r="S40" s="132"/>
    </row>
    <row r="41" spans="1:19" ht="20.100000000000001" customHeight="1" x14ac:dyDescent="0.25">
      <c r="A41" s="5" t="str">
        <f>HYPERLINK("#'15 Scope 3'!A1", "15 Scope 3")</f>
        <v>15 Scope 3</v>
      </c>
      <c r="D41" s="120" t="str">
        <v>j</v>
      </c>
      <c r="E41" s="125" t="str">
        <v>production system</v>
      </c>
      <c r="F41" s="126"/>
      <c r="G41" s="120" t="str">
        <v/>
      </c>
      <c r="H41" s="121" t="str">
        <v>Input</v>
      </c>
      <c r="I41" s="120" t="str">
        <f>X_Cell_Dairy_ManureAppliedProductionSystem</f>
        <v>Pasture</v>
      </c>
      <c r="O41" s="132"/>
      <c r="P41" s="138"/>
      <c r="Q41" s="146"/>
      <c r="R41" s="143"/>
      <c r="S41" s="132"/>
    </row>
    <row r="42" spans="1:19" ht="20.100000000000001" customHeight="1" x14ac:dyDescent="0.25">
      <c r="A42" s="5" t="str">
        <f>HYPERLINK("#'Calcs - Manure sent off-site'!A1", "Calcs - Manure sent off-site")</f>
        <v>Calcs - Manure sent off-site</v>
      </c>
      <c r="D42" s="120" t="str">
        <v>ir</v>
      </c>
      <c r="E42" s="125" t="str">
        <v>irrigation method</v>
      </c>
      <c r="F42" s="126"/>
      <c r="G42" s="120" t="str">
        <v/>
      </c>
      <c r="H42" s="121" t="str">
        <v>Input</v>
      </c>
      <c r="I42" s="120" t="str">
        <f>X_Cell_Dairy_ManureAppliedIrrigationMethod</f>
        <v>Sprinkler irrigation</v>
      </c>
      <c r="O42" s="132"/>
      <c r="P42" s="138"/>
      <c r="Q42" s="146"/>
      <c r="R42" s="143"/>
      <c r="S42" s="132"/>
    </row>
    <row r="43" spans="1:19" ht="20.100000000000001" customHeight="1" x14ac:dyDescent="0.25">
      <c r="A43" s="5" t="str">
        <f>HYPERLINK("#'4.3.1.1-2 Methane'!A1", "4.3.1.1-2 Methane")</f>
        <v>4.3.1.1-2 Methane</v>
      </c>
      <c r="D43" s="120" t="str">
        <v>r</v>
      </c>
      <c r="E43" s="125" t="str">
        <v>rainfall region</v>
      </c>
      <c r="F43" s="126"/>
      <c r="G43" s="120" t="str">
        <v/>
      </c>
      <c r="H43" s="121" t="str">
        <v>Input</v>
      </c>
      <c r="I43" s="120" t="str">
        <f>X_Cell_Site_RainfallZone</f>
        <v>High rainfall</v>
      </c>
      <c r="O43" s="132"/>
      <c r="P43" s="138"/>
      <c r="Q43" s="146"/>
      <c r="R43" s="143"/>
      <c r="S43" s="132"/>
    </row>
    <row r="44" spans="1:19" ht="20.100000000000001" customHeight="1" x14ac:dyDescent="0.25">
      <c r="A44" s="5" t="str">
        <f>HYPERLINK("#'4.3.1.3-4 Direct N20'!A1", "4.3.1.3-4 Direct N20")</f>
        <v>4.3.1.3-4 Direct N20</v>
      </c>
    </row>
    <row r="45" spans="1:19" ht="20.100000000000001" customHeight="1" x14ac:dyDescent="0.25">
      <c r="A45" s="5" t="str">
        <f>HYPERLINK("#'4.3.1.5 Atmos deposition'!A1", "4.3.1.5 Atmos deposition")</f>
        <v>4.3.1.5 Atmos deposition</v>
      </c>
      <c r="D45" s="135" t="s">
        <v>485</v>
      </c>
      <c r="E45" s="136" cm="1">
        <f t="array" ref="E45">MMS_Dairy_Soil_AtmosphericDeposition_Equations.VEERG_4_3_1_10__1_AtmosphericDepositionEmissionsFromUrineAndDungOnPasture($I$38,$I$39,$I$40)</f>
        <v>4.6286841560343794E-2</v>
      </c>
      <c r="F45" s="137" t="str">
        <f>$E$36</f>
        <v>t N2O</v>
      </c>
      <c r="O45" s="135" t="s">
        <v>485</v>
      </c>
      <c r="P45" s="136" cm="1">
        <f t="array" ref="P45">MMS_Dairy_Soil_AtmosphericDeposition_Equations.VEERG_4_3_1_10__1_AtmosphericDepositionEmissionsFromUrineAndDungOnPasture($S$38,$I$39,$I$40)</f>
        <v>4.6286841560343794E-2</v>
      </c>
      <c r="Q45" s="137" t="str">
        <f>$E$36</f>
        <v>t N2O</v>
      </c>
    </row>
    <row r="46" spans="1:19" ht="20.100000000000001" customHeight="1" x14ac:dyDescent="0.25">
      <c r="A46" s="5" t="str">
        <f>HYPERLINK("#'4.3.1.6-7 Leaching and runoff'!A1", "4.3.1.6-7 Leaching and runoff")</f>
        <v>4.3.1.6-7 Leaching and runoff</v>
      </c>
    </row>
    <row r="47" spans="1:19" ht="20.100000000000001" customHeight="1" x14ac:dyDescent="0.25">
      <c r="A47" s="5" t="str">
        <f>HYPERLINK("#'4.3.1.8 Manure applied to soils'!A1", "4.3.1.8 Manure applied to soils")</f>
        <v>4.3.1.8 Manure applied to soils</v>
      </c>
      <c r="D47" s="132" t="str" cm="1">
        <f t="array" ref="D47:E48">Common_Equations.Common_ConvertN2OToCO2e_Arguments()</f>
        <v>EN2O</v>
      </c>
      <c r="E47" s="138" t="str">
        <v>Nitrous oxide emissions (t N2O)</v>
      </c>
      <c r="F47" s="139"/>
      <c r="G47" s="25">
        <f>VEERG_4_3_1_10__1_AtmosphericDepositionEmissionsFromUrineAndDungOnPasture_Result_Method1</f>
        <v>4.6286841560343794E-2</v>
      </c>
      <c r="O47" s="132" t="str" cm="1">
        <f t="array" ref="O47:P48">Common_Equations.Common_ConvertN2OToCO2e_Arguments()</f>
        <v>EN2O</v>
      </c>
      <c r="P47" s="138" t="str">
        <v>Nitrous oxide emissions (t N2O)</v>
      </c>
      <c r="Q47" s="139"/>
      <c r="R47" s="25">
        <f>VEERG_4_3_1_10__1_AtmosphericDepositionEmissionsFromUrineAndDungOnPasture_Result_Method2</f>
        <v>4.6286841560343794E-2</v>
      </c>
    </row>
    <row r="48" spans="1:19" ht="20.100000000000001" customHeight="1" x14ac:dyDescent="0.25">
      <c r="A48" s="5" t="str">
        <f>HYPERLINK("#'4.3.1.9 Soil direct N2O'!A1", "4.3.1.9 Soil direct N2O")</f>
        <v>4.3.1.9 Soil direct N2O</v>
      </c>
      <c r="D48" s="132" t="str">
        <v>GWPN2O</v>
      </c>
      <c r="E48" s="138" t="str">
        <v>Global warming potential for nitrous oxide (t CO2-e / t N2O)</v>
      </c>
      <c r="F48" s="139"/>
      <c r="G48" s="25">
        <f>Common_InputFunctions.Utility_LookupValueInTableNumber("N2O",Table_GWPData[Gas],Table_GWPData[CO2-e factor])</f>
        <v>265</v>
      </c>
      <c r="O48" s="132" t="str">
        <v>GWPN2O</v>
      </c>
      <c r="P48" s="138" t="str">
        <v>Global warming potential for nitrous oxide (t CO2-e / t N2O)</v>
      </c>
      <c r="Q48" s="139"/>
      <c r="R48" s="25">
        <f>Common_InputFunctions.Utility_LookupValueInTableNumber("N2O",Table_GWPData[Gas],Table_GWPData[CO2-e factor])</f>
        <v>265</v>
      </c>
    </row>
    <row r="49" spans="1:17" ht="20.100000000000001" customHeight="1" x14ac:dyDescent="0.25">
      <c r="A49" s="119" t="str">
        <f>HYPERLINK("#'4.3.1.10-11 Soil Atmos Dep'!A1", "4.3.1.10-11 Soil Atmos Dep")</f>
        <v>4.3.1.10-11 Soil Atmos Dep</v>
      </c>
    </row>
    <row r="50" spans="1:17" ht="20.100000000000001" customHeight="1" x14ac:dyDescent="0.25">
      <c r="A50" s="5" t="str">
        <f>HYPERLINK("#'4.3.1.12-13 Soil leach runoff'!A1", "4.3.1.12-13 Soil leach runoff")</f>
        <v>4.3.1.12-13 Soil leach runoff</v>
      </c>
      <c r="D50" s="101" t="s">
        <v>412</v>
      </c>
      <c r="E50" s="101" cm="1">
        <f t="array" ref="E50">Common_Equations.Common_ConvertN2OToCO2e(G47,G48)</f>
        <v>12.266013013491106</v>
      </c>
      <c r="F50" s="140" t="str" cm="1">
        <f t="array" ref="F50">Common_Equations.Common_ConvertN2OToCO2e_Unit()</f>
        <v>t CO2e</v>
      </c>
      <c r="O50" s="101" t="s">
        <v>412</v>
      </c>
      <c r="P50" s="101" cm="1">
        <f t="array" ref="P50">Common_Equations.Common_ConvertN2OToCO2e(R47,R48)</f>
        <v>12.266013013491106</v>
      </c>
      <c r="Q50" s="140" t="str" cm="1">
        <f t="array" ref="Q50">Common_Equations.Common_ConvertN2OToCO2e_Unit()</f>
        <v>t CO2e</v>
      </c>
    </row>
    <row r="51" spans="1:17" ht="20.100000000000001" customHeight="1" x14ac:dyDescent="0.25">
      <c r="A51" s="5" t="str">
        <f>HYPERLINK("#'3.3.1.1-2 Enteric Methane'!A1", "3.3.1.1-2 Enteric Methane")</f>
        <v>3.3.1.1-2 Enteric Methane</v>
      </c>
    </row>
    <row r="52" spans="1:17" ht="20.100000000000001" customHeight="1" x14ac:dyDescent="0.25">
      <c r="A52" s="5" t="str">
        <f>HYPERLINK("#'10.1.1-2 Solid waste treatment'!A1", "10.1.1-2 Solid waste treatment")</f>
        <v>10.1.1-2 Solid waste treatment</v>
      </c>
    </row>
    <row r="53" spans="1:17" ht="20.100000000000001" customHeight="1" x14ac:dyDescent="0.25"/>
    <row r="54" spans="1:17" ht="20.100000000000001" customHeight="1" x14ac:dyDescent="0.25"/>
    <row r="55" spans="1:17" ht="20.100000000000001" customHeight="1" x14ac:dyDescent="0.25">
      <c r="A55" s="100" t="s">
        <v>1</v>
      </c>
    </row>
    <row r="56" spans="1:17" ht="20.100000000000001" customHeight="1" x14ac:dyDescent="0.25">
      <c r="A56" s="5" t="str">
        <f>HYPERLINK("#'Constants - Dairy'!A1", "Constants - Dairy")</f>
        <v>Constants - Dairy</v>
      </c>
    </row>
    <row r="57" spans="1:17" ht="20.100000000000001" customHeight="1" x14ac:dyDescent="0.25">
      <c r="A57" s="5" t="str">
        <f>HYPERLINK("#'Constants - Ag Residue'!A1", "Constants - Ag residue")</f>
        <v>Constants - Ag residue</v>
      </c>
    </row>
    <row r="58" spans="1:17" ht="20.100000000000001" customHeight="1" x14ac:dyDescent="0.25">
      <c r="A58" s="5" t="str">
        <f>HYPERLINK("#'Constants - Common Livestock'!A1", "Constants - Common Livestock")</f>
        <v>Constants - Common Livestock</v>
      </c>
    </row>
    <row r="59" spans="1:17" ht="20.100000000000001" customHeight="1" x14ac:dyDescent="0.25">
      <c r="A59" s="5" t="str">
        <f>HYPERLINK("#'Constants - Electricity'!A1", "Constants - Electricity")</f>
        <v>Constants - Electricity</v>
      </c>
    </row>
    <row r="60" spans="1:17" ht="20.100000000000001" customHeight="1" x14ac:dyDescent="0.25">
      <c r="A60" s="5" t="str">
        <f>HYPERLINK("#'Constants - Fertiliser'!A1", "Constants - Fertiliser")</f>
        <v>Constants - Fertiliser</v>
      </c>
    </row>
    <row r="61" spans="1:17" ht="20.100000000000001" customHeight="1" x14ac:dyDescent="0.25">
      <c r="A61" s="5" t="str">
        <f>HYPERLINK("#'Constants - Fuel'!A1", "Constants - Fuel")</f>
        <v>Constants - Fuel</v>
      </c>
    </row>
    <row r="62" spans="1:17" ht="20.100000000000001" customHeight="1" x14ac:dyDescent="0.25">
      <c r="A62" s="5" t="str">
        <f>HYPERLINK("#'Constants - Scope 3'!A1", "Constants - Scope 3")</f>
        <v>Constants - Scope 3</v>
      </c>
    </row>
    <row r="63" spans="1:17" ht="20.100000000000001" customHeight="1" x14ac:dyDescent="0.25">
      <c r="A63" s="5" t="str">
        <f>HYPERLINK("#'Constants - Common'!A1", "Constants - Common")</f>
        <v>Constants - Common</v>
      </c>
    </row>
    <row r="64" spans="1:17"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2034D915-F641-4342-8643-E952AEBFAA17}"/>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C1D6A-939B-4733-B993-F2A519552C71}">
  <dimension ref="A1:W16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486</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8" t="s">
        <v>262</v>
      </c>
      <c r="E7" s="118"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487</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263</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7" t="s">
        <v>122</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20" t="str" cm="1">
        <f t="array" ref="D13:E18">_xlfn.CHOOSECOLS(MMS_Dairy_Soil_LeachingAndRunoff.VEERG_4_3_1_12__2_MassOfNitrogenLostToLeachingAndRunoffOnPasture_Arguments(),1,2)</f>
        <v>MN_jm14</v>
      </c>
      <c r="E13" s="125" t="str">
        <v>mass of nitrogen excreted on pasture, range and paddock for each dairy class</v>
      </c>
      <c r="F13" s="126"/>
      <c r="G13" s="120" t="str" cm="1">
        <f t="array" ref="G13:H18">_xlfn.CHOOSECOLS(MMS_Dairy_Soil_LeachingAndRunoff.VEERG_4_3_1_12__2_MassOfNitrogenLostToLeachingAndRunoffOnPasture_Arguments(),3,4)</f>
        <v>kg N</v>
      </c>
      <c r="H13" s="128" t="str">
        <v>Calculated from 4.3.1.3 (2)</v>
      </c>
      <c r="I13" s="127"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20" t="str">
        <v>FracWet</v>
      </c>
      <c r="E14" s="125" t="str">
        <v>fraction of N available for leaching and runoff</v>
      </c>
      <c r="F14" s="126"/>
      <c r="G14" s="120" t="str">
        <v/>
      </c>
      <c r="H14" s="128" t="str">
        <v>Constant</v>
      </c>
      <c r="I14" s="120">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20" t="str">
        <v>FracLEACH</v>
      </c>
      <c r="E15" s="125" t="str">
        <v>fraction of N lost through leaching and runoff</v>
      </c>
      <c r="F15" s="126"/>
      <c r="G15" s="120" t="str">
        <v/>
      </c>
      <c r="H15" s="128" t="str">
        <v>Constant</v>
      </c>
      <c r="I15" s="120">
        <f>SourceData_Dairy_FractionOfNitrogenLostThroughLeachingAndRunoff_Data</f>
        <v>0.24</v>
      </c>
    </row>
    <row r="16" spans="1:23" ht="20.100000000000001" customHeight="1" x14ac:dyDescent="0.25">
      <c r="A16" s="5" t="str">
        <f>HYPERLINK("#'Input - Fert Prod System'!A1", "Fert Prod System")</f>
        <v>Fert Prod System</v>
      </c>
      <c r="D16" s="120" t="str">
        <v>z</v>
      </c>
      <c r="E16" s="125" t="str">
        <v>location in leaching zone</v>
      </c>
      <c r="F16" s="126"/>
      <c r="G16" s="120" t="str">
        <v/>
      </c>
      <c r="H16" s="121" t="str">
        <v>Input</v>
      </c>
      <c r="I16" s="120" t="str">
        <f>X_Cell_Site_LeachingZone</f>
        <v>NO - Not in leaching zone</v>
      </c>
    </row>
    <row r="17" spans="1:22" ht="20.100000000000001" customHeight="1" x14ac:dyDescent="0.25">
      <c r="A17" s="5" t="str">
        <f>HYPERLINK("#'Input - Fertiliser'!A1", "Fertiliser")</f>
        <v>Fertiliser</v>
      </c>
      <c r="D17" s="120" t="str">
        <v>j</v>
      </c>
      <c r="E17" s="125" t="str">
        <v>production system</v>
      </c>
      <c r="F17" s="126"/>
      <c r="G17" s="120" t="str">
        <v/>
      </c>
      <c r="H17" s="121" t="str">
        <v>Input</v>
      </c>
      <c r="I17" s="120" t="str">
        <f>X_Cell_Dairy_ManureAppliedProductionSystem</f>
        <v>Pasture</v>
      </c>
    </row>
    <row r="18" spans="1:22" ht="20.100000000000001" customHeight="1" x14ac:dyDescent="0.25">
      <c r="A18" s="5" t="str">
        <f>HYPERLINK("#'Input - Fuel'!A1", "Fuel")</f>
        <v>Fuel</v>
      </c>
      <c r="D18" s="120" t="str">
        <v>ir</v>
      </c>
      <c r="E18" s="125" t="str">
        <v>irrigation method</v>
      </c>
      <c r="F18" s="126"/>
      <c r="G18" s="120" t="str">
        <v/>
      </c>
      <c r="H18" s="121" t="str">
        <v>Input</v>
      </c>
      <c r="I18" s="120"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Common farm inputs'!A1", "Common farm inputs")</f>
        <v>Common farm inputs</v>
      </c>
      <c r="D20" s="122" t="s">
        <v>472</v>
      </c>
      <c r="M20" s="96"/>
      <c r="O20" s="122" t="s">
        <v>473</v>
      </c>
    </row>
    <row r="21" spans="1:22" ht="20.100000000000001" customHeight="1" x14ac:dyDescent="0.25">
      <c r="A21" s="5" t="str">
        <f>HYPERLINK("#'Input - Crop pasture farm input'!A1", "Crop pasture farm input")</f>
        <v>Crop pasture farm input</v>
      </c>
      <c r="D21" s="123" t="s">
        <v>474</v>
      </c>
      <c r="M21" s="96"/>
      <c r="O21" s="123" t="s">
        <v>475</v>
      </c>
    </row>
    <row r="22" spans="1:22" ht="20.100000000000001" customHeight="1" x14ac:dyDescent="0.25">
      <c r="A22" s="5" t="str">
        <f>HYPERLINK("#'Input - Livestock farm Inputs'!A1", "Livestock farm Inputs")</f>
        <v>Livestock farm Inputs</v>
      </c>
      <c r="D22" s="124" t="s">
        <v>168</v>
      </c>
      <c r="E22" s="124" t="s">
        <v>307</v>
      </c>
      <c r="F22" s="124" t="s">
        <v>213</v>
      </c>
      <c r="G22" s="124" t="s">
        <v>214</v>
      </c>
      <c r="H22" s="124" t="s">
        <v>215</v>
      </c>
      <c r="I22" s="124" t="s">
        <v>216</v>
      </c>
      <c r="J22" s="124" t="s">
        <v>217</v>
      </c>
      <c r="M22" s="96"/>
      <c r="O22" s="124" t="s">
        <v>168</v>
      </c>
      <c r="P22" s="124" t="s">
        <v>307</v>
      </c>
      <c r="Q22" s="124" t="s">
        <v>213</v>
      </c>
      <c r="R22" s="124" t="s">
        <v>214</v>
      </c>
      <c r="S22" s="124" t="s">
        <v>215</v>
      </c>
      <c r="T22" s="124" t="s">
        <v>216</v>
      </c>
      <c r="U22" s="124" t="s">
        <v>217</v>
      </c>
    </row>
    <row r="23" spans="1:22" ht="20.100000000000001" customHeight="1" x14ac:dyDescent="0.25">
      <c r="A23" s="5" t="str">
        <f>HYPERLINK("#'Input - Freight'!A1", "Freight")</f>
        <v>Freight</v>
      </c>
      <c r="D23" s="25" t="str">
        <f>INDEX(X_Table_Dairy_ProductionSystems_Method1,2,1)</f>
        <v>Pasture</v>
      </c>
      <c r="E23" s="25" t="str">
        <f>'Constants - Common Livestock'!$E$27</f>
        <v>Pasture range and paddock</v>
      </c>
      <c r="F23" s="25">
        <f>INDEX(M1_Table_MN_j_m14,2,3)</f>
        <v>9690.7906525703293</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6"/>
      <c r="O23" s="25" t="str">
        <f>INDEX(X_Table_Dairy_ProductionSystems_Method1,2,1)</f>
        <v>Pasture</v>
      </c>
      <c r="P23" s="25" t="str">
        <f>'Constants - Common Livestock'!$E$27</f>
        <v>Pasture range and paddock</v>
      </c>
      <c r="Q23" s="25">
        <f>INDEX(M2_Table_MN_j_m14,2,3)</f>
        <v>9690.7906525703293</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Solid waste'!A1", "Solid waste")</f>
        <v>Solid waste</v>
      </c>
      <c r="D25" s="122" t="s">
        <v>488</v>
      </c>
      <c r="O25" s="122" t="s">
        <v>489</v>
      </c>
    </row>
    <row r="26" spans="1:22" ht="20.100000000000001" customHeight="1" x14ac:dyDescent="0.25">
      <c r="A26" s="5" t="str">
        <f>HYPERLINK("#'Input - Data quality'!A1", "Data quality")</f>
        <v>Data quality</v>
      </c>
      <c r="D26" s="123" t="s">
        <v>490</v>
      </c>
      <c r="O26" s="123" t="s">
        <v>491</v>
      </c>
    </row>
    <row r="27" spans="1:22" ht="20.100000000000001" customHeight="1" x14ac:dyDescent="0.25">
      <c r="D27" s="124" t="s">
        <v>168</v>
      </c>
      <c r="E27" s="124" t="s">
        <v>307</v>
      </c>
      <c r="F27" s="124" t="s">
        <v>213</v>
      </c>
      <c r="G27" s="124" t="s">
        <v>214</v>
      </c>
      <c r="H27" s="124" t="s">
        <v>215</v>
      </c>
      <c r="I27" s="124" t="s">
        <v>216</v>
      </c>
      <c r="J27" s="124" t="s">
        <v>217</v>
      </c>
      <c r="O27" s="124" t="s">
        <v>168</v>
      </c>
      <c r="P27" s="124" t="s">
        <v>307</v>
      </c>
      <c r="Q27" s="124" t="s">
        <v>213</v>
      </c>
      <c r="R27" s="124" t="s">
        <v>214</v>
      </c>
      <c r="S27" s="124" t="s">
        <v>215</v>
      </c>
      <c r="T27" s="124" t="s">
        <v>216</v>
      </c>
      <c r="U27" s="124" t="s">
        <v>217</v>
      </c>
    </row>
    <row r="28" spans="1:22" ht="20.100000000000001" customHeight="1" x14ac:dyDescent="0.25">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2325.789756616879</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2325.789756616879</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6" t="s">
        <v>2</v>
      </c>
    </row>
    <row r="30" spans="1:22" ht="20.100000000000001" customHeight="1" x14ac:dyDescent="0.25">
      <c r="A30" s="5" t="str">
        <f>HYPERLINK("#'5.1.1.1-2 Inorganic fert N2O'!A1", "5.1.1.1-2 Inorganic fert N2O")</f>
        <v>5.1.1.1-2 Inorganic fert N2O</v>
      </c>
      <c r="D30" s="142" t="s">
        <v>492</v>
      </c>
      <c r="E30" s="101">
        <f>SUM(F28:J28)</f>
        <v>5705.6199149884496</v>
      </c>
      <c r="F30" s="140" t="str">
        <f>$E$11</f>
        <v>kg N</v>
      </c>
      <c r="O30" s="142" t="s">
        <v>492</v>
      </c>
      <c r="P30" s="101">
        <f>SUM(Q28:U28)</f>
        <v>5705.6199149884496</v>
      </c>
      <c r="Q30" s="140" t="str">
        <f>$E$11</f>
        <v>kg N</v>
      </c>
    </row>
    <row r="31" spans="1:22" ht="20.100000000000001" customHeight="1" x14ac:dyDescent="0.25">
      <c r="A31" s="5" t="str">
        <f>HYPERLINK("#'5.1.1.3-4 Inorganic fert CO2'!A1", "5.1.1.3-4 Inorganic fert CO2")</f>
        <v>5.1.1.3-4 Inorganic fert CO2</v>
      </c>
    </row>
    <row r="32" spans="1:22" ht="20.100000000000001" customHeight="1" x14ac:dyDescent="0.25">
      <c r="A32" s="5" t="str">
        <f>HYPERLINK("#'5.2.1.1-2 Organic Fert N2O'!A1", "5.2.1.1-2 Organic fert N2O")</f>
        <v>5.2.1.1-2 Organic fert N2O</v>
      </c>
    </row>
    <row r="33" spans="1:23" ht="20.100000000000001" customHeight="1" x14ac:dyDescent="0.25">
      <c r="A33" s="5" t="str">
        <f>HYPERLINK("#'5.3.1.1-2 Lime CO2'!A1", "5.3.1.1-2 Lime CO2")</f>
        <v>5.3.1.1-2 Lime CO2</v>
      </c>
    </row>
    <row r="34" spans="1:23" ht="20.100000000000001" customHeight="1" x14ac:dyDescent="0.25">
      <c r="A34" s="5" t="str">
        <f>HYPERLINK("#'5.4.1.1-4 Atmos deposition'!A1", "5.4.1.1-4 Atmos. deposition")</f>
        <v>5.4.1.1-4 Atmos. deposition</v>
      </c>
      <c r="C34" s="101"/>
      <c r="D34" s="101"/>
      <c r="E34" s="101"/>
      <c r="F34" s="101"/>
      <c r="G34" s="101"/>
      <c r="H34" s="101"/>
      <c r="I34" s="101"/>
      <c r="J34" s="101"/>
      <c r="K34" s="101"/>
      <c r="L34" s="101"/>
      <c r="N34" s="101"/>
      <c r="O34" s="101"/>
      <c r="P34" s="101"/>
      <c r="Q34" s="101"/>
      <c r="R34" s="101"/>
      <c r="S34" s="101"/>
      <c r="T34" s="101"/>
      <c r="U34" s="101"/>
      <c r="V34" s="101"/>
      <c r="W34" s="101"/>
    </row>
    <row r="35" spans="1:23" ht="20.100000000000001" customHeight="1" x14ac:dyDescent="0.25">
      <c r="A35" s="5" t="str">
        <f>HYPERLINK("#'5.5.1.1-2 Leaching and runoff'!A1", "5.5.1.1-2 Leaching &amp; runoff")</f>
        <v>5.5.1.1-2 Leaching &amp; runoff</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HYPERLINK("#'6.2.1.1-2 Pasture residue N2O'!A1", "6.2.1.1-2 Pasture residue N2O")</f>
        <v>6.2.1.1-2 Pasture residue N2O</v>
      </c>
      <c r="D36" s="27" t="str" cm="1">
        <f t="array" ref="D36">MMS_Dairy_Soil_LeachingAndRunoff.VEERG_4_3_1_12__1_LeachingAndRunoffEmissionsFromUrineAndDungOnPasture_Source()</f>
        <v>VEERG 2026: 4.3.1.12, Equation (1)</v>
      </c>
    </row>
    <row r="37" spans="1:23" ht="20.100000000000001" customHeight="1" x14ac:dyDescent="0.25">
      <c r="A37" s="5" t="str">
        <f>HYPERLINK("#'6.3.1.1-2 Leach runoff pasture'!A1", "6.3.1.1-2 Leach &amp; runoff (pasture)")</f>
        <v>6.3.1.1-2 Leach &amp; runoff (pasture)</v>
      </c>
      <c r="D37" s="118" t="s">
        <v>262</v>
      </c>
      <c r="E37" s="118"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HYPERLINK("#'8.1.1.1-2 Transport fuel'!A1", "8.1.1.1-2 Transport fuel")</f>
        <v>8.1.1.1-2 Transport fuel</v>
      </c>
    </row>
    <row r="39" spans="1:23" ht="20.100000000000001" customHeight="1" x14ac:dyDescent="0.25">
      <c r="A39" s="5" t="str">
        <f>HYPERLINK("#'8.2.1.1-2 Stationary fuel'!A1", "8.2.1.1-2 Stationary fuel")</f>
        <v>8.2.1.1-2 Stationary fuel</v>
      </c>
    </row>
    <row r="40" spans="1:23" ht="20.100000000000001" customHeight="1" x14ac:dyDescent="0.25">
      <c r="A40" s="5" t="str">
        <f>HYPERLINK("#'14.1.1-2 Purchased electricity'!A1", "14.1.1-2 Purchased electricity")</f>
        <v>14.1.1-2 Purchased electricity</v>
      </c>
      <c r="D40" s="87" t="s">
        <v>263</v>
      </c>
      <c r="E40" s="1" t="str" cm="1">
        <f t="array" ref="E40">MMS_Dairy_Soil_LeachingAndRunoff.VEERG_4_3_1_12__1_LeachingAndRunoffEmissionsFromUrineAndDungOnPasture_Variable()</f>
        <v>E_N2Oleach</v>
      </c>
    </row>
    <row r="41" spans="1:23" ht="20.100000000000001" customHeight="1" x14ac:dyDescent="0.25">
      <c r="A41" s="5" t="str">
        <f>HYPERLINK("#'15 Scope 3'!A1", "15 Scope 3")</f>
        <v>15 Scope 3</v>
      </c>
      <c r="D41" s="87" t="s">
        <v>122</v>
      </c>
      <c r="E41" s="15" t="str" cm="1">
        <f t="array" ref="E41">MMS_Dairy_Soil_LeachingAndRunoff.VEERG_4_3_1_12__1_LeachingAndRunoffEmissionsFromUrineAndDungOnPasture_Unit()</f>
        <v>t N2O</v>
      </c>
    </row>
    <row r="42" spans="1:23" ht="20.100000000000001" customHeight="1" x14ac:dyDescent="0.25">
      <c r="A42" s="5" t="str">
        <f>HYPERLINK("#'Calcs - Manure sent off-site'!A1", "Calcs - Manure sent off-site")</f>
        <v>Calcs - Manure sent off-site</v>
      </c>
    </row>
    <row r="43" spans="1:23" ht="20.100000000000001" customHeight="1" x14ac:dyDescent="0.25">
      <c r="A43" s="5" t="str">
        <f>HYPERLINK("#'4.3.1.1-2 Methane'!A1", "4.3.1.1-2 Methane")</f>
        <v>4.3.1.1-2 Methane</v>
      </c>
      <c r="D43" s="120" t="str" cm="1">
        <f t="array" ref="D43:E45">_xlfn.CHOOSECOLS(MMS_Dairy_Soil_LeachingAndRunoff.VEERG_4_3_1_12__1_LeachingAndRunoffEmissionsFromUrineAndDungOnPasture_Arguments(),1,2)</f>
        <v>M_leach_m14</v>
      </c>
      <c r="E43" s="120" t="str">
        <v>mass of nitrogen lost to leaching and runoff from urine and faeces deposited on pasture</v>
      </c>
      <c r="F43" s="125"/>
      <c r="G43" s="126"/>
      <c r="H43" s="120" t="str" cm="1">
        <f t="array" ref="H43:I45">_xlfn.CHOOSECOLS(MMS_Dairy_Soil_LeachingAndRunoff.VEERG_4_3_1_12__1_LeachingAndRunoffEmissionsFromUrineAndDungOnPasture_Arguments(),3,4)</f>
        <v>kg N</v>
      </c>
      <c r="I43" s="128" t="str">
        <v>Calculated from 4.3.1.12 (2)</v>
      </c>
      <c r="J43" s="120">
        <f>$E$30</f>
        <v>5705.6199149884496</v>
      </c>
      <c r="O43" s="120" t="str" cm="1">
        <f t="array" ref="O43:P45">_xlfn.CHOOSECOLS(MMS_Dairy_Soil_LeachingAndRunoff.VEERG_4_3_1_12__1_LeachingAndRunoffEmissionsFromUrineAndDungOnPasture_Arguments(),1,2)</f>
        <v>M_leach_m14</v>
      </c>
      <c r="P43" s="120" t="str">
        <v>mass of nitrogen lost to leaching and runoff from urine and faeces deposited on pasture</v>
      </c>
      <c r="Q43" s="125"/>
      <c r="R43" s="126"/>
      <c r="S43" s="120" t="str" cm="1">
        <f t="array" ref="S43:T45">_xlfn.CHOOSECOLS(MMS_Dairy_Soil_LeachingAndRunoff.VEERG_4_3_1_12__1_LeachingAndRunoffEmissionsFromUrineAndDungOnPasture_Arguments(),3,4)</f>
        <v>kg N</v>
      </c>
      <c r="T43" s="128" t="str">
        <v>Calculated from 4.3.1.12 (2)</v>
      </c>
      <c r="U43" s="132">
        <f>$P$30</f>
        <v>5705.6199149884496</v>
      </c>
    </row>
    <row r="44" spans="1:23" ht="20.100000000000001" customHeight="1" x14ac:dyDescent="0.25">
      <c r="A44" s="5" t="str">
        <f>HYPERLINK("#'4.3.1.3-4 Direct N20'!A1", "4.3.1.3-4 Direct N20")</f>
        <v>4.3.1.3-4 Direct N20</v>
      </c>
      <c r="D44" s="120" t="str">
        <v>EF_leach</v>
      </c>
      <c r="E44" s="120" t="str">
        <v>nitrous oxide emission factor for leaching and runoff</v>
      </c>
      <c r="F44" s="125"/>
      <c r="G44" s="126"/>
      <c r="H44" s="120" t="str">
        <v>kg N2O-N/kg N</v>
      </c>
      <c r="I44" s="128" t="str">
        <v>Constant</v>
      </c>
      <c r="J44" s="120">
        <f>SourceData_Dairy_EmissionFactorForLeachingAndRunoff_Data</f>
        <v>1.0999999999999999E-2</v>
      </c>
      <c r="O44" s="120" t="str">
        <v>EF_leach</v>
      </c>
      <c r="P44" s="120" t="str">
        <v>nitrous oxide emission factor for leaching and runoff</v>
      </c>
      <c r="Q44" s="125"/>
      <c r="R44" s="126"/>
      <c r="S44" s="120" t="str">
        <v>kg N2O-N/kg N</v>
      </c>
      <c r="T44" s="128" t="str">
        <v>Constant</v>
      </c>
      <c r="U44" s="132"/>
    </row>
    <row r="45" spans="1:23" ht="20.100000000000001" customHeight="1" x14ac:dyDescent="0.25">
      <c r="A45" s="5" t="str">
        <f>HYPERLINK("#'4.3.1.5 Atmos deposition'!A1", "4.3.1.5 Atmos deposition")</f>
        <v>4.3.1.5 Atmos deposition</v>
      </c>
      <c r="D45" s="120" t="str">
        <v>C_N2O</v>
      </c>
      <c r="E45" s="120" t="str">
        <v>factor to convert elemental mass of N2O to molecular mass</v>
      </c>
      <c r="F45" s="125"/>
      <c r="G45" s="126"/>
      <c r="H45" s="120" t="str">
        <v/>
      </c>
      <c r="I45" s="128" t="str">
        <v>Constant</v>
      </c>
      <c r="J45" s="120">
        <f>Common_InputFunctions.Utility_LookupValueInTableNumber("N2O",Table_GasToMolecularConversionFactor[Gas],Table_GasToMolecularConversionFactor[Conversion factor combined])</f>
        <v>1.5714285714285714</v>
      </c>
      <c r="O45" s="120" t="str">
        <v>C_N2O</v>
      </c>
      <c r="P45" s="120" t="str">
        <v>factor to convert elemental mass of N2O to molecular mass</v>
      </c>
      <c r="Q45" s="125"/>
      <c r="R45" s="126"/>
      <c r="S45" s="120" t="str">
        <v/>
      </c>
      <c r="T45" s="128" t="str">
        <v>Constant</v>
      </c>
      <c r="U45" s="132"/>
    </row>
    <row r="46" spans="1:23" ht="20.100000000000001" customHeight="1" x14ac:dyDescent="0.25">
      <c r="A46" s="5" t="str">
        <f>HYPERLINK("#'4.3.1.6-7 Leaching and runoff'!A1", "4.3.1.6-7 Leaching and runoff")</f>
        <v>4.3.1.6-7 Leaching and runoff</v>
      </c>
    </row>
    <row r="47" spans="1:23" ht="20.100000000000001" customHeight="1" x14ac:dyDescent="0.25">
      <c r="A47" s="5" t="str">
        <f>HYPERLINK("#'4.3.1.8 Manure applied to soils'!A1", "4.3.1.8 Manure applied to soils")</f>
        <v>4.3.1.8 Manure applied to soils</v>
      </c>
      <c r="D47" s="135" t="s">
        <v>493</v>
      </c>
      <c r="E47" s="136" cm="1">
        <f t="array" ref="E47">MMS_Dairy_Soil_LeachingAndRunoff.VEERG_4_3_1_12__1_LeachingAndRunoffEmissionsFromUrineAndDungOnPasture($J$43,$J$44,$J$45)</f>
        <v>9.8625715673371778E-2</v>
      </c>
      <c r="F47" s="137" t="str">
        <f>$E$41</f>
        <v>t N2O</v>
      </c>
      <c r="O47" s="135" t="s">
        <v>493</v>
      </c>
      <c r="P47" s="136" cm="1">
        <f t="array" ref="P47">MMS_Dairy_Soil_LeachingAndRunoff.VEERG_4_3_1_12__1_LeachingAndRunoffEmissionsFromUrineAndDungOnPasture($U$43,$J$44,$J$45)</f>
        <v>9.8625715673371778E-2</v>
      </c>
      <c r="Q47" s="137" t="str">
        <f>$E$41</f>
        <v>t N2O</v>
      </c>
    </row>
    <row r="48" spans="1:23" ht="20.100000000000001" customHeight="1" x14ac:dyDescent="0.25">
      <c r="A48" s="5" t="str">
        <f>HYPERLINK("#'4.3.1.9 Soil direct N2O'!A1", "4.3.1.9 Soil direct N2O")</f>
        <v>4.3.1.9 Soil direct N2O</v>
      </c>
    </row>
    <row r="49" spans="1:18" ht="20.100000000000001" customHeight="1" x14ac:dyDescent="0.25">
      <c r="A49" s="5" t="str">
        <f>HYPERLINK("#'4.3.1.10-11 Soil Atmos Dep'!A1", "4.3.1.10-11 Soil Atmos Dep")</f>
        <v>4.3.1.10-11 Soil Atmos Dep</v>
      </c>
      <c r="D49" s="132" t="str" cm="1">
        <f t="array" ref="D49:E50">Common_Equations.Common_ConvertN2OToCO2e_Arguments()</f>
        <v>EN2O</v>
      </c>
      <c r="E49" s="138" t="str">
        <v>Nitrous oxide emissions (t N2O)</v>
      </c>
      <c r="F49" s="139"/>
      <c r="G49" s="25">
        <f>VEERG_4_3_1_12__1_LeachingAndRunoffEmissionsFromUrineAndDungOnPasture_Result_Method1</f>
        <v>9.8625715673371778E-2</v>
      </c>
      <c r="O49" s="132" t="str" cm="1">
        <f t="array" ref="O49:P50">Common_Equations.Common_ConvertN2OToCO2e_Arguments()</f>
        <v>EN2O</v>
      </c>
      <c r="P49" s="138" t="str">
        <v>Nitrous oxide emissions (t N2O)</v>
      </c>
      <c r="Q49" s="139"/>
      <c r="R49" s="25">
        <f>VEERG_4_3_1_12__1_LeachingAndRunoffEmissionsFromUrineAndDungOnPasture_Result_Method2</f>
        <v>9.8625715673371778E-2</v>
      </c>
    </row>
    <row r="50" spans="1:18" ht="20.100000000000001" customHeight="1" x14ac:dyDescent="0.25">
      <c r="A50" s="119" t="str">
        <f>HYPERLINK("#'4.3.1.12-13 Soil leach runoff'!A1", "4.3.1.12-13 Soil leach runoff")</f>
        <v>4.3.1.12-13 Soil leach runoff</v>
      </c>
      <c r="D50" s="132" t="str">
        <v>GWPN2O</v>
      </c>
      <c r="E50" s="138" t="str">
        <v>Global warming potential for nitrous oxide (t CO2-e / t N2O)</v>
      </c>
      <c r="F50" s="139"/>
      <c r="G50" s="25">
        <f>Common_InputFunctions.Utility_LookupValueInTableNumber("N2O",Table_GWPData[Gas],Table_GWPData[CO2-e factor])</f>
        <v>265</v>
      </c>
      <c r="O50" s="132" t="str">
        <v>GWPN2O</v>
      </c>
      <c r="P50" s="138" t="str">
        <v>Global warming potential for nitrous oxide (t CO2-e / t N2O)</v>
      </c>
      <c r="Q50" s="139"/>
      <c r="R50" s="25">
        <f>Common_InputFunctions.Utility_LookupValueInTableNumber("N2O",Table_GWPData[Gas],Table_GWPData[CO2-e factor])</f>
        <v>265</v>
      </c>
    </row>
    <row r="51" spans="1:18" ht="20.100000000000001" customHeight="1" x14ac:dyDescent="0.25">
      <c r="A51" s="5" t="str">
        <f>HYPERLINK("#'3.3.1.1-2 Enteric Methane'!A1", "3.3.1.1-2 Enteric Methane")</f>
        <v>3.3.1.1-2 Enteric Methane</v>
      </c>
    </row>
    <row r="52" spans="1:18" ht="20.100000000000001" customHeight="1" x14ac:dyDescent="0.25">
      <c r="A52" s="5" t="str">
        <f>HYPERLINK("#'10.1.1-2 Solid waste treatment'!A1", "10.1.1-2 Solid waste treatment")</f>
        <v>10.1.1-2 Solid waste treatment</v>
      </c>
      <c r="D52" s="101" t="s">
        <v>412</v>
      </c>
      <c r="E52" s="101" cm="1">
        <f t="array" ref="E52">Common_Equations.Common_ConvertN2OToCO2e(G49,G50)</f>
        <v>26.135814653443521</v>
      </c>
      <c r="F52" s="140" t="str" cm="1">
        <f t="array" ref="F52">Common_Equations.Common_ConvertN2OToCO2e_Unit()</f>
        <v>t CO2e</v>
      </c>
      <c r="O52" s="101" t="s">
        <v>412</v>
      </c>
      <c r="P52" s="101" cm="1">
        <f t="array" ref="P52">Common_Equations.Common_ConvertN2OToCO2e(R49,R50)</f>
        <v>26.135814653443521</v>
      </c>
      <c r="Q52" s="140"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c r="A55" s="100" t="s">
        <v>1</v>
      </c>
    </row>
    <row r="56" spans="1:18" ht="20.100000000000001" customHeight="1" x14ac:dyDescent="0.25">
      <c r="A56" s="5" t="str">
        <f>HYPERLINK("#'Constants - Dairy'!A1", "Constants - Dairy")</f>
        <v>Constants - Dairy</v>
      </c>
    </row>
    <row r="57" spans="1:18" ht="20.100000000000001" customHeight="1" x14ac:dyDescent="0.25">
      <c r="A57" s="5" t="str">
        <f>HYPERLINK("#'Constants - Ag Residue'!A1", "Constants - Ag residue")</f>
        <v>Constants - Ag residue</v>
      </c>
    </row>
    <row r="58" spans="1:18" ht="20.100000000000001" customHeight="1" x14ac:dyDescent="0.25">
      <c r="A58" s="5" t="str">
        <f>HYPERLINK("#'Constants - Common Livestock'!A1", "Constants - Common Livestock")</f>
        <v>Constants - Common Livestock</v>
      </c>
    </row>
    <row r="59" spans="1:18" ht="20.100000000000001" customHeight="1" x14ac:dyDescent="0.25">
      <c r="A59" s="5" t="str">
        <f>HYPERLINK("#'Constants - Electricity'!A1", "Constants - Electricity")</f>
        <v>Constants - Electricity</v>
      </c>
    </row>
    <row r="60" spans="1:18" ht="20.100000000000001" customHeight="1" x14ac:dyDescent="0.25">
      <c r="A60" s="5" t="str">
        <f>HYPERLINK("#'Constants - Fertiliser'!A1", "Constants - Fertiliser")</f>
        <v>Constants - Fertiliser</v>
      </c>
    </row>
    <row r="61" spans="1:18" ht="20.100000000000001" customHeight="1" x14ac:dyDescent="0.25">
      <c r="A61" s="5" t="str">
        <f>HYPERLINK("#'Constants - Fuel'!A1", "Constants - Fuel")</f>
        <v>Constants - Fuel</v>
      </c>
    </row>
    <row r="62" spans="1:18" ht="20.100000000000001" customHeight="1" x14ac:dyDescent="0.25">
      <c r="A62" s="5" t="str">
        <f>HYPERLINK("#'Constants - Scope 3'!A1", "Constants - Scope 3")</f>
        <v>Constants - Scope 3</v>
      </c>
    </row>
    <row r="63" spans="1:18" ht="20.100000000000001" customHeight="1" x14ac:dyDescent="0.25">
      <c r="A63" s="5" t="str">
        <f>HYPERLINK("#'Constants - Common'!A1", "Constants - Common")</f>
        <v>Constants - Common</v>
      </c>
    </row>
    <row r="64" spans="1:18" ht="20.100000000000001" customHeight="1" x14ac:dyDescent="0.25">
      <c r="A64" s="5" t="str">
        <f>HYPERLINK("#'Acknowledgements'!A1", "Acknowledgements")</f>
        <v>Acknowledgements</v>
      </c>
    </row>
    <row r="65" spans="1:1" ht="20.100000000000001" customHeight="1" x14ac:dyDescent="0.25">
      <c r="A65" s="5" t="str">
        <f>HYPERLINK("#'Constants - Solid Waste'!A1", "Constants - Solid Waste")</f>
        <v>Constants - Solid Waste</v>
      </c>
    </row>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EB5C99A1-E585-4284-837F-CBB6965E69D5}"/>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65DD72-F01E-4600-89FD-62AFE4C16F6C}">
  <dimension ref="A1:S275"/>
  <sheetViews>
    <sheetView showGridLines="0"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0" customFormat="1" ht="30" customHeight="1" x14ac:dyDescent="0.35">
      <c r="A1" s="16" t="e" vm="1">
        <v>#VALUE!</v>
      </c>
      <c r="C1" s="30" t="s">
        <v>533</v>
      </c>
      <c r="K1"/>
    </row>
    <row r="2" spans="1:19" s="3" customFormat="1" ht="20.100000000000001" customHeight="1" x14ac:dyDescent="0.25">
      <c r="A2"/>
      <c r="K2"/>
    </row>
    <row r="3" spans="1:19" ht="20.100000000000001" customHeight="1" x14ac:dyDescent="0.25">
      <c r="A3" s="5" t="str">
        <f>HYPERLINK("#'Home'!A1", "Home")</f>
        <v>Home</v>
      </c>
      <c r="C3" s="32"/>
      <c r="D3" s="32" t="s">
        <v>136</v>
      </c>
      <c r="E3" s="32"/>
      <c r="F3" s="32"/>
      <c r="G3" s="32"/>
      <c r="H3" s="32"/>
      <c r="I3" s="32"/>
      <c r="J3" s="32"/>
      <c r="L3" s="32"/>
      <c r="M3" s="32" t="s">
        <v>137</v>
      </c>
      <c r="N3" s="32"/>
      <c r="O3" s="32"/>
      <c r="P3" s="32"/>
      <c r="Q3" s="32"/>
      <c r="R3" s="32"/>
      <c r="S3" s="32"/>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8" t="s">
        <v>262</v>
      </c>
      <c r="E8" s="118"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7" t="s">
        <v>263</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20" t="str" cm="1">
        <f t="array" ref="D14:E14">_xlfn.CHOOSECOLS(EntericMethane_Dairy_Equations.VEERG_3_3_1_1__6_MetabolisabilityOfDiet_Arguments(), 1,2)</f>
        <v>DMD_j</v>
      </c>
      <c r="E14" s="120" t="str">
        <v>dry matter digestibility expressed as a fraction</v>
      </c>
      <c r="F14" s="120"/>
      <c r="G14" s="120" t="str" cm="1">
        <f t="array" ref="G14:H14">_xlfn.CHOOSECOLS(EntericMethane_Dairy_Equations.VEERG_3_3_1_1__6_MetabolisabilityOfDiet_Arguments(), 3,4)</f>
        <v>fraction</v>
      </c>
      <c r="H14" s="121" t="str">
        <v>Input</v>
      </c>
      <c r="I14" s="120"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2" t="s">
        <v>264</v>
      </c>
      <c r="M16" s="122" t="s">
        <v>265</v>
      </c>
    </row>
    <row r="17" spans="1:19" ht="20.100000000000001" customHeight="1" x14ac:dyDescent="0.25">
      <c r="A17" s="5" t="str">
        <f>HYPERLINK("#'Input - Fertiliser'!A1", "Fertiliser")</f>
        <v>Fertiliser</v>
      </c>
      <c r="D17" s="123" t="s">
        <v>266</v>
      </c>
      <c r="M17" s="123" t="s">
        <v>267</v>
      </c>
    </row>
    <row r="18" spans="1:19" ht="20.100000000000001" customHeight="1" x14ac:dyDescent="0.25">
      <c r="A18" s="5" t="str">
        <f>HYPERLINK("#'Input - Fuel'!A1", "Fuel")</f>
        <v>Fuel</v>
      </c>
      <c r="D18" s="94" t="s">
        <v>213</v>
      </c>
      <c r="E18" s="94" t="s">
        <v>214</v>
      </c>
      <c r="F18" s="94" t="s">
        <v>215</v>
      </c>
      <c r="G18" s="94" t="s">
        <v>216</v>
      </c>
      <c r="H18" s="94" t="s">
        <v>217</v>
      </c>
      <c r="M18" s="94" t="s">
        <v>213</v>
      </c>
      <c r="N18" s="94" t="s">
        <v>214</v>
      </c>
      <c r="O18" s="94" t="s">
        <v>215</v>
      </c>
      <c r="P18" s="94" t="s">
        <v>216</v>
      </c>
      <c r="Q18" s="94" t="s">
        <v>217</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268</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268</v>
      </c>
    </row>
    <row r="20" spans="1:19" ht="20.100000000000001" customHeight="1" x14ac:dyDescent="0.25">
      <c r="A20" s="5" t="str">
        <f>HYPERLINK("#'Input - Common farm inputs'!A1", "Common farm inputs")</f>
        <v>Common farm inputs</v>
      </c>
    </row>
    <row r="21" spans="1:19" ht="20.100000000000001" customHeight="1" x14ac:dyDescent="0.25">
      <c r="A21" s="5" t="str">
        <f>HYPERLINK("#'Input - Crop pasture farm input'!A1", "Crop pasture farm input")</f>
        <v>Crop pasture farm input</v>
      </c>
      <c r="D21" s="122" t="s">
        <v>269</v>
      </c>
      <c r="M21" s="122" t="s">
        <v>270</v>
      </c>
    </row>
    <row r="22" spans="1:19" ht="20.100000000000001" customHeight="1" x14ac:dyDescent="0.25">
      <c r="A22" s="5" t="str">
        <f>HYPERLINK("#'Input - Livestock farm Inputs'!A1", "Livestock farm Inputs")</f>
        <v>Livestock farm Inputs</v>
      </c>
      <c r="D22" s="123" t="s">
        <v>271</v>
      </c>
      <c r="M22" s="123" t="s">
        <v>272</v>
      </c>
    </row>
    <row r="23" spans="1:19" ht="20.100000000000001" customHeight="1" x14ac:dyDescent="0.25">
      <c r="A23" s="5" t="str">
        <f>HYPERLINK("#'Input - Freight'!A1", "Freight")</f>
        <v>Freight</v>
      </c>
      <c r="D23" s="124" t="s">
        <v>213</v>
      </c>
      <c r="E23" s="124" t="s">
        <v>214</v>
      </c>
      <c r="F23" s="124" t="s">
        <v>215</v>
      </c>
      <c r="G23" s="124" t="s">
        <v>216</v>
      </c>
      <c r="H23" s="124" t="s">
        <v>217</v>
      </c>
      <c r="M23" s="124" t="s">
        <v>213</v>
      </c>
      <c r="N23" s="124" t="s">
        <v>214</v>
      </c>
      <c r="O23" s="124" t="s">
        <v>215</v>
      </c>
      <c r="P23" s="124" t="s">
        <v>216</v>
      </c>
      <c r="Q23" s="124" t="s">
        <v>217</v>
      </c>
    </row>
    <row r="24" spans="1:19" ht="20.100000000000001" customHeight="1" x14ac:dyDescent="0.25">
      <c r="A24" s="5" t="str">
        <f>HYPERLINK("#'Input - Manure sent off-site'!A1", "Manure sent off-site")</f>
        <v>Manure sent off-site</v>
      </c>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c r="A25" s="5" t="str">
        <f>HYPERLINK("#'Input - Solid waste'!A1", "Solid waste")</f>
        <v>Solid waste</v>
      </c>
    </row>
    <row r="26" spans="1:19" ht="20.100000000000001" customHeight="1" x14ac:dyDescent="0.25">
      <c r="A26" s="5" t="str">
        <f>HYPERLINK("#'Input - Data quality'!A1", "Data quality")</f>
        <v>Data quality</v>
      </c>
    </row>
    <row r="27" spans="1:19" ht="20.100000000000001" customHeight="1" x14ac:dyDescent="0.25">
      <c r="C27" s="101"/>
      <c r="D27" s="101"/>
      <c r="E27" s="101"/>
      <c r="F27" s="101"/>
      <c r="G27" s="101"/>
      <c r="H27" s="101"/>
      <c r="I27" s="101"/>
      <c r="J27" s="101"/>
      <c r="L27" s="101"/>
      <c r="M27" s="101"/>
      <c r="N27" s="101"/>
      <c r="O27" s="101"/>
      <c r="P27" s="101"/>
      <c r="Q27" s="101"/>
      <c r="R27" s="101"/>
      <c r="S27" s="101"/>
    </row>
    <row r="28" spans="1:19" ht="20.100000000000001" customHeight="1" x14ac:dyDescent="0.25">
      <c r="D28" s="2" t="str" cm="1">
        <f t="array" ref="D28">EntericMethane_Dairy_Equations.VEERG_3_3_1_1__5_MilkProductionFromMilkSolids_Title()</f>
        <v>Milk production converted from milk solids</v>
      </c>
    </row>
    <row r="29" spans="1:19" ht="20.100000000000001" customHeight="1" x14ac:dyDescent="0.25">
      <c r="A29" s="6" t="s">
        <v>2</v>
      </c>
      <c r="D29" s="27" t="str" cm="1">
        <f t="array" ref="D29">EntericMethane_Dairy_Equations.VEERG_3_3_1_1__5_MilkProductionFromMilkSolids_Source()</f>
        <v>VEERG 2026: 3.3.1.1, Equation (5)</v>
      </c>
    </row>
    <row r="30" spans="1:19" ht="20.100000000000001" customHeight="1" x14ac:dyDescent="0.25">
      <c r="A30" s="5" t="str">
        <f>HYPERLINK("#'5.1.1.1-2 Inorganic fert N2O'!A1", "5.1.1.1-2 Inorganic fert N2O")</f>
        <v>5.1.1.1-2 Inorganic fert N2O</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HYPERLINK("#'5.1.1.3-4 Inorganic fert CO2'!A1", "5.1.1.3-4 Inorganic fert CO2")</f>
        <v>5.1.1.3-4 Inorganic fert CO2</v>
      </c>
      <c r="D31" s="118" t="s">
        <v>262</v>
      </c>
      <c r="E31" s="118" t="str" cm="1">
        <f t="array" aca="1" ref="E31" ca="1">Common_InputFunctions.Utility_DisplayFunctionName(D50)</f>
        <v>=EntericMethane_Dairy_Equations.VEERG_3_3_1_1__5_MilkProductionFromMilkSolids</v>
      </c>
    </row>
    <row r="32" spans="1:19" ht="20.100000000000001" customHeight="1" x14ac:dyDescent="0.25">
      <c r="A32" s="5" t="str">
        <f>HYPERLINK("#'5.2.1.1-2 Organic Fert N2O'!A1", "5.2.1.1-2 Organic fert N2O")</f>
        <v>5.2.1.1-2 Organic fert N2O</v>
      </c>
    </row>
    <row r="33" spans="1:18" ht="20.100000000000001" customHeight="1" x14ac:dyDescent="0.25">
      <c r="A33" s="5" t="str">
        <f>HYPERLINK("#'5.3.1.1-2 Lime CO2'!A1", "5.3.1.1-2 Lime CO2")</f>
        <v>5.3.1.1-2 Lime CO2</v>
      </c>
    </row>
    <row r="34" spans="1:18" ht="20.100000000000001" customHeight="1" x14ac:dyDescent="0.25">
      <c r="A34" s="5" t="str">
        <f>HYPERLINK("#'5.4.1.1-4 Atmos deposition'!A1", "5.4.1.1-4 Atmos. deposition")</f>
        <v>5.4.1.1-4 Atmos. deposition</v>
      </c>
      <c r="D34" s="87" t="s">
        <v>263</v>
      </c>
      <c r="E34" s="1" t="str" cm="1">
        <f t="array" ref="E34">EntericMethane_Dairy_Equations.VEERG_3_3_1_1__5_MilkProductionFromMilkSolids_Variable()</f>
        <v>MP_j</v>
      </c>
    </row>
    <row r="35" spans="1:18" ht="20.100000000000001" customHeight="1" x14ac:dyDescent="0.25">
      <c r="A35" s="5" t="str">
        <f>HYPERLINK("#'5.5.1.1-2 Leaching and runoff'!A1", "5.5.1.1-2 Leaching &amp; runoff")</f>
        <v>5.5.1.1-2 Leaching &amp; runoff</v>
      </c>
      <c r="D35" s="87" t="s">
        <v>122</v>
      </c>
      <c r="E35" s="15" t="str" cm="1">
        <f t="array" ref="E35">EntericMethane_Dairy_Equations.VEERG_3_3_1_1__5_MilkProductionFromMilkSolids_Unit()</f>
        <v>L/head/day</v>
      </c>
    </row>
    <row r="36" spans="1:18" ht="20.100000000000001" customHeight="1" x14ac:dyDescent="0.25">
      <c r="A36" s="5" t="str">
        <f>HYPERLINK("#'6.2.1.1-2 Pasture residue N2O'!A1", "6.2.1.1-2 Pasture residue N2O")</f>
        <v>6.2.1.1-2 Pasture residue N2O</v>
      </c>
    </row>
    <row r="37" spans="1:18" ht="20.100000000000001" customHeight="1" x14ac:dyDescent="0.25">
      <c r="A37" s="5" t="str">
        <f>HYPERLINK("#'6.3.1.1-2 Leach runoff pasture'!A1", "6.3.1.1-2 Leach &amp; runoff (pasture)")</f>
        <v>6.3.1.1-2 Leach &amp; runoff (pasture)</v>
      </c>
      <c r="D37" s="120" t="str" cm="1">
        <f t="array" ref="D37:E40">_xlfn.CHOOSECOLS(EntericMethane_Dairy_Equations.VEERG_3_3_1_1__5_MilkProductionFromMilkSolids_Arguments(),1,2)</f>
        <v>MPU</v>
      </c>
      <c r="E37" s="125" t="str">
        <v>input milk production unit</v>
      </c>
      <c r="F37" s="126"/>
      <c r="G37" s="120" t="str" cm="1">
        <f t="array" ref="G37:H40">_xlfn.CHOOSECOLS(EntericMethane_Dairy_Equations.VEERG_3_3_1_1__5_MilkProductionFromMilkSolids_Arguments(),3,4)</f>
        <v/>
      </c>
      <c r="H37" s="121" t="str">
        <v>Input</v>
      </c>
      <c r="I37" s="120" t="str">
        <f>X_Cell_Dairy_MilkProductionUnit</f>
        <v>Litres of milk</v>
      </c>
      <c r="M37" s="120" t="str" cm="1">
        <f t="array" ref="M37:N40">_xlfn.CHOOSECOLS(EntericMethane_Dairy_Equations.VEERG_3_3_1_1__5_MilkProductionFromMilkSolids_Arguments_Method2(),1,2)</f>
        <v>MPU</v>
      </c>
      <c r="N37" s="125" t="str">
        <v>milk production unit</v>
      </c>
      <c r="O37" s="126"/>
      <c r="P37" s="120" t="str" cm="1">
        <f t="array" ref="P37:Q40">_xlfn.CHOOSECOLS(EntericMethane_Dairy_Equations.VEERG_3_3_1_1__5_MilkProductionFromMilkSolids_Arguments_Method2(),3,4)</f>
        <v/>
      </c>
      <c r="Q37" s="121" t="str">
        <v>Input</v>
      </c>
      <c r="R37" s="120"/>
    </row>
    <row r="38" spans="1:18" ht="20.100000000000001" customHeight="1" x14ac:dyDescent="0.25">
      <c r="A38" s="5" t="str">
        <f>HYPERLINK("#'8.1.1.1-2 Transport fuel'!A1", "8.1.1.1-2 Transport fuel")</f>
        <v>8.1.1.1-2 Transport fuel</v>
      </c>
      <c r="D38" s="120" t="str">
        <v>MS_j</v>
      </c>
      <c r="E38" s="125" t="str">
        <v>daily production of milk solids</v>
      </c>
      <c r="F38" s="126"/>
      <c r="G38" s="120" t="str">
        <v>kg MS/head/day</v>
      </c>
      <c r="H38" s="121" t="str">
        <v>Input</v>
      </c>
      <c r="I38" s="127" t="str" cm="1">
        <f t="array" aca="1" ref="I38" ca="1">HYPERLINK(Common_InputFunctions.Utility_SourceHyperlink($D$42),$D$42)</f>
        <v>M1_Table_MS_j</v>
      </c>
      <c r="M38" s="120" t="str">
        <v>MS_j</v>
      </c>
      <c r="N38" s="125" t="str">
        <v>daily production of milk solids</v>
      </c>
      <c r="O38" s="126"/>
      <c r="P38" s="120" t="str">
        <v>kg MS/head/day</v>
      </c>
      <c r="Q38" s="121" t="str">
        <v>Input</v>
      </c>
      <c r="R38" s="127"/>
    </row>
    <row r="39" spans="1:18" ht="20.100000000000001" customHeight="1" x14ac:dyDescent="0.25">
      <c r="A39" s="5" t="str">
        <f>HYPERLINK("#'8.2.1.1-2 Stationary fuel'!A1", "8.2.1.1-2 Stationary fuel")</f>
        <v>8.2.1.1-2 Stationary fuel</v>
      </c>
      <c r="D39" s="120" t="str">
        <v>FC_j</v>
      </c>
      <c r="E39" s="125" t="str">
        <v>fat content in fat and protein corrected milk</v>
      </c>
      <c r="F39" s="126"/>
      <c r="G39" s="120" t="str">
        <v>per cent</v>
      </c>
      <c r="H39" s="121" t="str">
        <v>Input</v>
      </c>
      <c r="I39" s="120">
        <f>INDEX(X_Table_Dairy_MilkSolidAttributes,2,2)*100</f>
        <v>4</v>
      </c>
      <c r="M39" s="120" t="str">
        <v>FC_j</v>
      </c>
      <c r="N39" s="125" t="str">
        <v>fat content in fat and protein corrected milk</v>
      </c>
      <c r="O39" s="126"/>
      <c r="P39" s="120" t="str">
        <v>per cent</v>
      </c>
      <c r="Q39" s="121" t="str">
        <v>Input</v>
      </c>
      <c r="R39" s="120">
        <f>INDEX(X_Table_Dairy_MilkSolidAttributes,2,3)*100</f>
        <v>4</v>
      </c>
    </row>
    <row r="40" spans="1:18" ht="20.100000000000001" customHeight="1" x14ac:dyDescent="0.25">
      <c r="A40" s="5" t="str">
        <f>HYPERLINK("#'14.1.1-2 Purchased electricity'!A1", "14.1.1-2 Purchased electricity")</f>
        <v>14.1.1-2 Purchased electricity</v>
      </c>
      <c r="D40" s="120" t="str">
        <v>PC_j</v>
      </c>
      <c r="E40" s="120" t="str">
        <v>protein content in fat and protein corrected milk</v>
      </c>
      <c r="F40" s="120"/>
      <c r="G40" s="120" t="str">
        <v>per cent</v>
      </c>
      <c r="H40" s="121" t="str">
        <v>Input</v>
      </c>
      <c r="I40" s="120">
        <f>INDEX(X_Table_Dairy_MilkSolidAttributes,3,2)*100</f>
        <v>3.3000000000000003</v>
      </c>
      <c r="M40" s="120" t="str">
        <v>PC_j</v>
      </c>
      <c r="N40" s="120" t="str">
        <v>protein content in fat and protein corrected milk</v>
      </c>
      <c r="O40" s="120"/>
      <c r="P40" s="120" t="str">
        <v>per cent</v>
      </c>
      <c r="Q40" s="121" t="str">
        <v>Input</v>
      </c>
      <c r="R40" s="120">
        <f>INDEX(X_Table_Dairy_MilkSolidAttributes,3,3)*100</f>
        <v>3.3000000000000003</v>
      </c>
    </row>
    <row r="41" spans="1:18" ht="20.100000000000001" customHeight="1" x14ac:dyDescent="0.25">
      <c r="A41" s="5" t="str">
        <f>HYPERLINK("#'15 Scope 3'!A1", "15 Scope 3")</f>
        <v>15 Scope 3</v>
      </c>
    </row>
    <row r="42" spans="1:18" ht="20.100000000000001" customHeight="1" x14ac:dyDescent="0.25">
      <c r="A42" s="5" t="str">
        <f>HYPERLINK("#'Calcs - Manure sent off-site'!A1", "Calcs - Manure sent off-site")</f>
        <v>Calcs - Manure sent off-site</v>
      </c>
      <c r="D42" s="122" t="s">
        <v>273</v>
      </c>
    </row>
    <row r="43" spans="1:18" ht="20.100000000000001" customHeight="1" x14ac:dyDescent="0.25">
      <c r="A43" s="5" t="str">
        <f>HYPERLINK("#'4.3.1.1-2 Methane'!A1", "4.3.1.1-2 Methane")</f>
        <v>4.3.1.1-2 Methane</v>
      </c>
      <c r="D43" s="123" t="s">
        <v>274</v>
      </c>
    </row>
    <row r="44" spans="1:18" ht="20.100000000000001" customHeight="1" x14ac:dyDescent="0.25">
      <c r="A44" s="5" t="str">
        <f>HYPERLINK("#'4.3.1.3-4 Direct N20'!A1", "4.3.1.3-4 Direct N20")</f>
        <v>4.3.1.3-4 Direct N20</v>
      </c>
      <c r="D44" s="94" t="s">
        <v>213</v>
      </c>
      <c r="E44" s="94" t="s">
        <v>214</v>
      </c>
      <c r="F44" s="94" t="s">
        <v>215</v>
      </c>
      <c r="G44" s="94" t="s">
        <v>216</v>
      </c>
      <c r="H44" s="94" t="s">
        <v>217</v>
      </c>
    </row>
    <row r="45" spans="1:18" ht="20.100000000000001" customHeight="1" x14ac:dyDescent="0.25">
      <c r="A45" s="5" t="str">
        <f>HYPERLINK("#'4.3.1.5 Atmos deposition'!A1", "4.3.1.5 Atmos deposition")</f>
        <v>4.3.1.5 Atmos deposition</v>
      </c>
      <c r="D45" s="25">
        <f>IF($I$37="Milk solids", X_Cell_Dairy_MilkProductionAmount, 0)</f>
        <v>0</v>
      </c>
      <c r="E45" s="25">
        <v>0</v>
      </c>
      <c r="F45" s="25">
        <v>0</v>
      </c>
      <c r="G45" s="25">
        <v>0</v>
      </c>
      <c r="H45" s="25">
        <v>0</v>
      </c>
      <c r="I45" s="26" t="s">
        <v>279</v>
      </c>
    </row>
    <row r="46" spans="1:18" ht="20.100000000000001" customHeight="1" x14ac:dyDescent="0.25">
      <c r="A46" s="5" t="str">
        <f>HYPERLINK("#'4.3.1.6-7 Leaching and runoff'!A1", "4.3.1.6-7 Leaching and runoff")</f>
        <v>4.3.1.6-7 Leaching and runoff</v>
      </c>
    </row>
    <row r="47" spans="1:18" ht="20.100000000000001" customHeight="1" x14ac:dyDescent="0.25">
      <c r="A47" s="5" t="str">
        <f>HYPERLINK("#'4.3.1.8 Manure applied to soils'!A1", "4.3.1.8 Manure applied to soils")</f>
        <v>4.3.1.8 Manure applied to soils</v>
      </c>
      <c r="D47" s="122" t="s">
        <v>275</v>
      </c>
      <c r="M47" s="122" t="s">
        <v>276</v>
      </c>
    </row>
    <row r="48" spans="1:18" ht="20.100000000000001" customHeight="1" x14ac:dyDescent="0.25">
      <c r="A48" s="5" t="str">
        <f>HYPERLINK("#'4.3.1.9 Soil direct N2O'!A1", "4.3.1.9 Soil direct N2O")</f>
        <v>4.3.1.9 Soil direct N2O</v>
      </c>
      <c r="D48" s="123" t="s">
        <v>277</v>
      </c>
      <c r="M48" s="123" t="s">
        <v>278</v>
      </c>
    </row>
    <row r="49" spans="1:19" ht="20.100000000000001" customHeight="1" x14ac:dyDescent="0.25">
      <c r="A49" s="5" t="str">
        <f>HYPERLINK("#'4.3.1.10-11 Soil Atmos Dep'!A1", "4.3.1.10-11 Soil Atmos Dep")</f>
        <v>4.3.1.10-11 Soil Atmos Dep</v>
      </c>
      <c r="D49" s="124" t="s">
        <v>213</v>
      </c>
      <c r="E49" s="124" t="s">
        <v>214</v>
      </c>
      <c r="F49" s="124" t="s">
        <v>215</v>
      </c>
      <c r="G49" s="124" t="s">
        <v>216</v>
      </c>
      <c r="H49" s="124" t="s">
        <v>217</v>
      </c>
      <c r="M49" s="124" t="s">
        <v>213</v>
      </c>
      <c r="N49" s="124" t="s">
        <v>214</v>
      </c>
      <c r="O49" s="124" t="s">
        <v>215</v>
      </c>
      <c r="P49" s="124" t="s">
        <v>216</v>
      </c>
      <c r="Q49" s="124" t="s">
        <v>217</v>
      </c>
    </row>
    <row r="50" spans="1:19" ht="20.100000000000001" customHeight="1" x14ac:dyDescent="0.25">
      <c r="A50" s="5" t="str">
        <f>HYPERLINK("#'4.3.1.12-13 Soil leach runoff'!A1", "4.3.1.12-13 Soil leach runoff")</f>
        <v>4.3.1.12-13 Soil leach runoff</v>
      </c>
      <c r="D50" s="25" cm="1">
        <f t="array" ref="D50">EntericMethane_Dairy_Equations.VEERG_3_3_1_1__5_MilkProductionFromMilkSolids(D45,I39,I40)</f>
        <v>0</v>
      </c>
      <c r="E50" s="25">
        <v>0</v>
      </c>
      <c r="F50" s="25">
        <v>0</v>
      </c>
      <c r="G50" s="25">
        <v>0</v>
      </c>
      <c r="H50" s="25">
        <v>0</v>
      </c>
      <c r="I50" s="26" t="s">
        <v>279</v>
      </c>
      <c r="M50" s="25" cm="1">
        <f t="array" ref="M50">EntericMethane_Dairy_Equations.VEERG_3_3_1_1__5_MilkProductionFromMilkSolids(D45,R39,R40)</f>
        <v>0</v>
      </c>
      <c r="N50" s="25">
        <v>0</v>
      </c>
      <c r="O50" s="25">
        <v>0</v>
      </c>
      <c r="P50" s="25">
        <v>0</v>
      </c>
      <c r="Q50" s="25">
        <v>0</v>
      </c>
      <c r="R50" s="26" t="s">
        <v>279</v>
      </c>
    </row>
    <row r="51" spans="1:19" ht="20.100000000000001" customHeight="1" x14ac:dyDescent="0.25">
      <c r="A51" s="119" t="str">
        <f>HYPERLINK("#'3.3.1.1-2 Enteric Methane'!A1", "3.3.1.1-2 Enteric Methane")</f>
        <v>3.3.1.1-2 Enteric Methane</v>
      </c>
    </row>
    <row r="52" spans="1:19" ht="20.100000000000001" customHeight="1" x14ac:dyDescent="0.25">
      <c r="A52" s="5" t="str">
        <f>HYPERLINK("#'10.1.1-2 Solid waste treatment'!A1", "10.1.1-2 Solid waste treatment")</f>
        <v>10.1.1-2 Solid waste treatment</v>
      </c>
    </row>
    <row r="53" spans="1:19" ht="20.100000000000001" customHeight="1" x14ac:dyDescent="0.25">
      <c r="C53" s="101"/>
      <c r="D53" s="101"/>
      <c r="E53" s="101"/>
      <c r="F53" s="101"/>
      <c r="G53" s="101"/>
      <c r="H53" s="101"/>
      <c r="I53" s="101"/>
      <c r="J53" s="101"/>
      <c r="L53" s="101"/>
      <c r="M53" s="101"/>
      <c r="N53" s="101"/>
      <c r="O53" s="101"/>
      <c r="P53" s="101"/>
      <c r="Q53" s="101"/>
      <c r="R53" s="101"/>
      <c r="S53" s="101"/>
    </row>
    <row r="54" spans="1:19" ht="20.100000000000001" customHeight="1" x14ac:dyDescent="0.25">
      <c r="D54" s="2" t="str" cm="1">
        <f t="array" ref="D54">EntericMethane_Dairy_Equations.VEERG_3_3_1_1__4_AdditionalIntakeForMilkProduction_Title()</f>
        <v>Additional intake required for milk production</v>
      </c>
    </row>
    <row r="55" spans="1:19" ht="20.100000000000001" customHeight="1" x14ac:dyDescent="0.25">
      <c r="A55" s="100" t="s">
        <v>1</v>
      </c>
      <c r="D55" s="27" t="str" cm="1">
        <f t="array" ref="D55">EntericMethane_Dairy_Equations.VEERG_3_3_1_1__4_AdditionalIntakeForMilkProduction_Source()</f>
        <v>VEERG 2026: 3.3.1.1, Equation (4)</v>
      </c>
    </row>
    <row r="56" spans="1:19" ht="20.100000000000001" customHeight="1" x14ac:dyDescent="0.25">
      <c r="A56" s="5" t="str">
        <f>HYPERLINK("#'Constants - Dairy'!A1", "Constants - Dairy")</f>
        <v>Constants - Dairy</v>
      </c>
      <c r="D56" s="3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Ag Residue'!A1", "Constants - Ag residue")</f>
        <v>Constants - Ag residue</v>
      </c>
      <c r="D57" s="118" t="s">
        <v>262</v>
      </c>
      <c r="E57" s="118"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Common Livestock'!A1", "Constants - Common Livestock")</f>
        <v>Constants - Common Livestock</v>
      </c>
      <c r="D58" s="2"/>
    </row>
    <row r="59" spans="1:19" ht="20.100000000000001" customHeight="1" x14ac:dyDescent="0.25">
      <c r="A59" s="5" t="str">
        <f>HYPERLINK("#'Constants - Electricity'!A1", "Constants - Electricity")</f>
        <v>Constants - Electricity</v>
      </c>
    </row>
    <row r="60" spans="1:19" ht="20.100000000000001" customHeight="1" x14ac:dyDescent="0.25">
      <c r="A60" s="5" t="str">
        <f>HYPERLINK("#'Constants - Fertiliser'!A1", "Constants - Fertiliser")</f>
        <v>Constants - Fertiliser</v>
      </c>
    </row>
    <row r="61" spans="1:19" ht="20.100000000000001" customHeight="1" x14ac:dyDescent="0.25">
      <c r="A61" s="5" t="str">
        <f>HYPERLINK("#'Constants - Fuel'!A1", "Constants - Fuel")</f>
        <v>Constants - Fuel</v>
      </c>
      <c r="D61" s="87" t="s">
        <v>263</v>
      </c>
      <c r="E61" s="1" t="str" cm="1">
        <f t="array" ref="E61">EntericMethane_Dairy_Equations.VEERG_3_3_1_1__4_AdditionalIntakeForMilkProduction_Variable()</f>
        <v>MI_j</v>
      </c>
    </row>
    <row r="62" spans="1:19" ht="20.100000000000001" customHeight="1" x14ac:dyDescent="0.25">
      <c r="A62" s="5" t="str">
        <f>HYPERLINK("#'Constants - Scope 3'!A1", "Constants - Scope 3")</f>
        <v>Constants - Scope 3</v>
      </c>
      <c r="D62" s="87" t="s">
        <v>122</v>
      </c>
      <c r="E62" s="15" t="str" cm="1">
        <f t="array" ref="E62">EntericMethane_Dairy_Equations.VEERG_3_3_1_1__4_AdditionalIntakeForMilkProduction_Unit()</f>
        <v>kg DM/head/day</v>
      </c>
    </row>
    <row r="63" spans="1:19" ht="20.100000000000001" customHeight="1" x14ac:dyDescent="0.25">
      <c r="A63" s="5" t="str">
        <f>HYPERLINK("#'Constants - Common'!A1", "Constants - Common")</f>
        <v>Constants - Common</v>
      </c>
    </row>
    <row r="64" spans="1:19" ht="20.100000000000001" customHeight="1" x14ac:dyDescent="0.25">
      <c r="A64" s="5" t="str">
        <f>HYPERLINK("#'Acknowledgements'!A1", "Acknowledgements")</f>
        <v>Acknowledgements</v>
      </c>
      <c r="D64" s="120" t="str" cm="1">
        <f t="array" ref="D64:E70">_xlfn.CHOOSECOLS(EntericMethane_Dairy_Equations.VEERG_3_3_1_1__4_AdditionalIntakeForMilkProduction_Arguments(), 1,2)</f>
        <v>MPU</v>
      </c>
      <c r="E64" s="125" t="str">
        <v>input milk production unit</v>
      </c>
      <c r="F64" s="126"/>
      <c r="G64" s="120" t="str" cm="1">
        <f t="array" ref="G64:H70">_xlfn.CHOOSECOLS(EntericMethane_Dairy_Equations.VEERG_3_3_1_1__4_AdditionalIntakeForMilkProduction_Arguments(), 3,4)</f>
        <v/>
      </c>
      <c r="H64" s="121" t="str">
        <v>Input</v>
      </c>
      <c r="I64" s="120" t="str">
        <f>X_Cell_Dairy_MilkProductionUnit</f>
        <v>Litres of milk</v>
      </c>
    </row>
    <row r="65" spans="1:18" ht="20.100000000000001" customHeight="1" x14ac:dyDescent="0.25">
      <c r="A65" s="5" t="str">
        <f>HYPERLINK("#'Constants - Solid Waste'!A1", "Constants - Solid Waste")</f>
        <v>Constants - Solid Waste</v>
      </c>
      <c r="D65" s="120" t="str">
        <v>MP_j</v>
      </c>
      <c r="E65" s="125" t="str">
        <v>milk production (if input as litres of milk)</v>
      </c>
      <c r="F65" s="126"/>
      <c r="G65" s="120" t="str">
        <v>L/head/day</v>
      </c>
      <c r="H65" s="121" t="str">
        <v>Input</v>
      </c>
      <c r="I65" s="127" t="str" cm="1">
        <f t="array" aca="1" ref="I65" ca="1">HYPERLINK(Common_InputFunctions.Utility_SourceHyperlink($D$72), $D$72)</f>
        <v>Table_MP_j</v>
      </c>
    </row>
    <row r="66" spans="1:18" ht="20.100000000000001" customHeight="1" x14ac:dyDescent="0.25">
      <c r="D66" s="120" t="str">
        <v>MP_j</v>
      </c>
      <c r="E66" s="125" t="str">
        <v>milk production (if input as milk solids)</v>
      </c>
      <c r="F66" s="126"/>
      <c r="G66" s="120" t="str">
        <v>L/head/day</v>
      </c>
      <c r="H66" s="128" t="str">
        <v>Calculated from 3.3.1.1 (5)</v>
      </c>
      <c r="I66" s="127" t="str" cm="1">
        <f t="array" aca="1" ref="I66" ca="1">HYPERLINK(Common_InputFunctions.Utility_SourceHyperlink($D$47),$D$47)</f>
        <v>M1_Table_MP_j_from_solids</v>
      </c>
    </row>
    <row r="67" spans="1:18" ht="20.100000000000001" customHeight="1" x14ac:dyDescent="0.25">
      <c r="D67" s="120" t="str">
        <v>NE</v>
      </c>
      <c r="E67" s="125" t="str">
        <v>net energy</v>
      </c>
      <c r="F67" s="126"/>
      <c r="G67" s="120" t="str">
        <v>MJ net energy/kg milk</v>
      </c>
      <c r="H67" s="128" t="str">
        <v>Constant</v>
      </c>
      <c r="I67" s="120">
        <f>SourceData_Dairy_NetEnergy_Data</f>
        <v>3.0539999999999998</v>
      </c>
    </row>
    <row r="68" spans="1:18" ht="20.100000000000001" customHeight="1" x14ac:dyDescent="0.25">
      <c r="D68" s="120" t="str">
        <v>GEC</v>
      </c>
      <c r="E68" s="125" t="str">
        <v>gross energy content</v>
      </c>
      <c r="F68" s="126"/>
      <c r="G68" s="120" t="str">
        <v>MJ/kgDM</v>
      </c>
      <c r="H68" s="128" t="str">
        <v>Constant</v>
      </c>
      <c r="I68" s="120">
        <f>SourceData_Dairy_GrossEnergyContent_Data</f>
        <v>18.399999999999999</v>
      </c>
    </row>
    <row r="69" spans="1:18" ht="20.100000000000001" customHeight="1" x14ac:dyDescent="0.25">
      <c r="D69" s="120" t="str">
        <v>k</v>
      </c>
      <c r="E69" s="125" t="str">
        <v>efficiency of metabolizable energy use for milk production</v>
      </c>
      <c r="F69" s="126"/>
      <c r="G69" s="120" t="str">
        <v>fraction</v>
      </c>
      <c r="H69" s="128" t="str">
        <v>Constant</v>
      </c>
      <c r="I69" s="120">
        <f>SourceData_Dairy_EfficiencyOfUseOfMetabolizableEnergy_Data</f>
        <v>0.6</v>
      </c>
    </row>
    <row r="70" spans="1:18" ht="20.100000000000001" customHeight="1" x14ac:dyDescent="0.25">
      <c r="D70" s="120" t="str">
        <v>qm_j</v>
      </c>
      <c r="E70" s="125" t="str">
        <v>metabolisability of the diet</v>
      </c>
      <c r="F70" s="126"/>
      <c r="G70" s="120" t="str">
        <v>fraction</v>
      </c>
      <c r="H70" s="128" t="str">
        <v>Calculated from 3.3.1.1 (6)</v>
      </c>
      <c r="I70" s="127" t="str" cm="1">
        <f t="array" aca="1" ref="I70" ca="1">HYPERLINK(Common_InputFunctions.Utility_SourceHyperlink($D$21), $D$21)</f>
        <v>M1_Table_qm_j</v>
      </c>
    </row>
    <row r="71" spans="1:18" ht="20.100000000000001" customHeight="1" x14ac:dyDescent="0.25"/>
    <row r="72" spans="1:18" ht="20.100000000000001" customHeight="1" x14ac:dyDescent="0.25">
      <c r="D72" s="122" t="s">
        <v>280</v>
      </c>
    </row>
    <row r="73" spans="1:18" ht="20.100000000000001" customHeight="1" x14ac:dyDescent="0.25">
      <c r="D73" s="123" t="s">
        <v>231</v>
      </c>
    </row>
    <row r="74" spans="1:18" ht="20.100000000000001" customHeight="1" x14ac:dyDescent="0.25">
      <c r="D74" s="94" t="s">
        <v>213</v>
      </c>
      <c r="E74" s="94" t="s">
        <v>214</v>
      </c>
      <c r="F74" s="94" t="s">
        <v>215</v>
      </c>
      <c r="G74" s="94" t="s">
        <v>216</v>
      </c>
      <c r="H74" s="94" t="s">
        <v>217</v>
      </c>
    </row>
    <row r="75" spans="1:18" ht="20.100000000000001" customHeight="1" x14ac:dyDescent="0.25">
      <c r="D75" s="25">
        <f>IF(I64="Milk solids", 0, X_Cell_Dairy_MilkProductionAmount)</f>
        <v>20</v>
      </c>
      <c r="E75" s="25">
        <v>0</v>
      </c>
      <c r="F75" s="25">
        <v>0</v>
      </c>
      <c r="G75" s="25">
        <v>0</v>
      </c>
      <c r="H75" s="25">
        <v>0</v>
      </c>
      <c r="I75" s="26" t="s">
        <v>279</v>
      </c>
    </row>
    <row r="76" spans="1:18" ht="20.100000000000001" customHeight="1" x14ac:dyDescent="0.25"/>
    <row r="77" spans="1:18" ht="20.100000000000001" customHeight="1" x14ac:dyDescent="0.25">
      <c r="D77" s="122" t="s">
        <v>281</v>
      </c>
      <c r="M77" s="122" t="s">
        <v>282</v>
      </c>
    </row>
    <row r="78" spans="1:18" ht="20.100000000000001" customHeight="1" x14ac:dyDescent="0.25">
      <c r="D78" s="123" t="s">
        <v>283</v>
      </c>
      <c r="M78" s="123" t="s">
        <v>284</v>
      </c>
    </row>
    <row r="79" spans="1:18" ht="20.100000000000001" customHeight="1" x14ac:dyDescent="0.25">
      <c r="D79" s="124" t="s">
        <v>213</v>
      </c>
      <c r="E79" s="124" t="s">
        <v>214</v>
      </c>
      <c r="F79" s="124" t="s">
        <v>215</v>
      </c>
      <c r="G79" s="124" t="s">
        <v>216</v>
      </c>
      <c r="H79" s="124" t="s">
        <v>217</v>
      </c>
      <c r="M79" s="124" t="s">
        <v>213</v>
      </c>
      <c r="N79" s="124" t="s">
        <v>214</v>
      </c>
      <c r="O79" s="124" t="s">
        <v>215</v>
      </c>
      <c r="P79" s="124" t="s">
        <v>216</v>
      </c>
      <c r="Q79" s="124" t="s">
        <v>217</v>
      </c>
    </row>
    <row r="80" spans="1: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1"/>
      <c r="D83" s="101"/>
      <c r="E83" s="101"/>
      <c r="F83" s="101"/>
      <c r="G83" s="101"/>
      <c r="H83" s="101"/>
      <c r="I83" s="101"/>
      <c r="J83" s="101"/>
      <c r="L83" s="101"/>
      <c r="M83" s="101"/>
      <c r="N83" s="101"/>
      <c r="O83" s="101"/>
      <c r="P83" s="101"/>
      <c r="Q83" s="101"/>
      <c r="R83" s="101"/>
      <c r="S83" s="101"/>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8" t="s">
        <v>262</v>
      </c>
      <c r="E86" s="118"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7" t="s">
        <v>263</v>
      </c>
      <c r="E89" s="1" t="str" cm="1">
        <f t="array" ref="E89">EntericMethane_Dairy_Equations.VEERG_3_3_1_1__3_DryMatterFeedIntake_Variable()</f>
        <v>I_j</v>
      </c>
    </row>
    <row r="90" spans="3:19" ht="20.100000000000001" customHeight="1" x14ac:dyDescent="0.25">
      <c r="D90" s="87" t="s">
        <v>122</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20" t="str" cm="1">
        <f t="array" ref="D92:E95">_xlfn.CHOOSECOLS(EntericMethane_Dairy_Equations.VEERG_3_3_1_1__3_DryMatterFeedIntake_Arguments(),1,2)</f>
        <v>W_j</v>
      </c>
      <c r="E92" s="125" t="str">
        <v>liveweight</v>
      </c>
      <c r="F92" s="126"/>
      <c r="G92" s="120" t="str" cm="1">
        <f t="array" ref="G92:H95">_xlfn.CHOOSECOLS(EntericMethane_Dairy_Equations.VEERG_3_3_1_1__3_DryMatterFeedIntake_Arguments(),3,4)</f>
        <v>kg</v>
      </c>
      <c r="H92" s="121" t="str">
        <v>Input</v>
      </c>
      <c r="I92" s="127" t="str" cm="1">
        <f t="array" aca="1" ref="I92" ca="1">HYPERLINK(Common_InputFunctions.Utility_SourceHyperlink($D$97), $D$97)</f>
        <v>M1_Table_W_j</v>
      </c>
    </row>
    <row r="93" spans="3:19" ht="20.100000000000001" customHeight="1" x14ac:dyDescent="0.25">
      <c r="D93" s="120" t="str">
        <v>LWG_j</v>
      </c>
      <c r="E93" s="125" t="str">
        <v>liveweight gain</v>
      </c>
      <c r="F93" s="126"/>
      <c r="G93" s="120" t="str">
        <v>kg/head/day</v>
      </c>
      <c r="H93" s="121" t="str">
        <v>Input</v>
      </c>
      <c r="I93" s="127" t="str" cm="1">
        <f t="array" aca="1" ref="I93" ca="1">HYPERLINK(Common_InputFunctions.Utility_SourceHyperlink($D$102), $D$102)</f>
        <v>M1_Table_LWG_j</v>
      </c>
    </row>
    <row r="94" spans="3:19" ht="20.100000000000001" customHeight="1" x14ac:dyDescent="0.25">
      <c r="D94" s="120" t="str">
        <v>MR_j</v>
      </c>
      <c r="E94" s="125" t="str">
        <v>increase in metabolic rate when producing milk</v>
      </c>
      <c r="F94" s="126"/>
      <c r="G94" s="120" t="str">
        <v>fraction</v>
      </c>
      <c r="H94" s="128" t="str">
        <v>Constant</v>
      </c>
      <c r="I94" s="127" t="str" cm="1">
        <f t="array" aca="1" ref="I94" ca="1">HYPERLINK(Common_InputFunctions.Utility_SourceHyperlink($D$107), $D$107)</f>
        <v>Table_MR_j</v>
      </c>
    </row>
    <row r="95" spans="3:19" ht="20.100000000000001" customHeight="1" x14ac:dyDescent="0.25">
      <c r="D95" s="120" t="str">
        <v>MI_j</v>
      </c>
      <c r="E95" s="125" t="str">
        <v>additional intake required for milk production</v>
      </c>
      <c r="F95" s="126"/>
      <c r="G95" s="120" t="str">
        <v>kg DM/head/day</v>
      </c>
      <c r="H95" s="128" t="str">
        <v>Calculated from 3.3.1.1 (4)</v>
      </c>
      <c r="I95" s="127" t="str" cm="1">
        <f t="array" aca="1" ref="I95" ca="1">HYPERLINK(Common_InputFunctions.Utility_SourceHyperlink($D$77), $D$77)</f>
        <v>M1_Table_MI_j</v>
      </c>
    </row>
    <row r="96" spans="3:19" ht="20.100000000000001" customHeight="1" x14ac:dyDescent="0.25"/>
    <row r="97" spans="4:18" ht="20.100000000000001" customHeight="1" x14ac:dyDescent="0.25">
      <c r="D97" s="122" t="s">
        <v>285</v>
      </c>
      <c r="M97" s="122" t="s">
        <v>286</v>
      </c>
    </row>
    <row r="98" spans="4:18" ht="20.100000000000001" customHeight="1" x14ac:dyDescent="0.25">
      <c r="D98" s="123" t="s">
        <v>287</v>
      </c>
      <c r="M98" s="123" t="s">
        <v>288</v>
      </c>
    </row>
    <row r="99" spans="4:18" ht="20.100000000000001" customHeight="1" x14ac:dyDescent="0.25">
      <c r="D99" s="94" t="s">
        <v>213</v>
      </c>
      <c r="E99" s="94" t="s">
        <v>214</v>
      </c>
      <c r="F99" s="94" t="s">
        <v>215</v>
      </c>
      <c r="G99" s="94" t="s">
        <v>216</v>
      </c>
      <c r="H99" s="94" t="s">
        <v>217</v>
      </c>
      <c r="M99" s="94" t="s">
        <v>213</v>
      </c>
      <c r="N99" s="94" t="s">
        <v>214</v>
      </c>
      <c r="O99" s="94" t="s">
        <v>215</v>
      </c>
      <c r="P99" s="94" t="s">
        <v>216</v>
      </c>
      <c r="Q99" s="94" t="s">
        <v>217</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222</v>
      </c>
      <c r="M100" s="25">
        <f>'Input - Dairy (Enteric)'!$E$18</f>
        <v>550</v>
      </c>
      <c r="N100" s="25">
        <f>'Input - Dairy (Enteric)'!$F$18</f>
        <v>380</v>
      </c>
      <c r="O100" s="25">
        <f>'Input - Dairy (Enteric)'!$G$18</f>
        <v>155</v>
      </c>
      <c r="P100" s="25">
        <f>'Input - Dairy (Enteric)'!$H$18</f>
        <v>600</v>
      </c>
      <c r="Q100" s="25">
        <f>'Input - Dairy (Enteric)'!$I$18</f>
        <v>225</v>
      </c>
      <c r="R100" s="26" t="s">
        <v>222</v>
      </c>
    </row>
    <row r="101" spans="4:18" ht="20.100000000000001" customHeight="1" x14ac:dyDescent="0.25"/>
    <row r="102" spans="4:18" ht="20.100000000000001" customHeight="1" x14ac:dyDescent="0.25">
      <c r="D102" s="122" t="s">
        <v>289</v>
      </c>
      <c r="M102" s="122" t="s">
        <v>290</v>
      </c>
    </row>
    <row r="103" spans="4:18" ht="20.100000000000001" customHeight="1" x14ac:dyDescent="0.25">
      <c r="D103" s="123" t="s">
        <v>291</v>
      </c>
      <c r="M103" s="123" t="s">
        <v>292</v>
      </c>
    </row>
    <row r="104" spans="4:18" ht="20.100000000000001" customHeight="1" x14ac:dyDescent="0.25">
      <c r="D104" s="94" t="s">
        <v>213</v>
      </c>
      <c r="E104" s="94" t="s">
        <v>214</v>
      </c>
      <c r="F104" s="94" t="s">
        <v>215</v>
      </c>
      <c r="G104" s="94" t="s">
        <v>216</v>
      </c>
      <c r="H104" s="94" t="s">
        <v>217</v>
      </c>
      <c r="M104" s="94" t="s">
        <v>213</v>
      </c>
      <c r="N104" s="94" t="s">
        <v>214</v>
      </c>
      <c r="O104" s="94" t="s">
        <v>215</v>
      </c>
      <c r="P104" s="94" t="s">
        <v>216</v>
      </c>
      <c r="Q104" s="94" t="s">
        <v>217</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224</v>
      </c>
      <c r="M105" s="25">
        <f>'Input - Dairy (Enteric)'!$E$19</f>
        <v>1.6E-2</v>
      </c>
      <c r="N105" s="25">
        <f>'Input - Dairy (Enteric)'!$F$19</f>
        <v>0.6</v>
      </c>
      <c r="O105" s="25">
        <f>'Input - Dairy (Enteric)'!$G$19</f>
        <v>0.56999999999999995</v>
      </c>
      <c r="P105" s="25">
        <f>'Input - Dairy (Enteric)'!$H$19</f>
        <v>0.1</v>
      </c>
      <c r="Q105" s="25">
        <f>'Input - Dairy (Enteric)'!$I$19</f>
        <v>0.8</v>
      </c>
      <c r="R105" s="26" t="s">
        <v>224</v>
      </c>
    </row>
    <row r="106" spans="4:18" ht="20.100000000000001" customHeight="1" x14ac:dyDescent="0.25"/>
    <row r="107" spans="4:18" ht="20.100000000000001" customHeight="1" x14ac:dyDescent="0.25">
      <c r="D107" s="122" t="s">
        <v>293</v>
      </c>
    </row>
    <row r="108" spans="4:18" ht="20.100000000000001" customHeight="1" x14ac:dyDescent="0.25">
      <c r="D108" s="123" t="s">
        <v>294</v>
      </c>
    </row>
    <row r="109" spans="4:18" ht="20.100000000000001" customHeight="1" x14ac:dyDescent="0.25">
      <c r="D109" s="124" t="s">
        <v>213</v>
      </c>
      <c r="E109" s="124" t="s">
        <v>214</v>
      </c>
      <c r="F109" s="124" t="s">
        <v>215</v>
      </c>
      <c r="G109" s="124" t="s">
        <v>216</v>
      </c>
      <c r="H109" s="124" t="s">
        <v>217</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229</v>
      </c>
    </row>
    <row r="111" spans="4:18" ht="20.100000000000001" customHeight="1" x14ac:dyDescent="0.25"/>
    <row r="112" spans="4:18" ht="20.100000000000001" customHeight="1" x14ac:dyDescent="0.25">
      <c r="D112" s="122" t="s">
        <v>295</v>
      </c>
      <c r="M112" s="122" t="s">
        <v>296</v>
      </c>
    </row>
    <row r="113" spans="3:19" ht="20.100000000000001" customHeight="1" x14ac:dyDescent="0.25">
      <c r="D113" s="123" t="s">
        <v>297</v>
      </c>
      <c r="M113" s="123" t="s">
        <v>298</v>
      </c>
    </row>
    <row r="114" spans="3:19" ht="20.100000000000001" customHeight="1" x14ac:dyDescent="0.25">
      <c r="D114" s="124" t="s">
        <v>213</v>
      </c>
      <c r="E114" s="124" t="s">
        <v>214</v>
      </c>
      <c r="F114" s="124" t="s">
        <v>215</v>
      </c>
      <c r="G114" s="124" t="s">
        <v>216</v>
      </c>
      <c r="H114" s="124" t="s">
        <v>217</v>
      </c>
      <c r="M114" s="124" t="s">
        <v>213</v>
      </c>
      <c r="N114" s="124" t="s">
        <v>214</v>
      </c>
      <c r="O114" s="124" t="s">
        <v>215</v>
      </c>
      <c r="P114" s="124" t="s">
        <v>216</v>
      </c>
      <c r="Q114" s="124" t="s">
        <v>217</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1"/>
      <c r="D118" s="101"/>
      <c r="E118" s="101"/>
      <c r="F118" s="101"/>
      <c r="G118" s="101"/>
      <c r="H118" s="101"/>
      <c r="I118" s="101"/>
      <c r="J118" s="101"/>
      <c r="L118" s="101"/>
      <c r="M118" s="101"/>
      <c r="N118" s="101"/>
      <c r="O118" s="101"/>
      <c r="P118" s="101"/>
      <c r="Q118" s="101"/>
      <c r="R118" s="101"/>
      <c r="S118" s="101"/>
    </row>
    <row r="119" spans="3:19" ht="20.100000000000001" customHeight="1" x14ac:dyDescent="0.25">
      <c r="D119" s="90"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8" t="s">
        <v>262</v>
      </c>
      <c r="E121" s="118"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7" t="s">
        <v>263</v>
      </c>
      <c r="E124" s="1" t="str" cm="1">
        <f t="array" ref="E124">EntericMethane_Dairy_Equations.VEERG_3_3_1_1__2_DailyEntericMethaneProduction_Variable()</f>
        <v>M_j</v>
      </c>
    </row>
    <row r="125" spans="3:19" ht="20.100000000000001" customHeight="1" x14ac:dyDescent="0.25">
      <c r="D125" s="87" t="s">
        <v>122</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0" t="str" cm="1">
        <f t="array" ref="D127:G127">EntericMethane_Dairy_Equations.VEERG_3_3_1_1__2_DailyEntericMethaneProduction_Arguments()</f>
        <v>I_j</v>
      </c>
      <c r="E127" s="120" t="str">
        <v>dry matter feed intake</v>
      </c>
      <c r="F127" s="120" t="str">
        <v>kg DM/head/day</v>
      </c>
      <c r="G127" s="128" t="str">
        <v>Calculated from 3.3.1.1 (3)</v>
      </c>
      <c r="H127" s="127" t="str" cm="1">
        <f t="array" aca="1" ref="H127" ca="1">HYPERLINK(Common_InputFunctions.Utility_SourceHyperlink($D$112),$D$112)</f>
        <v>M1_Table_I_j</v>
      </c>
    </row>
    <row r="128" spans="3:19" ht="20.100000000000001" customHeight="1" x14ac:dyDescent="0.25"/>
    <row r="129" spans="3:19" ht="20.100000000000001" customHeight="1" x14ac:dyDescent="0.25">
      <c r="D129" s="122" t="s">
        <v>534</v>
      </c>
      <c r="M129" s="122" t="s">
        <v>535</v>
      </c>
    </row>
    <row r="130" spans="3:19" ht="20.100000000000001" customHeight="1" x14ac:dyDescent="0.25">
      <c r="D130" s="123" t="s">
        <v>536</v>
      </c>
      <c r="M130" s="123" t="s">
        <v>537</v>
      </c>
    </row>
    <row r="131" spans="3:19" ht="20.100000000000001" customHeight="1" x14ac:dyDescent="0.25">
      <c r="D131" s="124" t="s">
        <v>213</v>
      </c>
      <c r="E131" s="124" t="s">
        <v>214</v>
      </c>
      <c r="F131" s="124" t="s">
        <v>215</v>
      </c>
      <c r="G131" s="124" t="s">
        <v>216</v>
      </c>
      <c r="H131" s="124" t="s">
        <v>217</v>
      </c>
      <c r="M131" s="124" t="s">
        <v>213</v>
      </c>
      <c r="N131" s="124" t="s">
        <v>214</v>
      </c>
      <c r="O131" s="124" t="s">
        <v>215</v>
      </c>
      <c r="P131" s="124" t="s">
        <v>216</v>
      </c>
      <c r="Q131" s="124" t="s">
        <v>217</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1"/>
      <c r="D135" s="101"/>
      <c r="E135" s="101"/>
      <c r="F135" s="101"/>
      <c r="G135" s="101"/>
      <c r="H135" s="101"/>
      <c r="I135" s="101"/>
      <c r="J135" s="101"/>
      <c r="L135" s="101"/>
      <c r="M135" s="101"/>
      <c r="N135" s="101"/>
      <c r="O135" s="101"/>
      <c r="P135" s="101"/>
      <c r="Q135" s="101"/>
      <c r="R135" s="101"/>
      <c r="S135" s="101"/>
    </row>
    <row r="136" spans="3:19" ht="20.100000000000001" customHeight="1" x14ac:dyDescent="0.25">
      <c r="D136" s="9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8" t="s">
        <v>262</v>
      </c>
      <c r="E139" s="118"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7" t="s">
        <v>263</v>
      </c>
      <c r="E145" s="1" t="str" cm="1">
        <f t="array" ref="E145">EntericMethane_Dairy_Equations.VEERG_3_3_1_1__1_TotalAnnualMethaneFromEntericFermentation_Variable()</f>
        <v>E_enteric</v>
      </c>
    </row>
    <row r="146" spans="4:9" ht="20.100000000000001" customHeight="1" x14ac:dyDescent="0.25">
      <c r="D146" s="87" t="s">
        <v>122</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20" t="str" cm="1">
        <f t="array" ref="D148:E155">_xlfn.CHOOSECOLS(EntericMethane_Dairy_Equations.VEERG_3_3_1_1__1_TotalAnnualMethaneFromEntericFermentation_Arguments(),1,2)</f>
        <v>N_j124</v>
      </c>
      <c r="E148" s="125" t="str">
        <v>number of dairy cattle in classes j=1,2,4</v>
      </c>
      <c r="F148" s="126"/>
      <c r="G148" s="120" t="str" cm="1">
        <f t="array" ref="G148:H155">_xlfn.CHOOSECOLS(EntericMethane_Dairy_Equations.VEERG_3_3_1_1__1_TotalAnnualMethaneFromEntericFermentation_Arguments(),3,4)</f>
        <v>head</v>
      </c>
      <c r="H148" s="121" t="str">
        <v>Input</v>
      </c>
      <c r="I148" s="127" t="str" cm="1">
        <f t="array" aca="1" ref="I148" ca="1">HYPERLINK(Common_InputFunctions.Utility_SourceHyperlink($D$157),$D$157)</f>
        <v>Table_N_j</v>
      </c>
    </row>
    <row r="149" spans="4:9" ht="20.100000000000001" customHeight="1" x14ac:dyDescent="0.25">
      <c r="D149" s="120" t="str">
        <v>M_j124</v>
      </c>
      <c r="E149" s="125" t="str">
        <v>daily enteric methane production for classes j=1,2,4</v>
      </c>
      <c r="F149" s="126"/>
      <c r="G149" s="120" t="str">
        <v>kg CH4/head/day</v>
      </c>
      <c r="H149" s="128" t="str">
        <v>Calculated from 3.3.1.1 (2)</v>
      </c>
      <c r="I149" s="127" t="str" cm="1">
        <f t="array" aca="1" ref="I149" ca="1">HYPERLINK(Common_InputFunctions.Utility_SourceHyperlink($D$129),$D$129)</f>
        <v>M1_Table_M_j</v>
      </c>
    </row>
    <row r="150" spans="4:9" ht="20.100000000000001" customHeight="1" x14ac:dyDescent="0.25">
      <c r="D150" s="120" t="str">
        <v>D_j124</v>
      </c>
      <c r="E150" s="125" t="str">
        <v>duration of stay on the farm for classes j=1,2,4</v>
      </c>
      <c r="F150" s="126"/>
      <c r="G150" s="120" t="str">
        <v>days</v>
      </c>
      <c r="H150" s="121" t="str">
        <v>Input</v>
      </c>
      <c r="I150" s="127" t="str" cm="1">
        <f t="array" aca="1" ref="I150" ca="1">HYPERLINK(Common_InputFunctions.Utility_SourceHyperlink($D$162),$D$162)</f>
        <v>M1_Table_D_j</v>
      </c>
    </row>
    <row r="151" spans="4:9" ht="20.100000000000001" customHeight="1" x14ac:dyDescent="0.25">
      <c r="D151" s="120" t="str">
        <v>N_j35</v>
      </c>
      <c r="E151" s="125" t="str">
        <v>number of dairy cattle in classes j=3,5</v>
      </c>
      <c r="F151" s="126"/>
      <c r="G151" s="120" t="str">
        <v>head</v>
      </c>
      <c r="H151" s="121" t="str">
        <v>Input</v>
      </c>
      <c r="I151" s="127" t="str" cm="1">
        <f t="array" aca="1" ref="I151" ca="1">HYPERLINK(Common_InputFunctions.Utility_SourceHyperlink($D$157),$D$157)</f>
        <v>Table_N_j</v>
      </c>
    </row>
    <row r="152" spans="4:9" ht="20.100000000000001" customHeight="1" x14ac:dyDescent="0.25">
      <c r="D152" s="120" t="str">
        <v>M_j35</v>
      </c>
      <c r="E152" s="125" t="str">
        <v>daily enteric methane production for weaned classes j=3,5</v>
      </c>
      <c r="F152" s="126"/>
      <c r="G152" s="120" t="str">
        <v>kg CH4/head/day</v>
      </c>
      <c r="H152" s="128" t="str">
        <v>Calculated from 3.3.1.1 (2)</v>
      </c>
      <c r="I152" s="127" t="str" cm="1">
        <f t="array" aca="1" ref="I152" ca="1">HYPERLINK(Common_InputFunctions.Utility_SourceHyperlink($D$129),$D$129)</f>
        <v>M1_Table_M_j</v>
      </c>
    </row>
    <row r="153" spans="4:9" ht="20.100000000000001" customHeight="1" x14ac:dyDescent="0.25">
      <c r="D153" s="120" t="str">
        <v>D_j35</v>
      </c>
      <c r="E153" s="125" t="str">
        <v>duration of stay on the farm for weaned classes j=3,5</v>
      </c>
      <c r="F153" s="126"/>
      <c r="G153" s="120" t="str">
        <v>days</v>
      </c>
      <c r="H153" s="121" t="str">
        <v>Input</v>
      </c>
      <c r="I153" s="127" t="str" cm="1">
        <f t="array" aca="1" ref="I153" ca="1">HYPERLINK(Common_InputFunctions.Utility_SourceHyperlink($D$162),$D$162)</f>
        <v>M1_Table_D_j</v>
      </c>
    </row>
    <row r="154" spans="4:9" ht="20.100000000000001" customHeight="1" x14ac:dyDescent="0.25">
      <c r="D154" s="120" t="str">
        <v>DPW_j35</v>
      </c>
      <c r="E154" s="125" t="str">
        <v>duration of stay on the farm for pre-weaned heifer and bull calves</v>
      </c>
      <c r="F154" s="126"/>
      <c r="G154" s="120" t="str">
        <v>days</v>
      </c>
      <c r="H154" s="121" t="str">
        <v>Input</v>
      </c>
      <c r="I154" s="127" t="str" cm="1">
        <f t="array" aca="1" ref="I154" ca="1">HYPERLINK(Common_InputFunctions.Utility_SourceHyperlink($D$167),$D$167)</f>
        <v>M1_Table_DPW_j-3-5</v>
      </c>
    </row>
    <row r="155" spans="4:9" ht="20.100000000000001" customHeight="1" x14ac:dyDescent="0.25">
      <c r="D155" s="120" t="str">
        <v>MPW_ENTERIC_j35</v>
      </c>
      <c r="E155" s="120" t="str">
        <v>daily methane production for pre-weaned heifer and bull calves</v>
      </c>
      <c r="F155" s="120"/>
      <c r="G155" s="120" t="str">
        <v>kg CH4/head/day</v>
      </c>
      <c r="H155" s="128" t="str">
        <v>Constant</v>
      </c>
      <c r="I155" s="127" t="str" cm="1">
        <f t="array" aca="1" ref="I155" ca="1">HYPERLINK(Common_InputFunctions.Utility_SourceHyperlink($D$172),$D$172)</f>
        <v>M1_Table_MPW_j-3-5</v>
      </c>
    </row>
    <row r="156" spans="4:9" ht="20.100000000000001" customHeight="1" x14ac:dyDescent="0.25"/>
    <row r="157" spans="4:9" ht="20.100000000000001" customHeight="1" x14ac:dyDescent="0.25">
      <c r="D157" s="122" t="s">
        <v>336</v>
      </c>
    </row>
    <row r="158" spans="4:9" ht="20.100000000000001" customHeight="1" x14ac:dyDescent="0.25">
      <c r="D158" s="123" t="s">
        <v>538</v>
      </c>
    </row>
    <row r="159" spans="4:9" ht="20.100000000000001" customHeight="1" x14ac:dyDescent="0.25">
      <c r="D159" s="94" t="s">
        <v>213</v>
      </c>
      <c r="E159" s="94" t="s">
        <v>214</v>
      </c>
      <c r="F159" s="94" t="s">
        <v>215</v>
      </c>
      <c r="G159" s="94" t="s">
        <v>216</v>
      </c>
      <c r="H159" s="94" t="s">
        <v>217</v>
      </c>
    </row>
    <row r="160" spans="4:9" ht="20.100000000000001" customHeight="1" x14ac:dyDescent="0.25">
      <c r="D160" s="134">
        <f>'Input - Dairy (Enteric)'!E10</f>
        <v>100</v>
      </c>
      <c r="E160" s="134">
        <f>'Input - Dairy (Enteric)'!F10</f>
        <v>100</v>
      </c>
      <c r="F160" s="134">
        <f>'Input - Dairy (Enteric)'!G10</f>
        <v>100</v>
      </c>
      <c r="G160" s="134">
        <f>'Input - Dairy (Enteric)'!H10</f>
        <v>100</v>
      </c>
      <c r="H160" s="134">
        <f>'Input - Dairy (Enteric)'!I10</f>
        <v>100</v>
      </c>
      <c r="I160" s="15" t="str">
        <f>$G$148</f>
        <v>head</v>
      </c>
    </row>
    <row r="161" spans="4:18" ht="20.100000000000001" customHeight="1" x14ac:dyDescent="0.25"/>
    <row r="162" spans="4:18" ht="20.100000000000001" customHeight="1" x14ac:dyDescent="0.25">
      <c r="D162" s="122" t="s">
        <v>339</v>
      </c>
      <c r="M162" s="122" t="s">
        <v>340</v>
      </c>
    </row>
    <row r="163" spans="4:18" ht="20.100000000000001" customHeight="1" x14ac:dyDescent="0.25">
      <c r="D163" s="123" t="s">
        <v>539</v>
      </c>
      <c r="M163" s="123" t="s">
        <v>540</v>
      </c>
    </row>
    <row r="164" spans="4:18" ht="20.100000000000001" customHeight="1" x14ac:dyDescent="0.25">
      <c r="D164" s="94" t="s">
        <v>213</v>
      </c>
      <c r="E164" s="94" t="s">
        <v>214</v>
      </c>
      <c r="F164" s="94" t="s">
        <v>215</v>
      </c>
      <c r="G164" s="94" t="s">
        <v>216</v>
      </c>
      <c r="H164" s="94" t="s">
        <v>217</v>
      </c>
      <c r="M164" s="94" t="s">
        <v>213</v>
      </c>
      <c r="N164" s="94" t="s">
        <v>214</v>
      </c>
      <c r="O164" s="94" t="s">
        <v>215</v>
      </c>
      <c r="P164" s="94" t="s">
        <v>216</v>
      </c>
      <c r="Q164" s="94" t="s">
        <v>217</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2" t="s">
        <v>541</v>
      </c>
      <c r="M167" s="122" t="s">
        <v>542</v>
      </c>
    </row>
    <row r="168" spans="4:18" ht="20.100000000000001" customHeight="1" x14ac:dyDescent="0.25">
      <c r="D168" s="123" t="s">
        <v>543</v>
      </c>
      <c r="M168" s="123" t="s">
        <v>544</v>
      </c>
    </row>
    <row r="169" spans="4:18" ht="20.100000000000001" customHeight="1" x14ac:dyDescent="0.25">
      <c r="D169" s="94" t="s">
        <v>213</v>
      </c>
      <c r="E169" s="94" t="s">
        <v>214</v>
      </c>
      <c r="F169" s="94" t="s">
        <v>215</v>
      </c>
      <c r="G169" s="94" t="s">
        <v>216</v>
      </c>
      <c r="H169" s="94" t="s">
        <v>217</v>
      </c>
      <c r="M169" s="94" t="s">
        <v>213</v>
      </c>
      <c r="N169" s="94" t="s">
        <v>214</v>
      </c>
      <c r="O169" s="94" t="s">
        <v>215</v>
      </c>
      <c r="P169" s="94" t="s">
        <v>216</v>
      </c>
      <c r="Q169" s="94" t="s">
        <v>217</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2" t="s">
        <v>545</v>
      </c>
    </row>
    <row r="173" spans="4:18" ht="20.100000000000001" customHeight="1" x14ac:dyDescent="0.25">
      <c r="D173" s="123" t="s">
        <v>543</v>
      </c>
    </row>
    <row r="174" spans="4:18" ht="20.100000000000001" customHeight="1" x14ac:dyDescent="0.25">
      <c r="D174" s="124" t="s">
        <v>215</v>
      </c>
      <c r="E174" s="124" t="s">
        <v>217</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2" t="s">
        <v>546</v>
      </c>
      <c r="M177" s="122" t="s">
        <v>546</v>
      </c>
    </row>
    <row r="178" spans="1:18" ht="20.100000000000001" customHeight="1" x14ac:dyDescent="0.25">
      <c r="A178" s="129" t="str">
        <f>HYPERLINK("#A1", "▲ Back to top")</f>
        <v>▲ Back to top</v>
      </c>
      <c r="D178" s="123" t="s">
        <v>547</v>
      </c>
      <c r="M178" s="123" t="s">
        <v>547</v>
      </c>
    </row>
    <row r="179" spans="1:18" ht="20.100000000000001" customHeight="1" x14ac:dyDescent="0.25">
      <c r="D179" s="124" t="s">
        <v>213</v>
      </c>
      <c r="E179" s="124" t="s">
        <v>214</v>
      </c>
      <c r="F179" s="124" t="s">
        <v>215</v>
      </c>
      <c r="G179" s="124" t="s">
        <v>216</v>
      </c>
      <c r="H179" s="124" t="s">
        <v>217</v>
      </c>
      <c r="M179" s="124" t="s">
        <v>213</v>
      </c>
      <c r="N179" s="124" t="s">
        <v>214</v>
      </c>
      <c r="O179" s="124" t="s">
        <v>215</v>
      </c>
      <c r="P179" s="124" t="s">
        <v>216</v>
      </c>
      <c r="Q179" s="124" t="s">
        <v>217</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5" t="s">
        <v>548</v>
      </c>
      <c r="E182" s="136">
        <f>SUM(D180:H180)</f>
        <v>32.464682683989999</v>
      </c>
      <c r="F182" s="137" t="str">
        <f>$E$146</f>
        <v>t CH4</v>
      </c>
      <c r="M182" s="135" t="s">
        <v>548</v>
      </c>
      <c r="N182" s="136">
        <f>SUM(M180:Q180)</f>
        <v>32.464682683989999</v>
      </c>
      <c r="O182" s="137" t="str">
        <f>$E$146</f>
        <v>t CH4</v>
      </c>
    </row>
    <row r="183" spans="1:18" ht="20.100000000000001" customHeight="1" x14ac:dyDescent="0.25"/>
    <row r="184" spans="1:18" ht="20.100000000000001" customHeight="1" x14ac:dyDescent="0.25">
      <c r="D184" s="132" t="str" cm="1">
        <f t="array" ref="D184:E185">Common_Equations.Common_ConvertCH4ToCO2e_Arguments()</f>
        <v>ECH4</v>
      </c>
      <c r="E184" s="138" t="str">
        <v>Methane emissions (t CH4)</v>
      </c>
      <c r="F184" s="139"/>
      <c r="G184" s="25">
        <f>VEERG_3_3_1_1__1_TotalAnnualMethaneFromEntericFermentationVariation_Result_Method1</f>
        <v>32.464682683989999</v>
      </c>
      <c r="M184" s="132" t="str" cm="1">
        <f t="array" ref="M184:N185">Common_Equations.Common_ConvertCH4ToCO2e_Arguments()</f>
        <v>ECH4</v>
      </c>
      <c r="N184" s="138" t="str">
        <v>Methane emissions (t CH4)</v>
      </c>
      <c r="O184" s="139"/>
      <c r="P184" s="25">
        <f>VEERG_3_3_1_1__1_TotalAnnualMethaneFromEntericFermentationVariation_Result_Method2</f>
        <v>32.464682683989999</v>
      </c>
    </row>
    <row r="185" spans="1:18" ht="20.100000000000001" customHeight="1" x14ac:dyDescent="0.25">
      <c r="D185" s="132" t="str">
        <v>GWPCH4</v>
      </c>
      <c r="E185" s="138" t="str">
        <v>Global warming potential for methane (t CO2-e / t CH4)</v>
      </c>
      <c r="F185" s="139"/>
      <c r="G185" s="25">
        <f>Common_InputFunctions.Utility_LookupValueInTableNumber("CH4",Table_GWPData[Gas],Table_GWPData[CO2-e factor])</f>
        <v>28</v>
      </c>
      <c r="M185" s="132" t="str">
        <v>GWPCH4</v>
      </c>
      <c r="N185" s="138" t="str">
        <v>Global warming potential for methane (t CO2-e / t CH4)</v>
      </c>
      <c r="O185" s="139"/>
      <c r="P185" s="25">
        <f>Common_InputFunctions.Utility_LookupValueInTableNumber("CH4",Table_GWPData[Gas],Table_GWPData[CO2-e factor])</f>
        <v>28</v>
      </c>
    </row>
    <row r="186" spans="1:18" ht="20.100000000000001" customHeight="1" x14ac:dyDescent="0.25"/>
    <row r="187" spans="1:18" ht="20.100000000000001" customHeight="1" x14ac:dyDescent="0.25">
      <c r="D187" s="101" t="s">
        <v>412</v>
      </c>
      <c r="E187" s="101" cm="1">
        <f t="array" ref="E187">Common_Equations.Common_ConvertN2OToCO2e(G184,G185)</f>
        <v>909.01111515171999</v>
      </c>
      <c r="F187" s="140" t="str" cm="1">
        <f t="array" ref="F187">Common_Equations.Common_ConvertN2OToCO2e_Unit()</f>
        <v>t CO2e</v>
      </c>
      <c r="M187" s="101" t="s">
        <v>412</v>
      </c>
      <c r="N187" s="101" cm="1">
        <f t="array" ref="N187">Common_Equations.Common_ConvertN2OToCO2e(P184,P185)</f>
        <v>909.01111515171999</v>
      </c>
      <c r="O187" s="140"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9"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9"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E0E2D5FA-3712-46E8-BF53-EDB3B81EEFDC}"/>
  </dataValidations>
  <pageMargins left="0.7" right="0.7" top="0.75" bottom="0.75" header="0.3" footer="0.3"/>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6C5E3-5AA8-426B-A960-16E9DB21A6C2}">
  <sheetPr>
    <tabColor rgb="FF008000"/>
  </sheetPr>
  <dimension ref="A1:L342"/>
  <sheetViews>
    <sheetView showGridLines="0" topLeftCell="A174"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0" customFormat="1" ht="30" customHeight="1" x14ac:dyDescent="0.35">
      <c r="A1" s="16" t="e" vm="1">
        <v>#VALUE!</v>
      </c>
      <c r="C1" s="30" t="s">
        <v>916</v>
      </c>
    </row>
    <row r="2" spans="1:12" s="3" customFormat="1" ht="20.100000000000001" customHeight="1" x14ac:dyDescent="0.25">
      <c r="A2"/>
    </row>
    <row r="3" spans="1:12" ht="20.100000000000001" customHeight="1" x14ac:dyDescent="0.25">
      <c r="A3" s="5" t="str">
        <f>HYPERLINK("#'Home'!A1", "Home")</f>
        <v>Home</v>
      </c>
      <c r="C3" s="32"/>
      <c r="D3" s="32" t="s">
        <v>136</v>
      </c>
      <c r="E3" s="32"/>
      <c r="F3" s="32"/>
      <c r="G3" s="32"/>
      <c r="H3" s="32"/>
      <c r="I3" s="32"/>
      <c r="J3" s="32"/>
      <c r="K3" s="32"/>
      <c r="L3" s="32"/>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8" t="s">
        <v>262</v>
      </c>
      <c r="E7" s="118"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7" t="s">
        <v>263</v>
      </c>
      <c r="E10" s="1" t="str" cm="1">
        <f t="array" ref="E10">WasteSolid_Equations.VEERG_10_1_1_1__2_MassOfWasteFromVolume_Variable()</f>
        <v>Q_wt</v>
      </c>
    </row>
    <row r="11" spans="1:12" ht="20.100000000000001" customHeight="1" x14ac:dyDescent="0.25">
      <c r="A11" s="5" t="str">
        <f>HYPERLINK("#'Input - Dairy'!A1", "Dairy")</f>
        <v>Dairy</v>
      </c>
      <c r="D11" s="87" t="s">
        <v>122</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20" t="str" cm="1">
        <f t="array" ref="D13:E16">_xlfn.CHOOSECOLS(WasteSolid_Equations.VEERG_10_1_1_1__2_MassOfWasteFromVolume_Arguments(),1,2)</f>
        <v>V_wt</v>
      </c>
      <c r="E13" s="125" t="str">
        <v>volume of solid waste type w being sent to treatment facility t</v>
      </c>
      <c r="F13" s="126"/>
      <c r="G13" s="120" t="str" cm="1">
        <f t="array" ref="G13:H16">_xlfn.CHOOSECOLS(WasteSolid_Equations.VEERG_10_1_1_1__2_MassOfWasteFromVolume_Arguments(),3,4)</f>
        <v>m3</v>
      </c>
      <c r="H13" s="121" t="str">
        <v>Input</v>
      </c>
      <c r="I13" s="127" t="str" cm="1">
        <f t="array" aca="1" ref="I13" ca="1">HYPERLINK(Common_InputFunctions.Utility_SourceHyperlink($D$18),$D$18)</f>
        <v>Table_V_w_t_onsite</v>
      </c>
      <c r="J13" s="127"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20" t="str">
        <v>VTM_w</v>
      </c>
      <c r="E14" s="125" t="str">
        <v>conversion factor of volume to mass for waste type w</v>
      </c>
      <c r="F14" s="126"/>
      <c r="G14" s="120" t="str">
        <v>t/m3</v>
      </c>
      <c r="H14" s="128" t="str">
        <v>Constant</v>
      </c>
      <c r="I14" s="127" t="str" cm="1">
        <f t="array" aca="1" ref="I14" ca="1">HYPERLINK(Common_InputFunctions.Utility_SourceHyperlink($D$18),$D$18)</f>
        <v>Table_V_w_t_onsite</v>
      </c>
      <c r="J14" s="127" t="str" cm="1">
        <f t="array" aca="1" ref="J14" ca="1">HYPERLINK(Common_InputFunctions.Utility_SourceHyperlink($D$56),$D$56)</f>
        <v>Table_V_w_t_offsite</v>
      </c>
    </row>
    <row r="15" spans="1:12" ht="20.100000000000001" customHeight="1" x14ac:dyDescent="0.25">
      <c r="A15" s="5" t="str">
        <f>HYPERLINK("#'Input - Pasture'!A1", "Pasture")</f>
        <v>Pasture</v>
      </c>
      <c r="D15" s="120" t="str">
        <v>w</v>
      </c>
      <c r="E15" s="125" t="str">
        <v>waste type</v>
      </c>
      <c r="F15" s="126"/>
      <c r="G15" s="120" t="str">
        <v/>
      </c>
      <c r="H15" s="121" t="str">
        <v>Input</v>
      </c>
      <c r="I15" s="127" t="str" cm="1">
        <f t="array" aca="1" ref="I15" ca="1">HYPERLINK(Common_InputFunctions.Utility_SourceHyperlink($D$18),$D$18)</f>
        <v>Table_V_w_t_onsite</v>
      </c>
      <c r="J15" s="127"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20" t="str">
        <v>t</v>
      </c>
      <c r="E16" s="125" t="str">
        <v>treatment facility</v>
      </c>
      <c r="F16" s="126"/>
      <c r="G16" s="120" t="str">
        <v/>
      </c>
      <c r="H16" s="121" t="str">
        <v>Input</v>
      </c>
      <c r="I16" s="127" t="str" cm="1">
        <f t="array" aca="1" ref="I16" ca="1">HYPERLINK(Common_InputFunctions.Utility_SourceHyperlink($D$18),$D$18)</f>
        <v>Table_V_w_t_onsite</v>
      </c>
      <c r="J16" s="127"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2" t="s">
        <v>917</v>
      </c>
    </row>
    <row r="19" spans="1:9" ht="20.100000000000001" customHeight="1" x14ac:dyDescent="0.25">
      <c r="A19" s="5" t="str">
        <f>HYPERLINK("#'Input - Electricity'!A1", "Electricity")</f>
        <v>Electricity</v>
      </c>
      <c r="D19" s="123" t="s">
        <v>918</v>
      </c>
    </row>
    <row r="20" spans="1:9" ht="20.100000000000001" customHeight="1" x14ac:dyDescent="0.25">
      <c r="A20" s="5" t="str">
        <f>HYPERLINK("#'Input - Common farm inputs'!A1", "Common farm inputs")</f>
        <v>Common farm inputs</v>
      </c>
      <c r="D20" s="94" t="s">
        <v>919</v>
      </c>
      <c r="E20" s="94" t="s">
        <v>920</v>
      </c>
      <c r="F20" s="94"/>
      <c r="G20" s="94" t="s">
        <v>921</v>
      </c>
      <c r="H20" s="124" t="s">
        <v>922</v>
      </c>
      <c r="I20" s="124" t="s">
        <v>923</v>
      </c>
    </row>
    <row r="21" spans="1:9" ht="20.100000000000001" customHeight="1" x14ac:dyDescent="0.25">
      <c r="A21" s="5" t="str">
        <f>HYPERLINK("#'Input - Crop pasture farm input'!A1", "Crop pasture farm input")</f>
        <v>Crop pasture farm input</v>
      </c>
      <c r="D21" s="120" t="str" cm="1">
        <f t="array" ref="D21:D54">Table_SourceData_WasteSolid_WasteTreatmentEFs[Treatment type t]</f>
        <v>Landfill</v>
      </c>
      <c r="E21" s="125" t="str" cm="1">
        <f t="array" ref="E21:E54">Table_SourceData_WasteSolid_WasteTreatmentEFs[Waste type w]</f>
        <v>Food waste (including animal carcasses, spoiled animal feed or crop)</v>
      </c>
      <c r="F21" s="187"/>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Livestock farm Inputs'!A1", "Livestock farm Inputs")</f>
        <v>Livestock farm Inputs</v>
      </c>
      <c r="D22" s="120" t="str">
        <v>Landfill</v>
      </c>
      <c r="E22" s="125" t="str">
        <v>Paper and cardboard</v>
      </c>
      <c r="F22" s="187"/>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Freight'!A1", "Freight")</f>
        <v>Freight</v>
      </c>
      <c r="D23" s="120" t="str">
        <v>Landfill</v>
      </c>
      <c r="E23" s="125" t="str">
        <v>Green waste (including crop residues or prunings)</v>
      </c>
      <c r="F23" s="187"/>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Manure sent off-site'!A1", "Manure sent off-site")</f>
        <v>Manure sent off-site</v>
      </c>
      <c r="D24" s="120" t="str">
        <v>Landfill</v>
      </c>
      <c r="E24" s="125" t="str">
        <v>Wood</v>
      </c>
      <c r="F24" s="187"/>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HYPERLINK("#'Input - Solid waste'!A1", "Solid waste")</f>
        <v>Solid waste</v>
      </c>
      <c r="D25" s="120" t="str">
        <v>Landfill</v>
      </c>
      <c r="E25" s="125" t="str">
        <v>Textiles</v>
      </c>
      <c r="F25" s="187"/>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HYPERLINK("#'Input - Data quality'!A1", "Data quality")</f>
        <v>Data quality</v>
      </c>
      <c r="D26" s="120" t="str">
        <v>Landfill</v>
      </c>
      <c r="E26" s="125" t="str">
        <v>Sludge</v>
      </c>
      <c r="F26" s="187"/>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D27" s="120" t="str">
        <v>Landfill</v>
      </c>
      <c r="E27" s="125" t="str">
        <v>Rubber and leather</v>
      </c>
      <c r="F27" s="187"/>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D28" s="120" t="str">
        <v>Landfill</v>
      </c>
      <c r="E28" s="125" t="str">
        <v>Inert waste (including concrete, metal, plastic or glass)</v>
      </c>
      <c r="F28" s="187"/>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6" t="s">
        <v>2</v>
      </c>
      <c r="D29" s="120" t="str">
        <v>Landfill</v>
      </c>
      <c r="E29" s="125" t="str">
        <v>Municipal solid waste</v>
      </c>
      <c r="F29" s="187"/>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HYPERLINK("#'5.1.1.1-2 Inorganic fert N2O'!A1", "5.1.1.1-2 Inorganic fert N2O")</f>
        <v>5.1.1.1-2 Inorganic fert N2O</v>
      </c>
      <c r="D30" s="120" t="str">
        <v>Landfill</v>
      </c>
      <c r="E30" s="125" t="str">
        <v>Commercial and industrial waste</v>
      </c>
      <c r="F30" s="187"/>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HYPERLINK("#'5.1.1.3-4 Inorganic fert CO2'!A1", "5.1.1.3-4 Inorganic fert CO2")</f>
        <v>5.1.1.3-4 Inorganic fert CO2</v>
      </c>
      <c r="D31" s="120" t="str">
        <v>Landfill</v>
      </c>
      <c r="E31" s="125" t="str">
        <v>Construction and demolition waste</v>
      </c>
      <c r="F31" s="187"/>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HYPERLINK("#'5.2.1.1-2 Organic Fert N2O'!A1", "5.2.1.1-2 Organic fert N2O")</f>
        <v>5.2.1.1-2 Organic fert N2O</v>
      </c>
      <c r="D32" s="120" t="str">
        <v>Incineration</v>
      </c>
      <c r="E32" s="125" t="str">
        <v>Food waste, green waste, wood, sludge</v>
      </c>
      <c r="F32" s="187"/>
      <c r="G32" s="25" t="s">
        <v>645</v>
      </c>
      <c r="H32" s="25" t="s">
        <v>645</v>
      </c>
      <c r="I32" s="25" t="s">
        <v>645</v>
      </c>
    </row>
    <row r="33" spans="1:9" ht="20.100000000000001" customHeight="1" x14ac:dyDescent="0.25">
      <c r="A33" s="5" t="str">
        <f>HYPERLINK("#'5.3.1.1-2 Lime CO2'!A1", "5.3.1.1-2 Lime CO2")</f>
        <v>5.3.1.1-2 Lime CO2</v>
      </c>
      <c r="D33" s="120" t="str">
        <v>Incineration</v>
      </c>
      <c r="E33" s="125" t="str">
        <v>Food waste (including animal carcasses, spoiled animal feed or crop)</v>
      </c>
      <c r="F33" s="187"/>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HYPERLINK("#'5.4.1.1-4 Atmos deposition'!A1", "5.4.1.1-4 Atmos. deposition")</f>
        <v>5.4.1.1-4 Atmos. deposition</v>
      </c>
      <c r="D34" s="120" t="str">
        <v>Incineration</v>
      </c>
      <c r="E34" s="125" t="str">
        <v>Green waste (including crop residues or prunings)</v>
      </c>
      <c r="F34" s="187"/>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HYPERLINK("#'5.5.1.1-2 Leaching and runoff'!A1", "5.5.1.1-2 Leaching &amp; runoff")</f>
        <v>5.5.1.1-2 Leaching &amp; runoff</v>
      </c>
      <c r="D35" s="120" t="str">
        <v>Incineration</v>
      </c>
      <c r="E35" s="125" t="str">
        <v>Wood</v>
      </c>
      <c r="F35" s="187"/>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HYPERLINK("#'6.2.1.1-2 Pasture residue N2O'!A1", "6.2.1.1-2 Pasture residue N2O")</f>
        <v>6.2.1.1-2 Pasture residue N2O</v>
      </c>
      <c r="D36" s="120" t="str">
        <v>Incineration</v>
      </c>
      <c r="E36" s="125" t="str">
        <v>Sludge</v>
      </c>
      <c r="F36" s="187"/>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HYPERLINK("#'6.3.1.1-2 Leach runoff pasture'!A1", "6.3.1.1-2 Leach &amp; runoff (pasture)")</f>
        <v>6.3.1.1-2 Leach &amp; runoff (pasture)</v>
      </c>
      <c r="D37" s="120" t="str">
        <v>Incineration</v>
      </c>
      <c r="E37" s="125" t="str">
        <v>Paper and cardboard</v>
      </c>
      <c r="F37" s="187"/>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HYPERLINK("#'8.1.1.1-2 Transport fuel'!A1", "8.1.1.1-2 Transport fuel")</f>
        <v>8.1.1.1-2 Transport fuel</v>
      </c>
      <c r="D38" s="120" t="str">
        <v>Incineration</v>
      </c>
      <c r="E38" s="125" t="str">
        <v>Textiles</v>
      </c>
      <c r="F38" s="187"/>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HYPERLINK("#'8.2.1.1-2 Stationary fuel'!A1", "8.2.1.1-2 Stationary fuel")</f>
        <v>8.2.1.1-2 Stationary fuel</v>
      </c>
      <c r="D39" s="120" t="str">
        <v>Incineration</v>
      </c>
      <c r="E39" s="125" t="str">
        <v>Rubber and leather</v>
      </c>
      <c r="F39" s="187"/>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HYPERLINK("#'14.1.1-2 Purchased electricity'!A1", "14.1.1-2 Purchased electricity")</f>
        <v>14.1.1-2 Purchased electricity</v>
      </c>
      <c r="D40" s="120" t="str">
        <v>Incineration</v>
      </c>
      <c r="E40" s="120" t="str">
        <v>Inert waste (including concrete, metal, plastic or glass)</v>
      </c>
      <c r="F40" s="120"/>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HYPERLINK("#'15 Scope 3'!A1", "15 Scope 3")</f>
        <v>15 Scope 3</v>
      </c>
      <c r="D41" s="120" t="str">
        <v>Incineration</v>
      </c>
      <c r="E41" s="125" t="str">
        <v>Municipal solid waste</v>
      </c>
      <c r="F41" s="126"/>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HYPERLINK("#'Calcs - Manure sent off-site'!A1", "Calcs - Manure sent off-site")</f>
        <v>Calcs - Manure sent off-site</v>
      </c>
      <c r="D42" s="120" t="str">
        <v>Incineration</v>
      </c>
      <c r="E42" s="125" t="str">
        <v>Commercial and industrial waste</v>
      </c>
      <c r="F42" s="126"/>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HYPERLINK("#'4.3.1.1-2 Methane'!A1", "4.3.1.1-2 Methane")</f>
        <v>4.3.1.1-2 Methane</v>
      </c>
      <c r="D43" s="120" t="str">
        <v>Composting</v>
      </c>
      <c r="E43" s="125" t="str">
        <v>All organic waste</v>
      </c>
      <c r="F43" s="126"/>
      <c r="G43" s="25" t="s">
        <v>645</v>
      </c>
      <c r="H43" s="25" t="s">
        <v>645</v>
      </c>
      <c r="I43" s="25" t="s">
        <v>645</v>
      </c>
    </row>
    <row r="44" spans="1:9" ht="20.100000000000001" customHeight="1" x14ac:dyDescent="0.25">
      <c r="A44" s="5" t="str">
        <f>HYPERLINK("#'4.3.1.3-4 Direct N20'!A1", "4.3.1.3-4 Direct N20")</f>
        <v>4.3.1.3-4 Direct N20</v>
      </c>
      <c r="D44" s="120" t="str">
        <v>Composting</v>
      </c>
      <c r="E44" s="125" t="str">
        <v>Food waste (including animal carcasses, spoiled animal feed or crop)</v>
      </c>
      <c r="F44" s="126"/>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HYPERLINK("#'4.3.1.5 Atmos deposition'!A1", "4.3.1.5 Atmos deposition")</f>
        <v>4.3.1.5 Atmos deposition</v>
      </c>
      <c r="D45" s="120" t="str">
        <v>Composting</v>
      </c>
      <c r="E45" s="125" t="str">
        <v>Green waste (including crop residues or prunings)</v>
      </c>
      <c r="F45" s="126"/>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HYPERLINK("#'4.3.1.6-7 Leaching and runoff'!A1", "4.3.1.6-7 Leaching and runoff")</f>
        <v>4.3.1.6-7 Leaching and runoff</v>
      </c>
      <c r="D46" s="120" t="str">
        <v>Composting</v>
      </c>
      <c r="E46" s="125" t="str">
        <v>Wood</v>
      </c>
      <c r="F46" s="126"/>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HYPERLINK("#'4.3.1.8 Manure applied to soils'!A1", "4.3.1.8 Manure applied to soils")</f>
        <v>4.3.1.8 Manure applied to soils</v>
      </c>
      <c r="D47" s="120" t="str">
        <v>Composting</v>
      </c>
      <c r="E47" s="125" t="str">
        <v>Sludge</v>
      </c>
      <c r="F47" s="126"/>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HYPERLINK("#'4.3.1.9 Soil direct N2O'!A1", "4.3.1.9 Soil direct N2O")</f>
        <v>4.3.1.9 Soil direct N2O</v>
      </c>
      <c r="D48" s="120" t="str">
        <v>Composting</v>
      </c>
      <c r="E48" s="125" t="str">
        <v>Paper and cardboard</v>
      </c>
      <c r="F48" s="126"/>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5" t="str">
        <f>HYPERLINK("#'4.3.1.10-11 Soil Atmos Dep'!A1", "4.3.1.10-11 Soil Atmos Dep")</f>
        <v>4.3.1.10-11 Soil Atmos Dep</v>
      </c>
      <c r="D49" s="120" t="str">
        <v>Anaerobic digestion</v>
      </c>
      <c r="E49" s="125" t="str">
        <v>All organic waste</v>
      </c>
      <c r="F49" s="126"/>
      <c r="G49" s="25" t="s">
        <v>645</v>
      </c>
      <c r="H49" s="25" t="s">
        <v>645</v>
      </c>
      <c r="I49" s="25" t="s">
        <v>645</v>
      </c>
    </row>
    <row r="50" spans="1:9" ht="20.100000000000001" customHeight="1" x14ac:dyDescent="0.25">
      <c r="A50" s="5" t="str">
        <f>HYPERLINK("#'4.3.1.12-13 Soil leach runoff'!A1", "4.3.1.12-13 Soil leach runoff")</f>
        <v>4.3.1.12-13 Soil leach runoff</v>
      </c>
      <c r="D50" s="120" t="str">
        <v>Anaerobic digestion</v>
      </c>
      <c r="E50" s="125" t="str">
        <v>Food waste (including animal carcasses, spoiled animal feed or crop)</v>
      </c>
      <c r="F50" s="126"/>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5" t="str">
        <f>HYPERLINK("#'3.3.1.1-2 Enteric Methane'!A1", "3.3.1.1-2 Enteric Methane")</f>
        <v>3.3.1.1-2 Enteric Methane</v>
      </c>
      <c r="D51" s="120" t="str">
        <v>Anaerobic digestion</v>
      </c>
      <c r="E51" s="125" t="str">
        <v>Green waste (including crop residues or prunings)</v>
      </c>
      <c r="F51" s="126"/>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119" t="str">
        <f>HYPERLINK("#'10.1.1-2 Solid waste treatment'!A1", "10.1.1-2 Solid waste treatment")</f>
        <v>10.1.1-2 Solid waste treatment</v>
      </c>
      <c r="D52" s="120" t="str">
        <v>Anaerobic digestion</v>
      </c>
      <c r="E52" s="125" t="str">
        <v>Wood</v>
      </c>
      <c r="F52" s="126"/>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D53" s="120" t="str">
        <v>Anaerobic digestion</v>
      </c>
      <c r="E53" s="125" t="str">
        <v>Sludge</v>
      </c>
      <c r="F53" s="126"/>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D54" s="120" t="str">
        <v>Anaerobic digestion</v>
      </c>
      <c r="E54" s="125" t="str">
        <v>Paper and cardboard</v>
      </c>
      <c r="F54" s="126"/>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100" t="s">
        <v>1</v>
      </c>
    </row>
    <row r="56" spans="1:9" ht="20.100000000000001" customHeight="1" x14ac:dyDescent="0.25">
      <c r="A56" s="5" t="str">
        <f>HYPERLINK("#'Constants - Dairy'!A1", "Constants - Dairy")</f>
        <v>Constants - Dairy</v>
      </c>
      <c r="D56" s="122" t="s">
        <v>924</v>
      </c>
    </row>
    <row r="57" spans="1:9" ht="20.100000000000001" customHeight="1" x14ac:dyDescent="0.25">
      <c r="A57" s="5" t="str">
        <f>HYPERLINK("#'Constants - Ag Residue'!A1", "Constants - Ag residue")</f>
        <v>Constants - Ag residue</v>
      </c>
      <c r="D57" s="123" t="s">
        <v>925</v>
      </c>
    </row>
    <row r="58" spans="1:9" ht="20.100000000000001" customHeight="1" x14ac:dyDescent="0.25">
      <c r="A58" s="5" t="str">
        <f>HYPERLINK("#'Constants - Common Livestock'!A1", "Constants - Common Livestock")</f>
        <v>Constants - Common Livestock</v>
      </c>
      <c r="D58" s="94" t="s">
        <v>919</v>
      </c>
      <c r="E58" s="94" t="s">
        <v>920</v>
      </c>
      <c r="F58" s="94"/>
      <c r="G58" s="94" t="s">
        <v>921</v>
      </c>
      <c r="H58" s="124" t="s">
        <v>922</v>
      </c>
      <c r="I58" s="124" t="s">
        <v>923</v>
      </c>
    </row>
    <row r="59" spans="1:9" ht="20.100000000000001" customHeight="1" x14ac:dyDescent="0.25">
      <c r="A59" s="5" t="str">
        <f>HYPERLINK("#'Constants - Electricity'!A1", "Constants - Electricity")</f>
        <v>Constants - Electricity</v>
      </c>
      <c r="D59" s="120" t="str" cm="1">
        <f t="array" ref="D59:D92">Table_SourceData_WasteSolid_WasteTreatmentEFs[Treatment type t]</f>
        <v>Landfill</v>
      </c>
      <c r="E59" s="125" t="str" cm="1">
        <f t="array" ref="E59:E92">Table_SourceData_WasteSolid_WasteTreatmentEFs[Waste type w]</f>
        <v>Food waste (including animal carcasses, spoiled animal feed or crop)</v>
      </c>
      <c r="F59" s="187"/>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Fertiliser'!A1", "Constants - Fertiliser")</f>
        <v>Constants - Fertiliser</v>
      </c>
      <c r="D60" s="120" t="str">
        <v>Landfill</v>
      </c>
      <c r="E60" s="125" t="str">
        <v>Paper and cardboard</v>
      </c>
      <c r="F60" s="187"/>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HYPERLINK("#'Constants - Fuel'!A1", "Constants - Fuel")</f>
        <v>Constants - Fuel</v>
      </c>
      <c r="D61" s="120" t="str">
        <v>Landfill</v>
      </c>
      <c r="E61" s="125" t="str">
        <v>Green waste (including crop residues or prunings)</v>
      </c>
      <c r="F61" s="187"/>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Scope 3'!A1", "Constants - Scope 3")</f>
        <v>Constants - Scope 3</v>
      </c>
      <c r="D62" s="120" t="str">
        <v>Landfill</v>
      </c>
      <c r="E62" s="125" t="str">
        <v>Wood</v>
      </c>
      <c r="F62" s="187"/>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A63" s="5" t="str">
        <f>HYPERLINK("#'Constants - Common'!A1", "Constants - Common")</f>
        <v>Constants - Common</v>
      </c>
      <c r="D63" s="120" t="str">
        <v>Landfill</v>
      </c>
      <c r="E63" s="125" t="str">
        <v>Textiles</v>
      </c>
      <c r="F63" s="187"/>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A64" s="5" t="str">
        <f>HYPERLINK("#'Acknowledgements'!A1", "Acknowledgements")</f>
        <v>Acknowledgements</v>
      </c>
      <c r="D64" s="120" t="str">
        <v>Landfill</v>
      </c>
      <c r="E64" s="125" t="str">
        <v>Sludge</v>
      </c>
      <c r="F64" s="187"/>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1:9" ht="20.100000000000001" customHeight="1" x14ac:dyDescent="0.25">
      <c r="A65" s="5" t="str">
        <f>HYPERLINK("#'Constants - Solid Waste'!A1", "Constants - Solid Waste")</f>
        <v>Constants - Solid Waste</v>
      </c>
      <c r="D65" s="120" t="str">
        <v>Landfill</v>
      </c>
      <c r="E65" s="125" t="str">
        <v>Rubber and leather</v>
      </c>
      <c r="F65" s="187"/>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1:9" ht="20.100000000000001" customHeight="1" x14ac:dyDescent="0.25">
      <c r="D66" s="120" t="str">
        <v>Landfill</v>
      </c>
      <c r="E66" s="125" t="str">
        <v>Inert waste (including concrete, metal, plastic or glass)</v>
      </c>
      <c r="F66" s="187"/>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1:9" ht="20.100000000000001" customHeight="1" x14ac:dyDescent="0.25">
      <c r="D67" s="120" t="str">
        <v>Landfill</v>
      </c>
      <c r="E67" s="125" t="str">
        <v>Municipal solid waste</v>
      </c>
      <c r="F67" s="187"/>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1:9" ht="20.100000000000001" customHeight="1" x14ac:dyDescent="0.25">
      <c r="D68" s="120" t="str">
        <v>Landfill</v>
      </c>
      <c r="E68" s="125" t="str">
        <v>Commercial and industrial waste</v>
      </c>
      <c r="F68" s="187"/>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1:9" ht="20.100000000000001" customHeight="1" x14ac:dyDescent="0.25">
      <c r="D69" s="120" t="str">
        <v>Landfill</v>
      </c>
      <c r="E69" s="125" t="str">
        <v>Construction and demolition waste</v>
      </c>
      <c r="F69" s="187"/>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1:9" ht="20.100000000000001" customHeight="1" x14ac:dyDescent="0.25">
      <c r="D70" s="120" t="str">
        <v>Incineration</v>
      </c>
      <c r="E70" s="125" t="str">
        <v>Food waste, green waste, wood, sludge</v>
      </c>
      <c r="F70" s="187"/>
      <c r="G70" s="25" t="s">
        <v>645</v>
      </c>
      <c r="H70" s="25" t="s">
        <v>645</v>
      </c>
      <c r="I70" s="25" t="s">
        <v>645</v>
      </c>
    </row>
    <row r="71" spans="1:9" ht="20.100000000000001" customHeight="1" x14ac:dyDescent="0.25">
      <c r="D71" s="120" t="str">
        <v>Incineration</v>
      </c>
      <c r="E71" s="125" t="str">
        <v>Food waste (including animal carcasses, spoiled animal feed or crop)</v>
      </c>
      <c r="F71" s="187"/>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1:9" ht="20.100000000000001" customHeight="1" x14ac:dyDescent="0.25">
      <c r="D72" s="120" t="str">
        <v>Incineration</v>
      </c>
      <c r="E72" s="125" t="str">
        <v>Green waste (including crop residues or prunings)</v>
      </c>
      <c r="F72" s="187"/>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1:9" ht="20.100000000000001" customHeight="1" x14ac:dyDescent="0.25">
      <c r="D73" s="120" t="str">
        <v>Incineration</v>
      </c>
      <c r="E73" s="125" t="str">
        <v>Wood</v>
      </c>
      <c r="F73" s="187"/>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1:9" ht="20.100000000000001" customHeight="1" x14ac:dyDescent="0.25">
      <c r="D74" s="120" t="str">
        <v>Incineration</v>
      </c>
      <c r="E74" s="125" t="str">
        <v>Sludge</v>
      </c>
      <c r="F74" s="187"/>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1:9" ht="20.100000000000001" customHeight="1" x14ac:dyDescent="0.25">
      <c r="D75" s="120" t="str">
        <v>Incineration</v>
      </c>
      <c r="E75" s="125" t="str">
        <v>Paper and cardboard</v>
      </c>
      <c r="F75" s="187"/>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1:9" ht="20.100000000000001" customHeight="1" x14ac:dyDescent="0.25">
      <c r="D76" s="120" t="str">
        <v>Incineration</v>
      </c>
      <c r="E76" s="125" t="str">
        <v>Textiles</v>
      </c>
      <c r="F76" s="187"/>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1:9" ht="20.100000000000001" customHeight="1" x14ac:dyDescent="0.25">
      <c r="D77" s="120" t="str">
        <v>Incineration</v>
      </c>
      <c r="E77" s="125" t="str">
        <v>Rubber and leather</v>
      </c>
      <c r="F77" s="187"/>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1:9" ht="20.100000000000001" customHeight="1" x14ac:dyDescent="0.25">
      <c r="D78" s="120" t="str">
        <v>Incineration</v>
      </c>
      <c r="E78" s="125" t="str">
        <v>Inert waste (including concrete, metal, plastic or glass)</v>
      </c>
      <c r="F78" s="187"/>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1:9" ht="20.100000000000001" customHeight="1" x14ac:dyDescent="0.25">
      <c r="D79" s="120" t="str">
        <v>Incineration</v>
      </c>
      <c r="E79" s="125" t="str">
        <v>Municipal solid waste</v>
      </c>
      <c r="F79" s="126"/>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1:9" ht="20.100000000000001" customHeight="1" x14ac:dyDescent="0.25">
      <c r="D80" s="120" t="str">
        <v>Incineration</v>
      </c>
      <c r="E80" s="125" t="str">
        <v>Commercial and industrial waste</v>
      </c>
      <c r="F80" s="126"/>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20" t="str">
        <v>Composting</v>
      </c>
      <c r="E81" s="125" t="str">
        <v>All organic waste</v>
      </c>
      <c r="F81" s="126"/>
      <c r="G81" s="25" t="s">
        <v>645</v>
      </c>
      <c r="H81" s="25" t="s">
        <v>645</v>
      </c>
      <c r="I81" s="25" t="s">
        <v>645</v>
      </c>
    </row>
    <row r="82" spans="3:12" ht="20.100000000000001" customHeight="1" x14ac:dyDescent="0.25">
      <c r="D82" s="120" t="str">
        <v>Composting</v>
      </c>
      <c r="E82" s="125" t="str">
        <v>Food waste (including animal carcasses, spoiled animal feed or crop)</v>
      </c>
      <c r="F82" s="126"/>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20" t="str">
        <v>Composting</v>
      </c>
      <c r="E83" s="125" t="str">
        <v>Green waste (including crop residues or prunings)</v>
      </c>
      <c r="F83" s="126"/>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20" t="str">
        <v>Composting</v>
      </c>
      <c r="E84" s="125" t="str">
        <v>Wood</v>
      </c>
      <c r="F84" s="126"/>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20" t="str">
        <v>Composting</v>
      </c>
      <c r="E85" s="125" t="str">
        <v>Sludge</v>
      </c>
      <c r="F85" s="126"/>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20" t="str">
        <v>Composting</v>
      </c>
      <c r="E86" s="125" t="str">
        <v>Paper and cardboard</v>
      </c>
      <c r="F86" s="126"/>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20" t="str">
        <v>Anaerobic digestion</v>
      </c>
      <c r="E87" s="125" t="str">
        <v>All organic waste</v>
      </c>
      <c r="F87" s="126"/>
      <c r="G87" s="25" t="s">
        <v>645</v>
      </c>
      <c r="H87" s="25" t="s">
        <v>645</v>
      </c>
      <c r="I87" s="25" t="s">
        <v>645</v>
      </c>
    </row>
    <row r="88" spans="3:12" ht="20.100000000000001" customHeight="1" x14ac:dyDescent="0.25">
      <c r="D88" s="120" t="str">
        <v>Anaerobic digestion</v>
      </c>
      <c r="E88" s="125" t="str">
        <v>Food waste (including animal carcasses, spoiled animal feed or crop)</v>
      </c>
      <c r="F88" s="126"/>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20" t="str">
        <v>Anaerobic digestion</v>
      </c>
      <c r="E89" s="125" t="str">
        <v>Green waste (including crop residues or prunings)</v>
      </c>
      <c r="F89" s="126"/>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20" t="str">
        <v>Anaerobic digestion</v>
      </c>
      <c r="E90" s="125" t="str">
        <v>Wood</v>
      </c>
      <c r="F90" s="126"/>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20" t="str">
        <v>Anaerobic digestion</v>
      </c>
      <c r="E91" s="125" t="str">
        <v>Sludge</v>
      </c>
      <c r="F91" s="126"/>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20" t="str">
        <v>Anaerobic digestion</v>
      </c>
      <c r="E92" s="125" t="str">
        <v>Paper and cardboard</v>
      </c>
      <c r="F92" s="126"/>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1"/>
      <c r="D95" s="101"/>
      <c r="E95" s="101"/>
      <c r="F95" s="101"/>
      <c r="G95" s="101"/>
      <c r="H95" s="101"/>
      <c r="I95" s="101"/>
      <c r="J95" s="101"/>
      <c r="K95" s="101"/>
      <c r="L95" s="101"/>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8" t="s">
        <v>262</v>
      </c>
      <c r="E99" s="118"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7" t="s">
        <v>263</v>
      </c>
      <c r="E102" s="1" t="str" cm="1">
        <f t="array" ref="E102">WasteSolid_Equations.VEERG_10_1_1_1__1_EmissionsFromWasteManagement_Variable()</f>
        <v>E_g</v>
      </c>
    </row>
    <row r="103" spans="4:9" ht="20.100000000000001" customHeight="1" x14ac:dyDescent="0.25">
      <c r="D103" s="87" t="s">
        <v>122</v>
      </c>
      <c r="E103" s="15" t="str" cm="1">
        <f t="array" ref="E103">WasteSolid_Equations.VEERG_10_1_1_1__1_EmissionsFromWasteManagement_Unit()</f>
        <v>t CO2e</v>
      </c>
    </row>
    <row r="104" spans="4:9" ht="20.100000000000001" customHeight="1" x14ac:dyDescent="0.25"/>
    <row r="105" spans="4:9" ht="20.100000000000001" customHeight="1" x14ac:dyDescent="0.25">
      <c r="D105" s="120" t="str" cm="1">
        <f t="array" ref="D105:E111">_xlfn.CHOOSECOLS(WasteSolid_Equations.VEERG_10_1_1_1__1_EmissionsFromWasteManagement_Arguments(),1,2)</f>
        <v>Q_wt</v>
      </c>
      <c r="E105" s="125" t="str">
        <v>quantity of solid waste of type w being sent to treatment facility t, on a wet weight basis</v>
      </c>
      <c r="F105" s="133"/>
      <c r="G105" s="126"/>
      <c r="H105" s="120" t="str" cm="1">
        <f t="array" ref="H105:I111">_xlfn.CHOOSECOLS(WasteSolid_Equations.VEERG_10_1_1_1__1_EmissionsFromWasteManagement_Arguments(),3,4)</f>
        <v>t</v>
      </c>
      <c r="I105" s="128" t="str">
        <v>Sum of Q_volwt and Q_masswt</v>
      </c>
    </row>
    <row r="106" spans="4:9" ht="20.100000000000001" customHeight="1" x14ac:dyDescent="0.25">
      <c r="D106" s="120" t="str">
        <v>EF_wtg</v>
      </c>
      <c r="E106" s="125" t="str">
        <v>emission factor for greenhouse gas g for the management of waste at treatment facility t</v>
      </c>
      <c r="F106" s="133"/>
      <c r="G106" s="126"/>
      <c r="H106" s="120" t="str">
        <v>t CO2e/t</v>
      </c>
      <c r="I106" s="128" t="str">
        <v>Constant</v>
      </c>
    </row>
    <row r="107" spans="4:9" ht="20.100000000000001" customHeight="1" x14ac:dyDescent="0.25">
      <c r="D107" s="120" t="str">
        <v>w</v>
      </c>
      <c r="E107" s="125" t="str">
        <v>waste type</v>
      </c>
      <c r="F107" s="133"/>
      <c r="G107" s="126"/>
      <c r="H107" s="120" t="str">
        <v/>
      </c>
      <c r="I107" s="121" t="str">
        <v>Input</v>
      </c>
    </row>
    <row r="108" spans="4:9" ht="20.100000000000001" customHeight="1" x14ac:dyDescent="0.25">
      <c r="D108" s="120" t="str">
        <v>t</v>
      </c>
      <c r="E108" s="125" t="str">
        <v>treatment facility</v>
      </c>
      <c r="F108" s="133"/>
      <c r="G108" s="126"/>
      <c r="H108" s="120" t="str">
        <v/>
      </c>
      <c r="I108" s="121" t="str">
        <v>Input</v>
      </c>
    </row>
    <row r="109" spans="4:9" ht="20.100000000000001" customHeight="1" x14ac:dyDescent="0.25">
      <c r="D109" s="120" t="str">
        <v>g</v>
      </c>
      <c r="E109" s="125" t="str">
        <v>greenhouse gas</v>
      </c>
      <c r="F109" s="133"/>
      <c r="G109" s="126"/>
      <c r="H109" s="120" t="str">
        <v/>
      </c>
      <c r="I109" s="121" t="str">
        <v>Input</v>
      </c>
    </row>
    <row r="110" spans="4:9" ht="20.100000000000001" customHeight="1" x14ac:dyDescent="0.25">
      <c r="D110" s="120" t="str">
        <v>Q_volwt</v>
      </c>
      <c r="E110" s="125" t="str">
        <v>quantity of sold waste input as volume and converted to tonnes</v>
      </c>
      <c r="F110" s="133"/>
      <c r="G110" s="126"/>
      <c r="H110" s="120" t="str">
        <v>tonnes</v>
      </c>
      <c r="I110" s="128" t="str">
        <v>Calculated from 10.1.1.1 (2)</v>
      </c>
    </row>
    <row r="111" spans="4:9" ht="20.100000000000001" customHeight="1" x14ac:dyDescent="0.25">
      <c r="D111" s="120" t="str">
        <v>Q_masswt</v>
      </c>
      <c r="E111" s="125" t="str">
        <v>quantity of solid waste input as mass</v>
      </c>
      <c r="F111" s="133"/>
      <c r="G111" s="126"/>
      <c r="H111" s="120" t="str">
        <v>tonnes</v>
      </c>
      <c r="I111" s="121" t="str">
        <v>Input</v>
      </c>
    </row>
    <row r="112" spans="4:9" ht="20.100000000000001" customHeight="1" x14ac:dyDescent="0.25"/>
    <row r="113" spans="4:11" ht="20.100000000000001" customHeight="1" x14ac:dyDescent="0.25">
      <c r="D113" s="122" t="s">
        <v>926</v>
      </c>
    </row>
    <row r="114" spans="4:11" ht="20.100000000000001" customHeight="1" x14ac:dyDescent="0.25">
      <c r="D114" s="123" t="s">
        <v>927</v>
      </c>
    </row>
    <row r="115" spans="4:11" ht="20.100000000000001" customHeight="1" x14ac:dyDescent="0.25">
      <c r="D115" s="94" t="s">
        <v>919</v>
      </c>
      <c r="E115" s="94" t="s">
        <v>920</v>
      </c>
      <c r="F115" s="94"/>
      <c r="G115" s="94" t="s">
        <v>928</v>
      </c>
      <c r="H115" s="124" t="s">
        <v>929</v>
      </c>
      <c r="I115" s="124" t="s">
        <v>923</v>
      </c>
      <c r="J115" s="124" t="s">
        <v>930</v>
      </c>
      <c r="K115" s="124" t="s">
        <v>931</v>
      </c>
    </row>
    <row r="116" spans="4:11" ht="20.100000000000001" customHeight="1" x14ac:dyDescent="0.25">
      <c r="D116" s="120" t="str" cm="1">
        <f t="array" ref="D116:D149">Table_SourceData_WasteSolid_WasteTreatmentEFs[Treatment type t]</f>
        <v>Landfill</v>
      </c>
      <c r="E116" s="125" t="str" cm="1">
        <f t="array" ref="E116:E149">Table_SourceData_WasteSolid_WasteTreatmentEFs[Waste type w]</f>
        <v>Food waste (including animal carcasses, spoiled animal feed or crop)</v>
      </c>
      <c r="F116" s="187"/>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20" t="str">
        <v>Landfill</v>
      </c>
      <c r="E117" s="125" t="str">
        <v>Paper and cardboard</v>
      </c>
      <c r="F117" s="187"/>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20" t="str">
        <v>Landfill</v>
      </c>
      <c r="E118" s="125" t="str">
        <v>Green waste (including crop residues or prunings)</v>
      </c>
      <c r="F118" s="187"/>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20" t="str">
        <v>Landfill</v>
      </c>
      <c r="E119" s="125" t="str">
        <v>Wood</v>
      </c>
      <c r="F119" s="187"/>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20" t="str">
        <v>Landfill</v>
      </c>
      <c r="E120" s="125" t="str">
        <v>Textiles</v>
      </c>
      <c r="F120" s="187"/>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20" t="str">
        <v>Landfill</v>
      </c>
      <c r="E121" s="125" t="str">
        <v>Sludge</v>
      </c>
      <c r="F121" s="187"/>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20" t="str">
        <v>Landfill</v>
      </c>
      <c r="E122" s="125" t="str">
        <v>Rubber and leather</v>
      </c>
      <c r="F122" s="187"/>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20" t="str">
        <v>Landfill</v>
      </c>
      <c r="E123" s="125" t="str">
        <v>Inert waste (including concrete, metal, plastic or glass)</v>
      </c>
      <c r="F123" s="187"/>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20" t="str">
        <v>Landfill</v>
      </c>
      <c r="E124" s="125" t="str">
        <v>Municipal solid waste</v>
      </c>
      <c r="F124" s="187"/>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20" t="str">
        <v>Landfill</v>
      </c>
      <c r="E125" s="125" t="str">
        <v>Commercial and industrial waste</v>
      </c>
      <c r="F125" s="187"/>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20" t="str">
        <v>Landfill</v>
      </c>
      <c r="E126" s="125" t="str">
        <v>Construction and demolition waste</v>
      </c>
      <c r="F126" s="187"/>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20" t="str">
        <v>Incineration</v>
      </c>
      <c r="E127" s="125" t="str">
        <v>Food waste, green waste, wood, sludge</v>
      </c>
      <c r="F127" s="187"/>
      <c r="G127" s="25" t="s">
        <v>645</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20" t="str">
        <v>Incineration</v>
      </c>
      <c r="E128" s="125" t="str">
        <v>Food waste (including animal carcasses, spoiled animal feed or crop)</v>
      </c>
      <c r="F128" s="187"/>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932</v>
      </c>
      <c r="J128" s="25" t="s">
        <v>645</v>
      </c>
      <c r="K128" s="25" t="s">
        <v>645</v>
      </c>
    </row>
    <row r="129" spans="4:11" ht="20.100000000000001" customHeight="1" x14ac:dyDescent="0.25">
      <c r="D129" s="120" t="str">
        <v>Incineration</v>
      </c>
      <c r="E129" s="125" t="str">
        <v>Green waste (including crop residues or prunings)</v>
      </c>
      <c r="F129" s="187"/>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932</v>
      </c>
      <c r="J129" s="25" t="s">
        <v>645</v>
      </c>
      <c r="K129" s="25" t="s">
        <v>645</v>
      </c>
    </row>
    <row r="130" spans="4:11" ht="20.100000000000001" customHeight="1" x14ac:dyDescent="0.25">
      <c r="D130" s="120" t="str">
        <v>Incineration</v>
      </c>
      <c r="E130" s="125" t="str">
        <v>Wood</v>
      </c>
      <c r="F130" s="187"/>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932</v>
      </c>
      <c r="J130" s="25" t="s">
        <v>645</v>
      </c>
      <c r="K130" s="25" t="s">
        <v>645</v>
      </c>
    </row>
    <row r="131" spans="4:11" ht="20.100000000000001" customHeight="1" x14ac:dyDescent="0.25">
      <c r="D131" s="120" t="str">
        <v>Incineration</v>
      </c>
      <c r="E131" s="125" t="str">
        <v>Sludge</v>
      </c>
      <c r="F131" s="187"/>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932</v>
      </c>
      <c r="J131" s="25" t="s">
        <v>645</v>
      </c>
      <c r="K131" s="25" t="s">
        <v>645</v>
      </c>
    </row>
    <row r="132" spans="4:11" ht="20.100000000000001" customHeight="1" x14ac:dyDescent="0.25">
      <c r="D132" s="120" t="str">
        <v>Incineration</v>
      </c>
      <c r="E132" s="125" t="str">
        <v>Paper and cardboard</v>
      </c>
      <c r="F132" s="187"/>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20" t="str">
        <v>Incineration</v>
      </c>
      <c r="E133" s="125" t="str">
        <v>Textiles</v>
      </c>
      <c r="F133" s="187"/>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20" t="str">
        <v>Incineration</v>
      </c>
      <c r="E134" s="125" t="str">
        <v>Rubber and leather</v>
      </c>
      <c r="F134" s="187"/>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20" t="str">
        <v>Incineration</v>
      </c>
      <c r="E135" s="125" t="str">
        <v>Inert waste (including concrete, metal, plastic or glass)</v>
      </c>
      <c r="F135" s="187"/>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20" t="str">
        <v>Incineration</v>
      </c>
      <c r="E136" s="125" t="str">
        <v>Municipal solid waste</v>
      </c>
      <c r="F136" s="126"/>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20" t="str">
        <v>Incineration</v>
      </c>
      <c r="E137" s="125" t="str">
        <v>Commercial and industrial waste</v>
      </c>
      <c r="F137" s="126"/>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20" t="str">
        <v>Composting</v>
      </c>
      <c r="E138" s="125" t="str">
        <v>All organic waste</v>
      </c>
      <c r="F138" s="126"/>
      <c r="G138" s="25" t="s">
        <v>645</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20" t="str">
        <v>Composting</v>
      </c>
      <c r="E139" s="125" t="str">
        <v>Food waste (including animal carcasses, spoiled animal feed or crop)</v>
      </c>
      <c r="F139" s="126"/>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932</v>
      </c>
      <c r="J139" s="25" t="s">
        <v>645</v>
      </c>
      <c r="K139" s="25" t="s">
        <v>645</v>
      </c>
    </row>
    <row r="140" spans="4:11" ht="20.100000000000001" customHeight="1" x14ac:dyDescent="0.25">
      <c r="D140" s="120" t="str">
        <v>Composting</v>
      </c>
      <c r="E140" s="125" t="str">
        <v>Green waste (including crop residues or prunings)</v>
      </c>
      <c r="F140" s="126"/>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932</v>
      </c>
      <c r="J140" s="25" t="s">
        <v>645</v>
      </c>
      <c r="K140" s="25" t="s">
        <v>645</v>
      </c>
    </row>
    <row r="141" spans="4:11" ht="20.100000000000001" customHeight="1" x14ac:dyDescent="0.25">
      <c r="D141" s="120" t="str">
        <v>Composting</v>
      </c>
      <c r="E141" s="125" t="str">
        <v>Wood</v>
      </c>
      <c r="F141" s="126"/>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932</v>
      </c>
      <c r="J141" s="25" t="s">
        <v>645</v>
      </c>
      <c r="K141" s="25" t="s">
        <v>645</v>
      </c>
    </row>
    <row r="142" spans="4:11" ht="20.100000000000001" customHeight="1" x14ac:dyDescent="0.25">
      <c r="D142" s="120" t="str">
        <v>Composting</v>
      </c>
      <c r="E142" s="125" t="str">
        <v>Sludge</v>
      </c>
      <c r="F142" s="126"/>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932</v>
      </c>
      <c r="J142" s="25" t="s">
        <v>645</v>
      </c>
      <c r="K142" s="25" t="s">
        <v>645</v>
      </c>
    </row>
    <row r="143" spans="4:11" ht="20.100000000000001" customHeight="1" x14ac:dyDescent="0.25">
      <c r="D143" s="120" t="str">
        <v>Composting</v>
      </c>
      <c r="E143" s="125" t="str">
        <v>Paper and cardboard</v>
      </c>
      <c r="F143" s="126"/>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932</v>
      </c>
      <c r="J143" s="25" t="s">
        <v>645</v>
      </c>
      <c r="K143" s="25" t="s">
        <v>645</v>
      </c>
    </row>
    <row r="144" spans="4:11" ht="20.100000000000001" customHeight="1" x14ac:dyDescent="0.25">
      <c r="D144" s="120" t="str">
        <v>Anaerobic digestion</v>
      </c>
      <c r="E144" s="125" t="str">
        <v>All organic waste</v>
      </c>
      <c r="F144" s="126"/>
      <c r="G144" s="25" t="s">
        <v>645</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20" t="str">
        <v>Anaerobic digestion</v>
      </c>
      <c r="E145" s="125" t="str">
        <v>Food waste (including animal carcasses, spoiled animal feed or crop)</v>
      </c>
      <c r="F145" s="126"/>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932</v>
      </c>
      <c r="J145" s="25" t="s">
        <v>645</v>
      </c>
      <c r="K145" s="25" t="s">
        <v>645</v>
      </c>
    </row>
    <row r="146" spans="4:11" ht="20.100000000000001" customHeight="1" x14ac:dyDescent="0.25">
      <c r="D146" s="120" t="str">
        <v>Anaerobic digestion</v>
      </c>
      <c r="E146" s="125" t="str">
        <v>Green waste (including crop residues or prunings)</v>
      </c>
      <c r="F146" s="126"/>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932</v>
      </c>
      <c r="J146" s="25" t="s">
        <v>645</v>
      </c>
      <c r="K146" s="25" t="s">
        <v>645</v>
      </c>
    </row>
    <row r="147" spans="4:11" ht="20.100000000000001" customHeight="1" x14ac:dyDescent="0.25">
      <c r="D147" s="120" t="str">
        <v>Anaerobic digestion</v>
      </c>
      <c r="E147" s="125" t="str">
        <v>Wood</v>
      </c>
      <c r="F147" s="126"/>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932</v>
      </c>
      <c r="J147" s="25" t="s">
        <v>645</v>
      </c>
      <c r="K147" s="25" t="s">
        <v>645</v>
      </c>
    </row>
    <row r="148" spans="4:11" ht="20.100000000000001" customHeight="1" x14ac:dyDescent="0.25">
      <c r="D148" s="120" t="str">
        <v>Anaerobic digestion</v>
      </c>
      <c r="E148" s="125" t="str">
        <v>Sludge</v>
      </c>
      <c r="F148" s="126"/>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932</v>
      </c>
      <c r="J148" s="25" t="s">
        <v>645</v>
      </c>
      <c r="K148" s="25" t="s">
        <v>645</v>
      </c>
    </row>
    <row r="149" spans="4:11" ht="20.100000000000001" customHeight="1" x14ac:dyDescent="0.25">
      <c r="D149" s="120" t="str">
        <v>Anaerobic digestion</v>
      </c>
      <c r="E149" s="125" t="str">
        <v>Paper and cardboard</v>
      </c>
      <c r="F149" s="126"/>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932</v>
      </c>
      <c r="J149" s="25" t="s">
        <v>645</v>
      </c>
      <c r="K149" s="25" t="s">
        <v>645</v>
      </c>
    </row>
    <row r="150" spans="4:11" ht="20.100000000000001" customHeight="1" x14ac:dyDescent="0.25"/>
    <row r="151" spans="4:11" ht="20.100000000000001" customHeight="1" x14ac:dyDescent="0.25">
      <c r="D151" s="135" t="s">
        <v>933</v>
      </c>
      <c r="E151" s="136">
        <f>SUM(K116:K149)</f>
        <v>438.82805000000002</v>
      </c>
      <c r="F151" s="137" t="str">
        <f>$E$103</f>
        <v>t CO2e</v>
      </c>
    </row>
    <row r="152" spans="4:11" ht="20.100000000000001" customHeight="1" x14ac:dyDescent="0.25"/>
    <row r="153" spans="4:11" ht="20.100000000000001" customHeight="1" x14ac:dyDescent="0.25"/>
    <row r="154" spans="4:11" ht="20.100000000000001" customHeight="1" x14ac:dyDescent="0.25">
      <c r="D154" s="122" t="s">
        <v>934</v>
      </c>
    </row>
    <row r="155" spans="4:11" ht="20.100000000000001" customHeight="1" x14ac:dyDescent="0.25">
      <c r="D155" s="123" t="s">
        <v>935</v>
      </c>
    </row>
    <row r="156" spans="4:11" ht="20.100000000000001" customHeight="1" x14ac:dyDescent="0.25">
      <c r="D156" s="94" t="s">
        <v>919</v>
      </c>
      <c r="E156" s="94" t="s">
        <v>920</v>
      </c>
      <c r="F156" s="94"/>
      <c r="G156" s="94" t="s">
        <v>928</v>
      </c>
      <c r="H156" s="124" t="s">
        <v>929</v>
      </c>
      <c r="I156" s="124" t="s">
        <v>923</v>
      </c>
      <c r="J156" s="124" t="s">
        <v>930</v>
      </c>
      <c r="K156" s="124" t="s">
        <v>931</v>
      </c>
    </row>
    <row r="157" spans="4:11" ht="20.100000000000001" customHeight="1" x14ac:dyDescent="0.25">
      <c r="D157" s="120" t="str" cm="1">
        <f t="array" ref="D157:D190">Table_SourceData_WasteSolid_WasteTreatmentEFs[Treatment type t]</f>
        <v>Landfill</v>
      </c>
      <c r="E157" s="125" t="str" cm="1">
        <f t="array" ref="E157:E190">Table_SourceData_WasteSolid_WasteTreatmentEFs[Waste type w]</f>
        <v>Food waste (including animal carcasses, spoiled animal feed or crop)</v>
      </c>
      <c r="F157" s="187"/>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20" t="str">
        <v>Landfill</v>
      </c>
      <c r="E158" s="125" t="str">
        <v>Paper and cardboard</v>
      </c>
      <c r="F158" s="187"/>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20" t="str">
        <v>Landfill</v>
      </c>
      <c r="E159" s="125" t="str">
        <v>Green waste (including crop residues or prunings)</v>
      </c>
      <c r="F159" s="187"/>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20" t="str">
        <v>Landfill</v>
      </c>
      <c r="E160" s="125" t="str">
        <v>Wood</v>
      </c>
      <c r="F160" s="187"/>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20" t="str">
        <v>Landfill</v>
      </c>
      <c r="E161" s="125" t="str">
        <v>Textiles</v>
      </c>
      <c r="F161" s="187"/>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20" t="str">
        <v>Landfill</v>
      </c>
      <c r="E162" s="125" t="str">
        <v>Sludge</v>
      </c>
      <c r="F162" s="187"/>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20" t="str">
        <v>Landfill</v>
      </c>
      <c r="E163" s="125" t="str">
        <v>Rubber and leather</v>
      </c>
      <c r="F163" s="187"/>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20" t="str">
        <v>Landfill</v>
      </c>
      <c r="E164" s="125" t="str">
        <v>Inert waste (including concrete, metal, plastic or glass)</v>
      </c>
      <c r="F164" s="187"/>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20" t="str">
        <v>Landfill</v>
      </c>
      <c r="E165" s="125" t="str">
        <v>Municipal solid waste</v>
      </c>
      <c r="F165" s="187"/>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20" t="str">
        <v>Landfill</v>
      </c>
      <c r="E166" s="125" t="str">
        <v>Commercial and industrial waste</v>
      </c>
      <c r="F166" s="187"/>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20" t="str">
        <v>Landfill</v>
      </c>
      <c r="E167" s="125" t="str">
        <v>Construction and demolition waste</v>
      </c>
      <c r="F167" s="187"/>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20" t="str">
        <v>Incineration</v>
      </c>
      <c r="E168" s="125" t="str">
        <v>Food waste, green waste, wood, sludge</v>
      </c>
      <c r="F168" s="187"/>
      <c r="G168" s="25" t="s">
        <v>645</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20" t="str">
        <v>Incineration</v>
      </c>
      <c r="E169" s="125" t="str">
        <v>Food waste (including animal carcasses, spoiled animal feed or crop)</v>
      </c>
      <c r="F169" s="187"/>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932</v>
      </c>
      <c r="J169" s="25" t="s">
        <v>645</v>
      </c>
      <c r="K169" s="25" t="s">
        <v>645</v>
      </c>
    </row>
    <row r="170" spans="4:11" ht="20.100000000000001" customHeight="1" x14ac:dyDescent="0.25">
      <c r="D170" s="120" t="str">
        <v>Incineration</v>
      </c>
      <c r="E170" s="125" t="str">
        <v>Green waste (including crop residues or prunings)</v>
      </c>
      <c r="F170" s="187"/>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932</v>
      </c>
      <c r="J170" s="25" t="s">
        <v>645</v>
      </c>
      <c r="K170" s="25" t="s">
        <v>645</v>
      </c>
    </row>
    <row r="171" spans="4:11" ht="20.100000000000001" customHeight="1" x14ac:dyDescent="0.25">
      <c r="D171" s="120" t="str">
        <v>Incineration</v>
      </c>
      <c r="E171" s="125" t="str">
        <v>Wood</v>
      </c>
      <c r="F171" s="187"/>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932</v>
      </c>
      <c r="J171" s="25" t="s">
        <v>645</v>
      </c>
      <c r="K171" s="25" t="s">
        <v>645</v>
      </c>
    </row>
    <row r="172" spans="4:11" ht="20.100000000000001" customHeight="1" x14ac:dyDescent="0.25">
      <c r="D172" s="120" t="str">
        <v>Incineration</v>
      </c>
      <c r="E172" s="125" t="str">
        <v>Sludge</v>
      </c>
      <c r="F172" s="187"/>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932</v>
      </c>
      <c r="J172" s="25" t="s">
        <v>645</v>
      </c>
      <c r="K172" s="25" t="s">
        <v>645</v>
      </c>
    </row>
    <row r="173" spans="4:11" ht="20.100000000000001" customHeight="1" x14ac:dyDescent="0.25">
      <c r="D173" s="120" t="str">
        <v>Incineration</v>
      </c>
      <c r="E173" s="125" t="str">
        <v>Paper and cardboard</v>
      </c>
      <c r="F173" s="187"/>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20" t="str">
        <v>Incineration</v>
      </c>
      <c r="E174" s="125" t="str">
        <v>Textiles</v>
      </c>
      <c r="F174" s="187"/>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20" t="str">
        <v>Incineration</v>
      </c>
      <c r="E175" s="125" t="str">
        <v>Rubber and leather</v>
      </c>
      <c r="F175" s="187"/>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20" t="str">
        <v>Incineration</v>
      </c>
      <c r="E176" s="125" t="str">
        <v>Inert waste (including concrete, metal, plastic or glass)</v>
      </c>
      <c r="F176" s="187"/>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20" t="str">
        <v>Incineration</v>
      </c>
      <c r="E177" s="125" t="str">
        <v>Municipal solid waste</v>
      </c>
      <c r="F177" s="126"/>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20" t="str">
        <v>Incineration</v>
      </c>
      <c r="E178" s="125" t="str">
        <v>Commercial and industrial waste</v>
      </c>
      <c r="F178" s="126"/>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20" t="str">
        <v>Composting</v>
      </c>
      <c r="E179" s="125" t="str">
        <v>All organic waste</v>
      </c>
      <c r="F179" s="126"/>
      <c r="G179" s="25" t="s">
        <v>645</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20" t="str">
        <v>Composting</v>
      </c>
      <c r="E180" s="125" t="str">
        <v>Food waste (including animal carcasses, spoiled animal feed or crop)</v>
      </c>
      <c r="F180" s="126"/>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932</v>
      </c>
      <c r="J180" s="25" t="s">
        <v>645</v>
      </c>
      <c r="K180" s="25" t="s">
        <v>645</v>
      </c>
    </row>
    <row r="181" spans="4:11" ht="20.100000000000001" customHeight="1" x14ac:dyDescent="0.25">
      <c r="D181" s="120" t="str">
        <v>Composting</v>
      </c>
      <c r="E181" s="125" t="str">
        <v>Green waste (including crop residues or prunings)</v>
      </c>
      <c r="F181" s="126"/>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932</v>
      </c>
      <c r="J181" s="25" t="s">
        <v>645</v>
      </c>
      <c r="K181" s="25" t="s">
        <v>645</v>
      </c>
    </row>
    <row r="182" spans="4:11" ht="20.100000000000001" customHeight="1" x14ac:dyDescent="0.25">
      <c r="D182" s="120" t="str">
        <v>Composting</v>
      </c>
      <c r="E182" s="125" t="str">
        <v>Wood</v>
      </c>
      <c r="F182" s="126"/>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932</v>
      </c>
      <c r="J182" s="25" t="s">
        <v>645</v>
      </c>
      <c r="K182" s="25" t="s">
        <v>645</v>
      </c>
    </row>
    <row r="183" spans="4:11" ht="20.100000000000001" customHeight="1" x14ac:dyDescent="0.25">
      <c r="D183" s="120" t="str">
        <v>Composting</v>
      </c>
      <c r="E183" s="125" t="str">
        <v>Sludge</v>
      </c>
      <c r="F183" s="126"/>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932</v>
      </c>
      <c r="J183" s="25" t="s">
        <v>645</v>
      </c>
      <c r="K183" s="25" t="s">
        <v>645</v>
      </c>
    </row>
    <row r="184" spans="4:11" ht="20.100000000000001" customHeight="1" x14ac:dyDescent="0.25">
      <c r="D184" s="120" t="str">
        <v>Composting</v>
      </c>
      <c r="E184" s="125" t="str">
        <v>Paper and cardboard</v>
      </c>
      <c r="F184" s="126"/>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932</v>
      </c>
      <c r="J184" s="25" t="s">
        <v>645</v>
      </c>
      <c r="K184" s="25" t="s">
        <v>645</v>
      </c>
    </row>
    <row r="185" spans="4:11" ht="20.100000000000001" customHeight="1" x14ac:dyDescent="0.25">
      <c r="D185" s="120" t="str">
        <v>Anaerobic digestion</v>
      </c>
      <c r="E185" s="125" t="str">
        <v>All organic waste</v>
      </c>
      <c r="F185" s="126"/>
      <c r="G185" s="25" t="s">
        <v>645</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20" t="str">
        <v>Anaerobic digestion</v>
      </c>
      <c r="E186" s="125" t="str">
        <v>Food waste (including animal carcasses, spoiled animal feed or crop)</v>
      </c>
      <c r="F186" s="126"/>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932</v>
      </c>
      <c r="J186" s="25" t="s">
        <v>645</v>
      </c>
      <c r="K186" s="25" t="s">
        <v>645</v>
      </c>
    </row>
    <row r="187" spans="4:11" ht="20.100000000000001" customHeight="1" x14ac:dyDescent="0.25">
      <c r="D187" s="120" t="str">
        <v>Anaerobic digestion</v>
      </c>
      <c r="E187" s="125" t="str">
        <v>Green waste (including crop residues or prunings)</v>
      </c>
      <c r="F187" s="126"/>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932</v>
      </c>
      <c r="J187" s="25" t="s">
        <v>645</v>
      </c>
      <c r="K187" s="25" t="s">
        <v>645</v>
      </c>
    </row>
    <row r="188" spans="4:11" ht="20.100000000000001" customHeight="1" x14ac:dyDescent="0.25">
      <c r="D188" s="120" t="str">
        <v>Anaerobic digestion</v>
      </c>
      <c r="E188" s="125" t="str">
        <v>Wood</v>
      </c>
      <c r="F188" s="126"/>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932</v>
      </c>
      <c r="J188" s="25" t="s">
        <v>645</v>
      </c>
      <c r="K188" s="25" t="s">
        <v>645</v>
      </c>
    </row>
    <row r="189" spans="4:11" ht="20.100000000000001" customHeight="1" x14ac:dyDescent="0.25">
      <c r="D189" s="120" t="str">
        <v>Anaerobic digestion</v>
      </c>
      <c r="E189" s="125" t="str">
        <v>Sludge</v>
      </c>
      <c r="F189" s="126"/>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932</v>
      </c>
      <c r="J189" s="25" t="s">
        <v>645</v>
      </c>
      <c r="K189" s="25" t="s">
        <v>645</v>
      </c>
    </row>
    <row r="190" spans="4:11" ht="20.100000000000001" customHeight="1" x14ac:dyDescent="0.25">
      <c r="D190" s="120" t="str">
        <v>Anaerobic digestion</v>
      </c>
      <c r="E190" s="125" t="str">
        <v>Paper and cardboard</v>
      </c>
      <c r="F190" s="126"/>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932</v>
      </c>
      <c r="J190" s="25" t="s">
        <v>645</v>
      </c>
      <c r="K190" s="25" t="s">
        <v>645</v>
      </c>
    </row>
    <row r="191" spans="4:11" ht="20.100000000000001" customHeight="1" x14ac:dyDescent="0.25"/>
    <row r="192" spans="4:11" ht="20.100000000000001" customHeight="1" x14ac:dyDescent="0.25">
      <c r="D192" s="135" t="s">
        <v>933</v>
      </c>
      <c r="E192" s="136">
        <f>SUM(K157:K190)</f>
        <v>441.15000000000003</v>
      </c>
      <c r="F192" s="13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8EC48038-13CE-4869-B398-EE15C8639225}"/>
  </dataValidations>
  <pageMargins left="0.7" right="0.7" top="0.75" bottom="0.75" header="0.3" footer="0.3"/>
  <pageSetup paperSize="9" orientation="portrait" r:id="rId1"/>
  <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8213C-1CA4-4E74-B044-0ED79089CA18}">
  <sheetPr>
    <tabColor theme="2" tint="-0.499984740745262"/>
  </sheetPr>
  <dimension ref="A1:AI165"/>
  <sheetViews>
    <sheetView showGridLines="0" topLeftCell="A29" workbookViewId="0" zoomScale="100" zoomScaleNormal="100">
      <selection activeCell="A65" sqref="A65"/>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936</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5" t="str" cm="1">
        <f t="array" ref="D7:D13">WasteSolid_SourceData.Waste_EmissionFactorsForWasteTreatment_Variation()</f>
        <v>VARIATION ON SOURCE:</v>
      </c>
    </row>
    <row r="8" spans="1:35" ht="20.100000000000001" customHeight="1" x14ac:dyDescent="0.25">
      <c r="A8" s="7" t="s">
        <v>0</v>
      </c>
      <c r="D8" s="35" t="str">
        <v>Fixed typo 'paper and carboard' to 'paper and cardboard'</v>
      </c>
    </row>
    <row r="9" spans="1:35" ht="20.100000000000001" customHeight="1" x14ac:dyDescent="0.25">
      <c r="A9" s="5" t="str">
        <f>HYPERLINK("#'Input - Enterprise'!A1", "Enterprise")</f>
        <v>Enterprise</v>
      </c>
      <c r="D9" s="35" t="str">
        <v>Fixed typo 'prunnings' to 'prunings'</v>
      </c>
    </row>
    <row r="10" spans="1:35" ht="20.100000000000001" customHeight="1" x14ac:dyDescent="0.25">
      <c r="A10" s="5" t="str">
        <f>HYPERLINK("#'Input - Site'!A1", "Site")</f>
        <v>Site</v>
      </c>
      <c r="D10" s="35" t="str">
        <v>Added EF source column with specific references</v>
      </c>
    </row>
    <row r="11" spans="1:35" ht="20.100000000000001" customHeight="1" x14ac:dyDescent="0.25">
      <c r="A11" s="5" t="str">
        <f>HYPERLINK("#'Input - Dairy'!A1", "Dairy")</f>
        <v>Dairy</v>
      </c>
      <c r="D11" s="35"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5"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5"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937</v>
      </c>
      <c r="K15" s="1" t="s">
        <v>938</v>
      </c>
      <c r="M15" s="1" t="s">
        <v>939</v>
      </c>
      <c r="O15" s="1" t="s">
        <v>940</v>
      </c>
    </row>
    <row r="16" spans="1:35" ht="20.100000000000001" customHeight="1" x14ac:dyDescent="0.25">
      <c r="A16" s="5" t="str">
        <f>HYPERLINK("#'Input - Fert Prod System'!A1", "Fert Prod System")</f>
        <v>Fert Prod System</v>
      </c>
      <c r="D16" s="29" t="s">
        <v>941</v>
      </c>
      <c r="E16" s="29" t="s">
        <v>942</v>
      </c>
      <c r="F16" s="29" t="s">
        <v>943</v>
      </c>
      <c r="G16" s="29" t="s">
        <v>944</v>
      </c>
      <c r="I16" s="29" t="s">
        <v>942</v>
      </c>
      <c r="K16" s="149" t="s">
        <v>942</v>
      </c>
      <c r="M16" s="149" t="s">
        <v>942</v>
      </c>
      <c r="O16" s="149" t="s">
        <v>942</v>
      </c>
    </row>
    <row r="17" spans="1:15" ht="20.100000000000001" customHeight="1" x14ac:dyDescent="0.25">
      <c r="A17" s="5" t="str">
        <f>HYPERLINK("#'Input - Fertiliser'!A1", "Fertiliser")</f>
        <v>Fertiliser</v>
      </c>
      <c r="D17" s="29" t="str" cm="1">
        <f t="array" ref="D17">Common_InputFunctions.Utility_DisplayArrayInTable(WasteSolid_SourceData.Waste_EmissionFactorsForWasteTreatment_Data(), Table_SourceData_WasteSolid_WasteTreatmentEFs[[#Headers],[Treatment type t]], 0)</f>
        <v>Landfill</v>
      </c>
      <c r="E17" s="2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9" cm="1">
        <f t="array" ref="F17">Common_InputFunctions.Utility_DisplayArrayInTable(WasteSolid_SourceData.Waste_EmissionFactorsForWasteTreatment_Data(), Table_SourceData_WasteSolid_WasteTreatmentEFs[[#Headers],[Treatment type t]], 0)</f>
        <v>2.1</v>
      </c>
      <c r="G17" s="29" t="str" cm="1">
        <f t="array" ref="G17">Common_InputFunctions.Utility_DisplayArrayInTable(WasteSolid_SourceData.Waste_EmissionFactorsForWasteTreatment_Data(), Table_SourceData_WasteSolid_WasteTreatmentEFs[[#Headers],[Treatment type t]], 0)</f>
        <v>NGAF 2025 table 15</v>
      </c>
      <c r="I17" s="2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29" t="str" cm="1">
        <f t="array" ref="E18">Common_InputFunctions.Utility_DisplayArrayInTable(WasteSolid_SourceData.Waste_EmissionFactorsForWasteTreatment_Data(), Table_SourceData_WasteSolid_WasteTreatmentEFs[[#Headers],[Treatment type t]], 0)</f>
        <v>Paper and cardboard</v>
      </c>
      <c r="F18" s="29" cm="1">
        <f t="array" ref="F18">Common_InputFunctions.Utility_DisplayArrayInTable(WasteSolid_SourceData.Waste_EmissionFactorsForWasteTreatment_Data(), Table_SourceData_WasteSolid_WasteTreatmentEFs[[#Headers],[Treatment type t]], 0)</f>
        <v>3.3</v>
      </c>
      <c r="G18" s="29" t="str" cm="1">
        <f t="array" ref="G18">Common_InputFunctions.Utility_DisplayArrayInTable(WasteSolid_SourceData.Waste_EmissionFactorsForWasteTreatment_Data(), Table_SourceData_WasteSolid_WasteTreatmentEFs[[#Headers],[Treatment type t]], 0)</f>
        <v>NGAF 2025 table 15</v>
      </c>
      <c r="I18" s="2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29" t="str" cm="1">
        <f t="array" ref="E19">Common_InputFunctions.Utility_DisplayArrayInTable(WasteSolid_SourceData.Waste_EmissionFactorsForWasteTreatment_Data(), Table_SourceData_WasteSolid_WasteTreatmentEFs[[#Headers],[Treatment type t]], 0)</f>
        <v>Green waste (including crop residues or prunings)</v>
      </c>
      <c r="F19" s="29" cm="1">
        <f t="array" ref="F19">Common_InputFunctions.Utility_DisplayArrayInTable(WasteSolid_SourceData.Waste_EmissionFactorsForWasteTreatment_Data(), Table_SourceData_WasteSolid_WasteTreatmentEFs[[#Headers],[Treatment type t]], 0)</f>
        <v>1.6</v>
      </c>
      <c r="G19" s="29" t="str" cm="1">
        <f t="array" ref="G19">Common_InputFunctions.Utility_DisplayArrayInTable(WasteSolid_SourceData.Waste_EmissionFactorsForWasteTreatment_Data(), Table_SourceData_WasteSolid_WasteTreatmentEFs[[#Headers],[Treatment type t]], 0)</f>
        <v>NGAF 2025 table 15</v>
      </c>
      <c r="I19" s="2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29" t="str" cm="1">
        <f t="array" ref="E20">Common_InputFunctions.Utility_DisplayArrayInTable(WasteSolid_SourceData.Waste_EmissionFactorsForWasteTreatment_Data(), Table_SourceData_WasteSolid_WasteTreatmentEFs[[#Headers],[Treatment type t]], 0)</f>
        <v>Wood</v>
      </c>
      <c r="F20" s="29" cm="1">
        <f t="array" ref="F20">Common_InputFunctions.Utility_DisplayArrayInTable(WasteSolid_SourceData.Waste_EmissionFactorsForWasteTreatment_Data(), Table_SourceData_WasteSolid_WasteTreatmentEFs[[#Headers],[Treatment type t]], 0)</f>
        <v>0.7</v>
      </c>
      <c r="G20" s="29" t="str" cm="1">
        <f t="array" ref="G20">Common_InputFunctions.Utility_DisplayArrayInTable(WasteSolid_SourceData.Waste_EmissionFactorsForWasteTreatment_Data(), Table_SourceData_WasteSolid_WasteTreatmentEFs[[#Headers],[Treatment type t]], 0)</f>
        <v>NGAF 2025 table 15</v>
      </c>
      <c r="I20" s="2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29" t="str" cm="1">
        <f t="array" ref="E21">Common_InputFunctions.Utility_DisplayArrayInTable(WasteSolid_SourceData.Waste_EmissionFactorsForWasteTreatment_Data(), Table_SourceData_WasteSolid_WasteTreatmentEFs[[#Headers],[Treatment type t]], 0)</f>
        <v>Textiles</v>
      </c>
      <c r="F21" s="29" cm="1">
        <f t="array" ref="F21">Common_InputFunctions.Utility_DisplayArrayInTable(WasteSolid_SourceData.Waste_EmissionFactorsForWasteTreatment_Data(), Table_SourceData_WasteSolid_WasteTreatmentEFs[[#Headers],[Treatment type t]], 0)</f>
        <v>2</v>
      </c>
      <c r="G21" s="29" t="str" cm="1">
        <f t="array" ref="G21">Common_InputFunctions.Utility_DisplayArrayInTable(WasteSolid_SourceData.Waste_EmissionFactorsForWasteTreatment_Data(), Table_SourceData_WasteSolid_WasteTreatmentEFs[[#Headers],[Treatment type t]], 0)</f>
        <v>NGAF 2025 table 15</v>
      </c>
      <c r="I21" s="2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29" t="str" cm="1">
        <f t="array" ref="E22">Common_InputFunctions.Utility_DisplayArrayInTable(WasteSolid_SourceData.Waste_EmissionFactorsForWasteTreatment_Data(), Table_SourceData_WasteSolid_WasteTreatmentEFs[[#Headers],[Treatment type t]], 0)</f>
        <v>Sludge</v>
      </c>
      <c r="F22" s="29" cm="1">
        <f t="array" ref="F22">Common_InputFunctions.Utility_DisplayArrayInTable(WasteSolid_SourceData.Waste_EmissionFactorsForWasteTreatment_Data(), Table_SourceData_WasteSolid_WasteTreatmentEFs[[#Headers],[Treatment type t]], 0)</f>
        <v>0.4</v>
      </c>
      <c r="G22" s="29" t="str" cm="1">
        <f t="array" ref="G22">Common_InputFunctions.Utility_DisplayArrayInTable(WasteSolid_SourceData.Waste_EmissionFactorsForWasteTreatment_Data(), Table_SourceData_WasteSolid_WasteTreatmentEFs[[#Headers],[Treatment type t]], 0)</f>
        <v>NGAF 2025 table 15</v>
      </c>
      <c r="I22" s="29" t="str">
        <f>Table_SourceData_WasteSolid_WasteTreatmentEFs[[#This Row],[Waste type w]]</f>
        <v>Sludge</v>
      </c>
      <c r="K22" s="1" t="str">
        <f t="shared" si="0"/>
        <v>Textiles</v>
      </c>
    </row>
    <row r="23" spans="1:15" ht="20.100000000000001"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29" t="str" cm="1">
        <f t="array" ref="E23">Common_InputFunctions.Utility_DisplayArrayInTable(WasteSolid_SourceData.Waste_EmissionFactorsForWasteTreatment_Data(), Table_SourceData_WasteSolid_WasteTreatmentEFs[[#Headers],[Treatment type t]], 0)</f>
        <v>Rubber and leather</v>
      </c>
      <c r="F23" s="29" cm="1">
        <f t="array" ref="F23">Common_InputFunctions.Utility_DisplayArrayInTable(WasteSolid_SourceData.Waste_EmissionFactorsForWasteTreatment_Data(), Table_SourceData_WasteSolid_WasteTreatmentEFs[[#Headers],[Treatment type t]], 0)</f>
        <v>3.3</v>
      </c>
      <c r="G23" s="29" t="str" cm="1">
        <f t="array" ref="G23">Common_InputFunctions.Utility_DisplayArrayInTable(WasteSolid_SourceData.Waste_EmissionFactorsForWasteTreatment_Data(), Table_SourceData_WasteSolid_WasteTreatmentEFs[[#Headers],[Treatment type t]], 0)</f>
        <v>NGAF 2025 table 15</v>
      </c>
      <c r="I23" s="29"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9" t="str" cm="1">
        <f t="array" ref="E24">Common_InputFunctions.Utility_DisplayArrayInTable(WasteSolid_SourceData.Waste_EmissionFactorsForWasteTreatment_Data(), Table_SourceData_WasteSolid_WasteTreatmentEFs[[#Headers],[Treatment type t]], 0)</f>
        <v>Inert waste (including concrete, metal, plastic or glass)</v>
      </c>
      <c r="F24" s="29" cm="1">
        <f t="array" ref="F24">Common_InputFunctions.Utility_DisplayArrayInTable(WasteSolid_SourceData.Waste_EmissionFactorsForWasteTreatment_Data(), Table_SourceData_WasteSolid_WasteTreatmentEFs[[#Headers],[Treatment type t]], 0)</f>
        <v>0</v>
      </c>
      <c r="G24" s="29" t="str" cm="1">
        <f t="array" ref="G24">Common_InputFunctions.Utility_DisplayArrayInTable(WasteSolid_SourceData.Waste_EmissionFactorsForWasteTreatment_Data(), Table_SourceData_WasteSolid_WasteTreatmentEFs[[#Headers],[Treatment type t]], 0)</f>
        <v>NGAF 2025 table 15</v>
      </c>
      <c r="I24" s="2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Solid waste'!A1", "Solid waste")</f>
        <v>Solid waste</v>
      </c>
      <c r="D25" s="1" t="str" cm="1">
        <f t="array" ref="D25">Common_InputFunctions.Utility_DisplayArrayInTable(WasteSolid_SourceData.Waste_EmissionFactorsForWasteTreatment_Data(), Table_SourceData_WasteSolid_WasteTreatmentEFs[[#Headers],[Treatment type t]], 0)</f>
        <v>Landfill</v>
      </c>
      <c r="E25" s="29" t="str" cm="1">
        <f t="array" ref="E25">Common_InputFunctions.Utility_DisplayArrayInTable(WasteSolid_SourceData.Waste_EmissionFactorsForWasteTreatment_Data(), Table_SourceData_WasteSolid_WasteTreatmentEFs[[#Headers],[Treatment type t]], 0)</f>
        <v>Municipal solid waste</v>
      </c>
      <c r="F25" s="29" cm="1">
        <f t="array" ref="F25">Common_InputFunctions.Utility_DisplayArrayInTable(WasteSolid_SourceData.Waste_EmissionFactorsForWasteTreatment_Data(), Table_SourceData_WasteSolid_WasteTreatmentEFs[[#Headers],[Treatment type t]], 0)</f>
        <v>1.6</v>
      </c>
      <c r="G25" s="29" t="str" cm="1">
        <f t="array" ref="G25">Common_InputFunctions.Utility_DisplayArrayInTable(WasteSolid_SourceData.Waste_EmissionFactorsForWasteTreatment_Data(), Table_SourceData_WasteSolid_WasteTreatmentEFs[[#Headers],[Treatment type t]], 0)</f>
        <v>NGAF 2025 table 15</v>
      </c>
      <c r="I25" s="29" t="str">
        <f>Table_SourceData_WasteSolid_WasteTreatmentEFs[[#This Row],[Waste type w]]</f>
        <v>Municipal solid waste</v>
      </c>
      <c r="K25" s="1" t="str">
        <f t="shared" si="0"/>
        <v>Municipal solid waste</v>
      </c>
    </row>
    <row r="26" spans="1:15" ht="20.100000000000001" customHeight="1" x14ac:dyDescent="0.25">
      <c r="A26" s="5" t="str">
        <f>HYPERLINK("#'Input - Data quality'!A1", "Data quality")</f>
        <v>Data quality</v>
      </c>
      <c r="D26" s="1" t="str" cm="1">
        <f t="array" ref="D26">Common_InputFunctions.Utility_DisplayArrayInTable(WasteSolid_SourceData.Waste_EmissionFactorsForWasteTreatment_Data(), Table_SourceData_WasteSolid_WasteTreatmentEFs[[#Headers],[Treatment type t]], 0)</f>
        <v>Landfill</v>
      </c>
      <c r="E26" s="29" t="str" cm="1">
        <f t="array" ref="E26">Common_InputFunctions.Utility_DisplayArrayInTable(WasteSolid_SourceData.Waste_EmissionFactorsForWasteTreatment_Data(), Table_SourceData_WasteSolid_WasteTreatmentEFs[[#Headers],[Treatment type t]], 0)</f>
        <v>Commercial and industrial waste</v>
      </c>
      <c r="F26" s="29" cm="1">
        <f t="array" ref="F26">Common_InputFunctions.Utility_DisplayArrayInTable(WasteSolid_SourceData.Waste_EmissionFactorsForWasteTreatment_Data(), Table_SourceData_WasteSolid_WasteTreatmentEFs[[#Headers],[Treatment type t]], 0)</f>
        <v>1.3</v>
      </c>
      <c r="G26" s="29" t="str" cm="1">
        <f t="array" ref="G26">Common_InputFunctions.Utility_DisplayArrayInTable(WasteSolid_SourceData.Waste_EmissionFactorsForWasteTreatment_Data(), Table_SourceData_WasteSolid_WasteTreatmentEFs[[#Headers],[Treatment type t]], 0)</f>
        <v>NGAF 2025 table 15</v>
      </c>
      <c r="I26" s="29"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9" t="str" cm="1">
        <f t="array" ref="E27">Common_InputFunctions.Utility_DisplayArrayInTable(WasteSolid_SourceData.Waste_EmissionFactorsForWasteTreatment_Data(), Table_SourceData_WasteSolid_WasteTreatmentEFs[[#Headers],[Treatment type t]], 0)</f>
        <v>Construction and demolition waste</v>
      </c>
      <c r="F27" s="29" cm="1">
        <f t="array" ref="F27">Common_InputFunctions.Utility_DisplayArrayInTable(WasteSolid_SourceData.Waste_EmissionFactorsForWasteTreatment_Data(), Table_SourceData_WasteSolid_WasteTreatmentEFs[[#Headers],[Treatment type t]], 0)</f>
        <v>0.2</v>
      </c>
      <c r="G27" s="29" t="str" cm="1">
        <f t="array" ref="G27">Common_InputFunctions.Utility_DisplayArrayInTable(WasteSolid_SourceData.Waste_EmissionFactorsForWasteTreatment_Data(), Table_SourceData_WasteSolid_WasteTreatmentEFs[[#Headers],[Treatment type t]], 0)</f>
        <v>NGAF 2025 table 15</v>
      </c>
      <c r="I27" s="29"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9" t="str" cm="1">
        <f t="array" ref="E28">Common_InputFunctions.Utility_DisplayArrayInTable(WasteSolid_SourceData.Waste_EmissionFactorsForWasteTreatment_Data(), Table_SourceData_WasteSolid_WasteTreatmentEFs[[#Headers],[Treatment type t]], 0)</f>
        <v>Food waste, green waste, wood, sludge</v>
      </c>
      <c r="F28" s="29" cm="1">
        <f t="array" ref="F28">Common_InputFunctions.Utility_DisplayArrayInTable(WasteSolid_SourceData.Waste_EmissionFactorsForWasteTreatment_Data(), Table_SourceData_WasteSolid_WasteTreatmentEFs[[#Headers],[Treatment type t]], 0)</f>
        <v>0</v>
      </c>
      <c r="G28" s="2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6" t="s">
        <v>2</v>
      </c>
      <c r="D29" s="1" t="str" cm="1">
        <f t="array" ref="D29">Common_InputFunctions.Utility_DisplayArrayInTable(WasteSolid_SourceData.Waste_EmissionFactorsForWasteTreatment_Data(), Table_SourceData_WasteSolid_WasteTreatmentEFs[[#Headers],[Treatment type t]], 0)</f>
        <v>Incineration</v>
      </c>
      <c r="E29" s="2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9" cm="1">
        <f t="array" ref="F29">Common_InputFunctions.Utility_DisplayArrayInTable(WasteSolid_SourceData.Waste_EmissionFactorsForWasteTreatment_Data(), Table_SourceData_WasteSolid_WasteTreatmentEFs[[#Headers],[Treatment type t]], 0)</f>
        <v>0</v>
      </c>
      <c r="G29" s="2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HYPERLINK("#'5.1.1.1-2 Inorganic fert N2O'!A1", "5.1.1.1-2 Inorganic fert N2O")</f>
        <v>5.1.1.1-2 Inorganic fert N2O</v>
      </c>
      <c r="D30" s="1" t="str" cm="1">
        <f t="array" ref="D30">Common_InputFunctions.Utility_DisplayArrayInTable(WasteSolid_SourceData.Waste_EmissionFactorsForWasteTreatment_Data(), Table_SourceData_WasteSolid_WasteTreatmentEFs[[#Headers],[Treatment type t]], 0)</f>
        <v>Incineration</v>
      </c>
      <c r="E30" s="29" t="str" cm="1">
        <f t="array" ref="E30">Common_InputFunctions.Utility_DisplayArrayInTable(WasteSolid_SourceData.Waste_EmissionFactorsForWasteTreatment_Data(), Table_SourceData_WasteSolid_WasteTreatmentEFs[[#Headers],[Treatment type t]], 0)</f>
        <v>Green waste (including crop residues or prunings)</v>
      </c>
      <c r="F30" s="29" cm="1">
        <f t="array" ref="F30">Common_InputFunctions.Utility_DisplayArrayInTable(WasteSolid_SourceData.Waste_EmissionFactorsForWasteTreatment_Data(), Table_SourceData_WasteSolid_WasteTreatmentEFs[[#Headers],[Treatment type t]], 0)</f>
        <v>0</v>
      </c>
      <c r="G30" s="2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HYPERLINK("#'5.1.1.3-4 Inorganic fert CO2'!A1", "5.1.1.3-4 Inorganic fert CO2")</f>
        <v>5.1.1.3-4 Inorganic fert CO2</v>
      </c>
      <c r="D31" s="1" t="str" cm="1">
        <f t="array" ref="D31">Common_InputFunctions.Utility_DisplayArrayInTable(WasteSolid_SourceData.Waste_EmissionFactorsForWasteTreatment_Data(), Table_SourceData_WasteSolid_WasteTreatmentEFs[[#Headers],[Treatment type t]], 0)</f>
        <v>Incineration</v>
      </c>
      <c r="E31" s="29" t="str" cm="1">
        <f t="array" ref="E31">Common_InputFunctions.Utility_DisplayArrayInTable(WasteSolid_SourceData.Waste_EmissionFactorsForWasteTreatment_Data(), Table_SourceData_WasteSolid_WasteTreatmentEFs[[#Headers],[Treatment type t]], 0)</f>
        <v>Wood</v>
      </c>
      <c r="F31" s="29" cm="1">
        <f t="array" ref="F31">Common_InputFunctions.Utility_DisplayArrayInTable(WasteSolid_SourceData.Waste_EmissionFactorsForWasteTreatment_Data(), Table_SourceData_WasteSolid_WasteTreatmentEFs[[#Headers],[Treatment type t]], 0)</f>
        <v>0</v>
      </c>
      <c r="G31" s="2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HYPERLINK("#'5.2.1.1-2 Organic Fert N2O'!A1", "5.2.1.1-2 Organic fert N2O")</f>
        <v>5.2.1.1-2 Organic fert N2O</v>
      </c>
      <c r="D32" s="1" t="str" cm="1">
        <f t="array" ref="D32">Common_InputFunctions.Utility_DisplayArrayInTable(WasteSolid_SourceData.Waste_EmissionFactorsForWasteTreatment_Data(), Table_SourceData_WasteSolid_WasteTreatmentEFs[[#Headers],[Treatment type t]], 0)</f>
        <v>Incineration</v>
      </c>
      <c r="E32" s="29" t="str" cm="1">
        <f t="array" ref="E32">Common_InputFunctions.Utility_DisplayArrayInTable(WasteSolid_SourceData.Waste_EmissionFactorsForWasteTreatment_Data(), Table_SourceData_WasteSolid_WasteTreatmentEFs[[#Headers],[Treatment type t]], 0)</f>
        <v>Sludge</v>
      </c>
      <c r="F32" s="29" cm="1">
        <f t="array" ref="F32">Common_InputFunctions.Utility_DisplayArrayInTable(WasteSolid_SourceData.Waste_EmissionFactorsForWasteTreatment_Data(), Table_SourceData_WasteSolid_WasteTreatmentEFs[[#Headers],[Treatment type t]], 0)</f>
        <v>0</v>
      </c>
      <c r="G32" s="2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HYPERLINK("#'5.3.1.1-2 Lime CO2'!A1", "5.3.1.1-2 Lime CO2")</f>
        <v>5.3.1.1-2 Lime CO2</v>
      </c>
      <c r="D33" s="1" t="str" cm="1">
        <f t="array" ref="D33">Common_InputFunctions.Utility_DisplayArrayInTable(WasteSolid_SourceData.Waste_EmissionFactorsForWasteTreatment_Data(), Table_SourceData_WasteSolid_WasteTreatmentEFs[[#Headers],[Treatment type t]], 0)</f>
        <v>Incineration</v>
      </c>
      <c r="E33" s="29" t="str" cm="1">
        <f t="array" ref="E33">Common_InputFunctions.Utility_DisplayArrayInTable(WasteSolid_SourceData.Waste_EmissionFactorsForWasteTreatment_Data(), Table_SourceData_WasteSolid_WasteTreatmentEFs[[#Headers],[Treatment type t]], 0)</f>
        <v>Paper and cardboard</v>
      </c>
      <c r="F33" s="29" cm="1">
        <f t="array" ref="F33">Common_InputFunctions.Utility_DisplayArrayInTable(WasteSolid_SourceData.Waste_EmissionFactorsForWasteTreatment_Data(), Table_SourceData_WasteSolid_WasteTreatmentEFs[[#Headers],[Treatment type t]], 0)</f>
        <v>1.6899999999999998E-2</v>
      </c>
      <c r="G33" s="2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HYPERLINK("#'5.4.1.1-4 Atmos deposition'!A1", "5.4.1.1-4 Atmos. deposition")</f>
        <v>5.4.1.1-4 Atmos. deposition</v>
      </c>
      <c r="D34" s="1" t="str" cm="1">
        <f t="array" ref="D34">Common_InputFunctions.Utility_DisplayArrayInTable(WasteSolid_SourceData.Waste_EmissionFactorsForWasteTreatment_Data(), Table_SourceData_WasteSolid_WasteTreatmentEFs[[#Headers],[Treatment type t]], 0)</f>
        <v>Incineration</v>
      </c>
      <c r="E34" s="29" t="str" cm="1">
        <f t="array" ref="E34">Common_InputFunctions.Utility_DisplayArrayInTable(WasteSolid_SourceData.Waste_EmissionFactorsForWasteTreatment_Data(), Table_SourceData_WasteSolid_WasteTreatmentEFs[[#Headers],[Treatment type t]], 0)</f>
        <v>Textiles</v>
      </c>
      <c r="F34" s="29" cm="1">
        <f t="array" ref="F34">Common_InputFunctions.Utility_DisplayArrayInTable(WasteSolid_SourceData.Waste_EmissionFactorsForWasteTreatment_Data(), Table_SourceData_WasteSolid_WasteTreatmentEFs[[#Headers],[Treatment type t]], 0)</f>
        <v>0.36670000000000003</v>
      </c>
      <c r="G34" s="2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HYPERLINK("#'5.5.1.1-2 Leaching and runoff'!A1", "5.5.1.1-2 Leaching &amp; runoff")</f>
        <v>5.5.1.1-2 Leaching &amp; runoff</v>
      </c>
      <c r="D35" s="1" t="str" cm="1">
        <f t="array" ref="D35">Common_InputFunctions.Utility_DisplayArrayInTable(WasteSolid_SourceData.Waste_EmissionFactorsForWasteTreatment_Data(), Table_SourceData_WasteSolid_WasteTreatmentEFs[[#Headers],[Treatment type t]], 0)</f>
        <v>Incineration</v>
      </c>
      <c r="E35" s="29" t="str" cm="1">
        <f t="array" ref="E35">Common_InputFunctions.Utility_DisplayArrayInTable(WasteSolid_SourceData.Waste_EmissionFactorsForWasteTreatment_Data(), Table_SourceData_WasteSolid_WasteTreatmentEFs[[#Headers],[Treatment type t]], 0)</f>
        <v>Rubber and leather</v>
      </c>
      <c r="F35" s="29" cm="1">
        <f t="array" ref="F35">Common_InputFunctions.Utility_DisplayArrayInTable(WasteSolid_SourceData.Waste_EmissionFactorsForWasteTreatment_Data(), Table_SourceData_WasteSolid_WasteTreatmentEFs[[#Headers],[Treatment type t]], 0)</f>
        <v>0.4919</v>
      </c>
      <c r="G35" s="2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HYPERLINK("#'6.2.1.1-2 Pasture residue N2O'!A1", "6.2.1.1-2 Pasture residue N2O")</f>
        <v>6.2.1.1-2 Pasture residue N2O</v>
      </c>
      <c r="D36" s="1" t="str" cm="1">
        <f t="array" ref="D36">Common_InputFunctions.Utility_DisplayArrayInTable(WasteSolid_SourceData.Waste_EmissionFactorsForWasteTreatment_Data(), Table_SourceData_WasteSolid_WasteTreatmentEFs[[#Headers],[Treatment type t]], 0)</f>
        <v>Incineration</v>
      </c>
      <c r="E36" s="29" t="str" cm="1">
        <f t="array" ref="E36">Common_InputFunctions.Utility_DisplayArrayInTable(WasteSolid_SourceData.Waste_EmissionFactorsForWasteTreatment_Data(), Table_SourceData_WasteSolid_WasteTreatmentEFs[[#Headers],[Treatment type t]], 0)</f>
        <v>Inert waste (including concrete, metal, plastic or glass)</v>
      </c>
      <c r="F36" s="29" cm="1">
        <f t="array" ref="F36">Common_InputFunctions.Utility_DisplayArrayInTable(WasteSolid_SourceData.Waste_EmissionFactorsForWasteTreatment_Data(), Table_SourceData_WasteSolid_WasteTreatmentEFs[[#Headers],[Treatment type t]], 0)</f>
        <v>0.11</v>
      </c>
      <c r="G36" s="2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HYPERLINK("#'6.3.1.1-2 Leach runoff pasture'!A1", "6.3.1.1-2 Leach &amp; runoff (pasture)")</f>
        <v>6.3.1.1-2 Leach &amp; runoff (pasture)</v>
      </c>
      <c r="D37" s="1" t="str" cm="1">
        <f t="array" ref="D37">Common_InputFunctions.Utility_DisplayArrayInTable(WasteSolid_SourceData.Waste_EmissionFactorsForWasteTreatment_Data(), Table_SourceData_WasteSolid_WasteTreatmentEFs[[#Headers],[Treatment type t]], 0)</f>
        <v>Incineration</v>
      </c>
      <c r="E37" s="29" t="str" cm="1">
        <f t="array" ref="E37">Common_InputFunctions.Utility_DisplayArrayInTable(WasteSolid_SourceData.Waste_EmissionFactorsForWasteTreatment_Data(), Table_SourceData_WasteSolid_WasteTreatmentEFs[[#Headers],[Treatment type t]], 0)</f>
        <v>Municipal solid waste</v>
      </c>
      <c r="F37" s="29" cm="1">
        <f t="array" ref="F37">Common_InputFunctions.Utility_DisplayArrayInTable(WasteSolid_SourceData.Waste_EmissionFactorsForWasteTreatment_Data(), Table_SourceData_WasteSolid_WasteTreatmentEFs[[#Headers],[Treatment type t]], 0)</f>
        <v>5.3699999999999998E-2</v>
      </c>
      <c r="G37" s="254"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HYPERLINK("#'8.1.1.1-2 Transport fuel'!A1", "8.1.1.1-2 Transport fuel")</f>
        <v>8.1.1.1-2 Transport fuel</v>
      </c>
      <c r="D38" s="1" t="str" cm="1">
        <f t="array" ref="D38">Common_InputFunctions.Utility_DisplayArrayInTable(WasteSolid_SourceData.Waste_EmissionFactorsForWasteTreatment_Data(), Table_SourceData_WasteSolid_WasteTreatmentEFs[[#Headers],[Treatment type t]], 0)</f>
        <v>Incineration</v>
      </c>
      <c r="E38" s="29" t="str" cm="1">
        <f t="array" ref="E38">Common_InputFunctions.Utility_DisplayArrayInTable(WasteSolid_SourceData.Waste_EmissionFactorsForWasteTreatment_Data(), Table_SourceData_WasteSolid_WasteTreatmentEFs[[#Headers],[Treatment type t]], 0)</f>
        <v>Commercial and industrial waste</v>
      </c>
      <c r="F38" s="29" cm="1">
        <f t="array" ref="F38">Common_InputFunctions.Utility_DisplayArrayInTable(WasteSolid_SourceData.Waste_EmissionFactorsForWasteTreatment_Data(), Table_SourceData_WasteSolid_WasteTreatmentEFs[[#Headers],[Treatment type t]], 0)</f>
        <v>1.649</v>
      </c>
      <c r="G38" s="254"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HYPERLINK("#'8.2.1.1-2 Stationary fuel'!A1", "8.2.1.1-2 Stationary fuel")</f>
        <v>8.2.1.1-2 Stationary fuel</v>
      </c>
      <c r="D39" s="1" t="str" cm="1">
        <f t="array" ref="D39">Common_InputFunctions.Utility_DisplayArrayInTable(WasteSolid_SourceData.Waste_EmissionFactorsForWasteTreatment_Data(), Table_SourceData_WasteSolid_WasteTreatmentEFs[[#Headers],[Treatment type t]], 0)</f>
        <v>Composting</v>
      </c>
      <c r="E39" s="29" t="str" cm="1">
        <f t="array" ref="E39">Common_InputFunctions.Utility_DisplayArrayInTable(WasteSolid_SourceData.Waste_EmissionFactorsForWasteTreatment_Data(), Table_SourceData_WasteSolid_WasteTreatmentEFs[[#Headers],[Treatment type t]], 0)</f>
        <v>All organic waste</v>
      </c>
      <c r="F39" s="29" cm="1">
        <f t="array" ref="F39">Common_InputFunctions.Utility_DisplayArrayInTable(WasteSolid_SourceData.Waste_EmissionFactorsForWasteTreatment_Data(), Table_SourceData_WasteSolid_WasteTreatmentEFs[[#Headers],[Treatment type t]], 0)</f>
        <v>4.5999999999999999E-2</v>
      </c>
      <c r="G39" s="254"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HYPERLINK("#'14.1.1-2 Purchased electricity'!A1", "14.1.1-2 Purchased electricity")</f>
        <v>14.1.1-2 Purchased electricity</v>
      </c>
      <c r="D40" s="1" t="str" cm="1">
        <f t="array" ref="D40">Common_InputFunctions.Utility_DisplayArrayInTable(WasteSolid_SourceData.Waste_EmissionFactorsForWasteTreatment_Data(), Table_SourceData_WasteSolid_WasteTreatmentEFs[[#Headers],[Treatment type t]], 0)</f>
        <v>Composting</v>
      </c>
      <c r="E40" s="2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9" cm="1">
        <f t="array" ref="F40">Common_InputFunctions.Utility_DisplayArrayInTable(WasteSolid_SourceData.Waste_EmissionFactorsForWasteTreatment_Data(), Table_SourceData_WasteSolid_WasteTreatmentEFs[[#Headers],[Treatment type t]], 0)</f>
        <v>4.5999999999999999E-2</v>
      </c>
      <c r="G40" s="254"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HYPERLINK("#'15 Scope 3'!A1", "15 Scope 3")</f>
        <v>15 Scope 3</v>
      </c>
      <c r="D41" s="1" t="str" cm="1">
        <f t="array" ref="D41">Common_InputFunctions.Utility_DisplayArrayInTable(WasteSolid_SourceData.Waste_EmissionFactorsForWasteTreatment_Data(), Table_SourceData_WasteSolid_WasteTreatmentEFs[[#Headers],[Treatment type t]], 0)</f>
        <v>Composting</v>
      </c>
      <c r="E41" s="29" t="str" cm="1">
        <f t="array" ref="E41">Common_InputFunctions.Utility_DisplayArrayInTable(WasteSolid_SourceData.Waste_EmissionFactorsForWasteTreatment_Data(), Table_SourceData_WasteSolid_WasteTreatmentEFs[[#Headers],[Treatment type t]], 0)</f>
        <v>Green waste (including crop residues or prunings)</v>
      </c>
      <c r="F41" s="29" cm="1">
        <f t="array" ref="F41">Common_InputFunctions.Utility_DisplayArrayInTable(WasteSolid_SourceData.Waste_EmissionFactorsForWasteTreatment_Data(), Table_SourceData_WasteSolid_WasteTreatmentEFs[[#Headers],[Treatment type t]], 0)</f>
        <v>4.5999999999999999E-2</v>
      </c>
      <c r="G41" s="254"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HYPERLINK("#'Calcs - Manure sent off-site'!A1", "Calcs - Manure sent off-site")</f>
        <v>Calcs - Manure sent off-site</v>
      </c>
      <c r="D42" s="1" t="str" cm="1">
        <f t="array" ref="D42">Common_InputFunctions.Utility_DisplayArrayInTable(WasteSolid_SourceData.Waste_EmissionFactorsForWasteTreatment_Data(), Table_SourceData_WasteSolid_WasteTreatmentEFs[[#Headers],[Treatment type t]], 0)</f>
        <v>Composting</v>
      </c>
      <c r="E42" s="29" t="str" cm="1">
        <f t="array" ref="E42">Common_InputFunctions.Utility_DisplayArrayInTable(WasteSolid_SourceData.Waste_EmissionFactorsForWasteTreatment_Data(), Table_SourceData_WasteSolid_WasteTreatmentEFs[[#Headers],[Treatment type t]], 0)</f>
        <v>Wood</v>
      </c>
      <c r="F42" s="29" cm="1">
        <f t="array" ref="F42">Common_InputFunctions.Utility_DisplayArrayInTable(WasteSolid_SourceData.Waste_EmissionFactorsForWasteTreatment_Data(), Table_SourceData_WasteSolid_WasteTreatmentEFs[[#Headers],[Treatment type t]], 0)</f>
        <v>4.5999999999999999E-2</v>
      </c>
      <c r="G42" s="254"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HYPERLINK("#'4.3.1.1-2 Methane'!A1", "4.3.1.1-2 Methane")</f>
        <v>4.3.1.1-2 Methane</v>
      </c>
      <c r="D43" s="1" t="str" cm="1">
        <f t="array" ref="D43">Common_InputFunctions.Utility_DisplayArrayInTable(WasteSolid_SourceData.Waste_EmissionFactorsForWasteTreatment_Data(), Table_SourceData_WasteSolid_WasteTreatmentEFs[[#Headers],[Treatment type t]], 0)</f>
        <v>Composting</v>
      </c>
      <c r="E43" s="29" t="str" cm="1">
        <f t="array" ref="E43">Common_InputFunctions.Utility_DisplayArrayInTable(WasteSolid_SourceData.Waste_EmissionFactorsForWasteTreatment_Data(), Table_SourceData_WasteSolid_WasteTreatmentEFs[[#Headers],[Treatment type t]], 0)</f>
        <v>Sludge</v>
      </c>
      <c r="F43" s="29" cm="1">
        <f t="array" ref="F43">Common_InputFunctions.Utility_DisplayArrayInTable(WasteSolid_SourceData.Waste_EmissionFactorsForWasteTreatment_Data(), Table_SourceData_WasteSolid_WasteTreatmentEFs[[#Headers],[Treatment type t]], 0)</f>
        <v>4.5999999999999999E-2</v>
      </c>
      <c r="G43" s="254"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HYPERLINK("#'4.3.1.3-4 Direct N20'!A1", "4.3.1.3-4 Direct N20")</f>
        <v>4.3.1.3-4 Direct N20</v>
      </c>
      <c r="D44" s="1" t="str" cm="1">
        <f t="array" ref="D44">Common_InputFunctions.Utility_DisplayArrayInTable(WasteSolid_SourceData.Waste_EmissionFactorsForWasteTreatment_Data(), Table_SourceData_WasteSolid_WasteTreatmentEFs[[#Headers],[Treatment type t]], 0)</f>
        <v>Composting</v>
      </c>
      <c r="E44" s="29" t="str" cm="1">
        <f t="array" ref="E44">Common_InputFunctions.Utility_DisplayArrayInTable(WasteSolid_SourceData.Waste_EmissionFactorsForWasteTreatment_Data(), Table_SourceData_WasteSolid_WasteTreatmentEFs[[#Headers],[Treatment type t]], 0)</f>
        <v>Paper and cardboard</v>
      </c>
      <c r="F44" s="29" cm="1">
        <f t="array" ref="F44">Common_InputFunctions.Utility_DisplayArrayInTable(WasteSolid_SourceData.Waste_EmissionFactorsForWasteTreatment_Data(), Table_SourceData_WasteSolid_WasteTreatmentEFs[[#Headers],[Treatment type t]], 0)</f>
        <v>4.5999999999999999E-2</v>
      </c>
      <c r="G44" s="254"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HYPERLINK("#'4.3.1.5 Atmos deposition'!A1", "4.3.1.5 Atmos deposition")</f>
        <v>4.3.1.5 Atmos deposition</v>
      </c>
      <c r="D45" s="1" t="str" cm="1">
        <f t="array" ref="D45">Common_InputFunctions.Utility_DisplayArrayInTable(WasteSolid_SourceData.Waste_EmissionFactorsForWasteTreatment_Data(), Table_SourceData_WasteSolid_WasteTreatmentEFs[[#Headers],[Treatment type t]], 0)</f>
        <v>Anaerobic digestion</v>
      </c>
      <c r="E45" s="29" t="str" cm="1">
        <f t="array" ref="E45">Common_InputFunctions.Utility_DisplayArrayInTable(WasteSolid_SourceData.Waste_EmissionFactorsForWasteTreatment_Data(), Table_SourceData_WasteSolid_WasteTreatmentEFs[[#Headers],[Treatment type t]], 0)</f>
        <v>All organic waste</v>
      </c>
      <c r="F45" s="29" cm="1">
        <f t="array" ref="F45">Common_InputFunctions.Utility_DisplayArrayInTable(WasteSolid_SourceData.Waste_EmissionFactorsForWasteTreatment_Data(), Table_SourceData_WasteSolid_WasteTreatmentEFs[[#Headers],[Treatment type t]], 0)</f>
        <v>2.8000000000000001E-2</v>
      </c>
      <c r="G45" s="254"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HYPERLINK("#'4.3.1.6-7 Leaching and runoff'!A1", "4.3.1.6-7 Leaching and runoff")</f>
        <v>4.3.1.6-7 Leaching and runoff</v>
      </c>
      <c r="D46" s="1" t="str" cm="1">
        <f t="array" ref="D46">Common_InputFunctions.Utility_DisplayArrayInTable(WasteSolid_SourceData.Waste_EmissionFactorsForWasteTreatment_Data(), Table_SourceData_WasteSolid_WasteTreatmentEFs[[#Headers],[Treatment type t]], 0)</f>
        <v>Anaerobic digestion</v>
      </c>
      <c r="E46" s="2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9" cm="1">
        <f t="array" ref="F46">Common_InputFunctions.Utility_DisplayArrayInTable(WasteSolid_SourceData.Waste_EmissionFactorsForWasteTreatment_Data(), Table_SourceData_WasteSolid_WasteTreatmentEFs[[#Headers],[Treatment type t]], 0)</f>
        <v>2.8000000000000001E-2</v>
      </c>
      <c r="G46" s="254"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HYPERLINK("#'4.3.1.8 Manure applied to soils'!A1", "4.3.1.8 Manure applied to soils")</f>
        <v>4.3.1.8 Manure applied to soils</v>
      </c>
      <c r="D47" s="1" t="str" cm="1">
        <f t="array" ref="D47">Common_InputFunctions.Utility_DisplayArrayInTable(WasteSolid_SourceData.Waste_EmissionFactorsForWasteTreatment_Data(), Table_SourceData_WasteSolid_WasteTreatmentEFs[[#Headers],[Treatment type t]], 0)</f>
        <v>Anaerobic digestion</v>
      </c>
      <c r="E47" s="29" t="str" cm="1">
        <f t="array" ref="E47">Common_InputFunctions.Utility_DisplayArrayInTable(WasteSolid_SourceData.Waste_EmissionFactorsForWasteTreatment_Data(), Table_SourceData_WasteSolid_WasteTreatmentEFs[[#Headers],[Treatment type t]], 0)</f>
        <v>Green waste (including crop residues or prunings)</v>
      </c>
      <c r="F47" s="29" cm="1">
        <f t="array" ref="F47">Common_InputFunctions.Utility_DisplayArrayInTable(WasteSolid_SourceData.Waste_EmissionFactorsForWasteTreatment_Data(), Table_SourceData_WasteSolid_WasteTreatmentEFs[[#Headers],[Treatment type t]], 0)</f>
        <v>2.8000000000000001E-2</v>
      </c>
      <c r="G47" s="254"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HYPERLINK("#'4.3.1.9 Soil direct N2O'!A1", "4.3.1.9 Soil direct N2O")</f>
        <v>4.3.1.9 Soil direct N2O</v>
      </c>
      <c r="D48" s="1" t="str" cm="1">
        <f t="array" ref="D48">Common_InputFunctions.Utility_DisplayArrayInTable(WasteSolid_SourceData.Waste_EmissionFactorsForWasteTreatment_Data(), Table_SourceData_WasteSolid_WasteTreatmentEFs[[#Headers],[Treatment type t]], 0)</f>
        <v>Anaerobic digestion</v>
      </c>
      <c r="E48" s="29" t="str" cm="1">
        <f t="array" ref="E48">Common_InputFunctions.Utility_DisplayArrayInTable(WasteSolid_SourceData.Waste_EmissionFactorsForWasteTreatment_Data(), Table_SourceData_WasteSolid_WasteTreatmentEFs[[#Headers],[Treatment type t]], 0)</f>
        <v>Wood</v>
      </c>
      <c r="F48" s="29" cm="1">
        <f t="array" ref="F48">Common_InputFunctions.Utility_DisplayArrayInTable(WasteSolid_SourceData.Waste_EmissionFactorsForWasteTreatment_Data(), Table_SourceData_WasteSolid_WasteTreatmentEFs[[#Headers],[Treatment type t]], 0)</f>
        <v>2.8000000000000001E-2</v>
      </c>
      <c r="G48" s="254"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HYPERLINK("#'4.3.1.10-11 Soil Atmos Dep'!A1", "4.3.1.10-11 Soil Atmos Dep")</f>
        <v>4.3.1.10-11 Soil Atmos Dep</v>
      </c>
      <c r="D49" s="1" t="str" cm="1">
        <f t="array" ref="D49">Common_InputFunctions.Utility_DisplayArrayInTable(WasteSolid_SourceData.Waste_EmissionFactorsForWasteTreatment_Data(), Table_SourceData_WasteSolid_WasteTreatmentEFs[[#Headers],[Treatment type t]], 0)</f>
        <v>Anaerobic digestion</v>
      </c>
      <c r="E49" s="29" t="str" cm="1">
        <f t="array" ref="E49">Common_InputFunctions.Utility_DisplayArrayInTable(WasteSolid_SourceData.Waste_EmissionFactorsForWasteTreatment_Data(), Table_SourceData_WasteSolid_WasteTreatmentEFs[[#Headers],[Treatment type t]], 0)</f>
        <v>Sludge</v>
      </c>
      <c r="F49" s="29" cm="1">
        <f t="array" ref="F49">Common_InputFunctions.Utility_DisplayArrayInTable(WasteSolid_SourceData.Waste_EmissionFactorsForWasteTreatment_Data(), Table_SourceData_WasteSolid_WasteTreatmentEFs[[#Headers],[Treatment type t]], 0)</f>
        <v>2.8000000000000001E-2</v>
      </c>
      <c r="G49" s="254"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5" t="str">
        <f>HYPERLINK("#'4.3.1.12-13 Soil leach runoff'!A1", "4.3.1.12-13 Soil leach runoff")</f>
        <v>4.3.1.12-13 Soil leach runoff</v>
      </c>
      <c r="D50" s="1" t="str" cm="1">
        <f t="array" ref="D50">Common_InputFunctions.Utility_DisplayArrayInTable(WasteSolid_SourceData.Waste_EmissionFactorsForWasteTreatment_Data(), Table_SourceData_WasteSolid_WasteTreatmentEFs[[#Headers],[Treatment type t]], 0)</f>
        <v>Anaerobic digestion</v>
      </c>
      <c r="E50" s="29" t="str" cm="1">
        <f t="array" ref="E50">Common_InputFunctions.Utility_DisplayArrayInTable(WasteSolid_SourceData.Waste_EmissionFactorsForWasteTreatment_Data(), Table_SourceData_WasteSolid_WasteTreatmentEFs[[#Headers],[Treatment type t]], 0)</f>
        <v>Paper and cardboard</v>
      </c>
      <c r="F50" s="29" cm="1">
        <f t="array" ref="F50">Common_InputFunctions.Utility_DisplayArrayInTable(WasteSolid_SourceData.Waste_EmissionFactorsForWasteTreatment_Data(), Table_SourceData_WasteSolid_WasteTreatmentEFs[[#Headers],[Treatment type t]], 0)</f>
        <v>2.8000000000000001E-2</v>
      </c>
      <c r="G50" s="254"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HYPERLINK("#'3.3.1.1-2 Enteric Methane'!A1", "3.3.1.1-2 Enteric Methane")</f>
        <v>3.3.1.1-2 Enteric Methane</v>
      </c>
    </row>
    <row r="52" spans="1:7" ht="20.100000000000001" customHeight="1" x14ac:dyDescent="0.25">
      <c r="A52" s="5" t="str">
        <f>HYPERLINK("#'10.1.1-2 Solid waste treatment'!A1", "10.1.1-2 Solid waste treatment")</f>
        <v>10.1.1-2 Solid waste treatment</v>
      </c>
      <c r="D52" s="2" t="str" cm="1">
        <f t="array" ref="D52">WasteSolid_SourceData.Waste_WasteVolumeToMassConversion_Title()</f>
        <v>Volume to mass conversion factor for various waste types</v>
      </c>
    </row>
    <row r="53" spans="1:7" ht="20.100000000000001" customHeight="1" x14ac:dyDescent="0.25">
      <c r="D53" s="27" t="str" cm="1">
        <f t="array" ref="D53">WasteSolid_SourceData.Waste_WasteVolumeToMassConversion_Source()</f>
        <v>VEERG 2026: Table A.4.1.2</v>
      </c>
    </row>
    <row r="54" spans="1:7" ht="20.100000000000001" customHeight="1" x14ac:dyDescent="0.25">
      <c r="D54" s="35" t="str" cm="1">
        <f t="array" ref="D54">WasteSolid_SourceData.Waste_WasteVolumeToMassConversion_Variation()</f>
        <v>VARIATION OF SOURCE: Changed column header CFw to VTMw to match title variable.</v>
      </c>
    </row>
    <row r="55" spans="1:7" ht="20.100000000000001" customHeight="1" x14ac:dyDescent="0.25">
      <c r="A55" s="100" t="s">
        <v>1</v>
      </c>
      <c r="D55" s="1" t="str" cm="1">
        <f t="array" ref="D55">WasteSolid_SourceData.Waste_WasteVolumeToMassConversion_Variable()</f>
        <v>VTMw</v>
      </c>
    </row>
    <row r="56" spans="1:7" ht="20.100000000000001" customHeight="1" x14ac:dyDescent="0.25">
      <c r="A56" s="5" t="str">
        <f>HYPERLINK("#'Constants - Dairy'!A1", "Constants - Dairy")</f>
        <v>Constants - Dairy</v>
      </c>
      <c r="D56" s="15" t="str" cm="1">
        <f t="array" ref="D56">WasteSolid_SourceData.Waste_WasteVolumeToMassConversion_Unit()</f>
        <v>t/m3</v>
      </c>
    </row>
    <row r="57" spans="1:7" ht="20.100000000000001" customHeight="1" x14ac:dyDescent="0.25">
      <c r="A57" s="5" t="str">
        <f>HYPERLINK("#'Constants - Ag Residue'!A1", "Constants - Ag residue")</f>
        <v>Constants - Ag residue</v>
      </c>
      <c r="D57" s="29" t="s">
        <v>942</v>
      </c>
      <c r="E57" s="29" t="s">
        <v>945</v>
      </c>
    </row>
    <row r="58" spans="1:7" ht="20.100000000000001" customHeight="1" x14ac:dyDescent="0.25">
      <c r="A58" s="5" t="str">
        <f>HYPERLINK("#'Constants - Common Livestock'!A1", "Constants - Common Livestock")</f>
        <v>Constants - Common Livestock</v>
      </c>
      <c r="D58" s="2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Electricity'!A1", "Constants - Electricity")</f>
        <v>Constants - Electricity</v>
      </c>
      <c r="D59" s="1" t="str" cm="1">
        <f t="array" ref="D59">Common_InputFunctions.Utility_DisplayArrayInTable(WasteSolid_SourceData.Waste_WasteVolumeToMassConversion_Data(), Table_SourceData_WasteSolid_VolumeToMassConversion[[#Headers],[Waste type w]], 0)</f>
        <v>Paper and cardboard</v>
      </c>
      <c r="E59" s="2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Fertiliser'!A1", "Constants - Fertiliser")</f>
        <v>Constants - Fertiliser</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HYPERLINK("#'Constants - Fuel'!A1", "Constants - Fuel")</f>
        <v>Constants - Fuel</v>
      </c>
      <c r="D61" s="1" t="str" cm="1">
        <f t="array" ref="D61">Common_InputFunctions.Utility_DisplayArrayInTable(WasteSolid_SourceData.Waste_WasteVolumeToMassConversion_Data(), Table_SourceData_WasteSolid_VolumeToMassConversion[[#Headers],[Waste type w]], 0)</f>
        <v>Wood</v>
      </c>
      <c r="E61" s="2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5" t="str">
        <f>HYPERLINK("#'Constants - Scope 3'!A1", "Constants - Scope 3")</f>
        <v>Constants - Scope 3</v>
      </c>
      <c r="D62" s="1" t="str" cm="1">
        <f t="array" ref="D62">Common_InputFunctions.Utility_DisplayArrayInTable(WasteSolid_SourceData.Waste_WasteVolumeToMassConversion_Data(), Table_SourceData_WasteSolid_VolumeToMassConversion[[#Headers],[Waste type w]], 0)</f>
        <v>Textiles</v>
      </c>
      <c r="E62" s="2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s="5" t="str">
        <f>HYPERLINK("#'Constants - Common'!A1", "Constants - Common")</f>
        <v>Constants - Common</v>
      </c>
      <c r="D63" s="1" t="str" cm="1">
        <f t="array" ref="D63">Common_InputFunctions.Utility_DisplayArrayInTable(WasteSolid_SourceData.Waste_WasteVolumeToMassConversion_Data(), Table_SourceData_WasteSolid_VolumeToMassConversion[[#Headers],[Waste type w]], 0)</f>
        <v>Sludge</v>
      </c>
      <c r="E63" s="2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s="5" t="str">
        <f>HYPERLINK("#'Acknowledgements'!A1", "Acknowledgements")</f>
        <v>Acknowledgements</v>
      </c>
      <c r="D64" s="1" t="str" cm="1">
        <f t="array" ref="D64">Common_InputFunctions.Utility_DisplayArrayInTable(WasteSolid_SourceData.Waste_WasteVolumeToMassConversion_Data(), Table_SourceData_WasteSolid_VolumeToMassConversion[[#Headers],[Waste type w]], 0)</f>
        <v>Rubber and leather</v>
      </c>
      <c r="E64" s="2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s="148" t="str">
        <f>HYPERLINK("#'Constants - Solid Waste'!A1", "Constants - Solid Waste")</f>
        <v>Constants - Solid Waste</v>
      </c>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9"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row r="70" spans="1:5" ht="20.100000000000001" customHeight="1" x14ac:dyDescent="0.25"/>
    <row r="71" spans="1:5" ht="20.100000000000001" customHeight="1" x14ac:dyDescent="0.25"/>
    <row r="72" spans="1:5" ht="20.100000000000001" customHeight="1" x14ac:dyDescent="0.25"/>
    <row r="73" spans="1:5" ht="20.100000000000001" customHeight="1" x14ac:dyDescent="0.25"/>
    <row r="74" spans="1:5" ht="20.100000000000001" customHeight="1" x14ac:dyDescent="0.25"/>
    <row r="75" spans="1:5" ht="20.100000000000001" customHeight="1" x14ac:dyDescent="0.25"/>
    <row r="76" spans="1:5" ht="20.100000000000001" customHeight="1" x14ac:dyDescent="0.25"/>
    <row r="77" spans="1:5" ht="20.100000000000001" customHeight="1" x14ac:dyDescent="0.25"/>
    <row r="78" spans="1:5" ht="20.100000000000001" customHeight="1" x14ac:dyDescent="0.25"/>
    <row r="79" spans="1:5" ht="20.100000000000001" customHeight="1" x14ac:dyDescent="0.25"/>
    <row r="80" spans="1: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48F76-72C8-4AF6-A7E7-B7797C9F7018}">
  <dimension ref="A1:BL82"/>
  <sheetViews>
    <sheetView showGridLines="0" workbookViewId="0" zoomScale="100" zoomScaleNormal="100">
      <selection activeCell="A65" sqref="A65"/>
    </sheetView>
  </sheetViews>
  <sheetFormatPr defaultRowHeight="15" x14ac:dyDescent="0.25"/>
  <cols>
    <col min="1" max="1" width="30.7109375" customWidth="1"/>
    <col min="2" max="3" width="4.7109375" customWidth="1"/>
  </cols>
  <sheetData>
    <row r="1" spans="1:64" ht="30" customHeight="1" x14ac:dyDescent="0.35">
      <c r="A1" s="16" t="e" vm="1">
        <v>#VALUE!</v>
      </c>
      <c r="C1" s="281" t="s">
        <v>1285</v>
      </c>
      <c r="D1" s="282"/>
      <c r="E1" s="282"/>
      <c r="F1" s="282"/>
      <c r="G1" s="282"/>
      <c r="H1" s="282"/>
      <c r="I1" s="282"/>
      <c r="J1" s="282"/>
      <c r="K1" s="282"/>
      <c r="L1" s="282"/>
      <c r="M1" s="282"/>
      <c r="N1" s="282"/>
      <c r="O1" s="282"/>
      <c r="P1" s="282"/>
      <c r="Q1" s="282"/>
      <c r="R1" s="282"/>
      <c r="S1" s="282"/>
      <c r="T1" s="282"/>
      <c r="U1" s="282"/>
      <c r="V1" s="282"/>
      <c r="W1" s="282"/>
      <c r="X1" s="282"/>
      <c r="Y1" s="282"/>
      <c r="Z1" s="282"/>
      <c r="AA1" s="282"/>
      <c r="AB1" s="282"/>
      <c r="AC1" s="282"/>
      <c r="AD1" s="282"/>
      <c r="AE1" s="282"/>
      <c r="AF1" s="282"/>
      <c r="AG1" s="282"/>
    </row>
    <row r="2" spans="1:64" ht="20.100000000000001" customHeight="1" x14ac:dyDescent="0.25">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row>
    <row r="3" spans="1:64" ht="20.100000000000001" customHeight="1" x14ac:dyDescent="0.25">
      <c r="A3" s="5" t="str">
        <f>HYPERLINK("#'Home'!A1", "Home")</f>
        <v>Home</v>
      </c>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3"/>
      <c r="AZ3" s="283"/>
      <c r="BA3" s="283"/>
      <c r="BB3" s="283"/>
      <c r="BC3" s="283"/>
      <c r="BD3" s="283"/>
      <c r="BE3" s="283"/>
      <c r="BF3" s="283"/>
      <c r="BG3" s="283"/>
      <c r="BH3" s="283"/>
      <c r="BI3" s="283"/>
      <c r="BJ3" s="283"/>
      <c r="BK3" s="283"/>
      <c r="BL3" s="283"/>
    </row>
    <row r="4" spans="1:64" ht="20.100000000000001" customHeight="1" x14ac:dyDescent="0.25">
      <c r="A4" s="284"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8" t="s">
        <v>1286</v>
      </c>
      <c r="E5" s="268"/>
      <c r="F5" s="268"/>
      <c r="G5" s="268"/>
      <c r="H5" s="268"/>
      <c r="I5" s="145"/>
      <c r="J5" s="53"/>
      <c r="K5" s="53"/>
      <c r="L5" s="53"/>
      <c r="M5" s="53"/>
      <c r="N5" s="53"/>
      <c r="O5" s="53"/>
      <c r="P5" s="53"/>
      <c r="Q5" s="53"/>
      <c r="R5" s="53"/>
      <c r="S5" s="53"/>
      <c r="T5" s="53"/>
      <c r="U5" s="53"/>
      <c r="V5" s="54"/>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5" t="s">
        <v>1287</v>
      </c>
      <c r="E6" s="154"/>
      <c r="F6" s="154"/>
      <c r="G6" s="154"/>
      <c r="H6" s="154"/>
      <c r="I6" s="55"/>
      <c r="J6" s="56"/>
      <c r="K6" s="56"/>
      <c r="L6" s="56"/>
      <c r="M6" s="56"/>
      <c r="N6" s="56"/>
      <c r="O6" s="56"/>
      <c r="P6" s="56"/>
      <c r="Q6" s="56"/>
      <c r="R6" s="56"/>
      <c r="S6" s="56"/>
      <c r="T6" s="56"/>
      <c r="U6" s="56"/>
      <c r="V6" s="57"/>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Common farm inputs'!A1", "Common farm inputs")</f>
        <v>Common 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Crop pasture farm input'!A1", "Crop pasture farm input")</f>
        <v>Crop pasture farm input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Livestock farm Inputs'!A1", "Livestock farm Inputs")</f>
        <v>Livestock farm Inputs</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Freight'!A1", "Freight")</f>
        <v>Freight</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A24" s="5" t="str">
        <f>HYPERLINK("#'Input - Manure sent off-site'!A1", "Manure sent off-site")</f>
        <v>Manure sent off-site</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A25" s="5" t="str">
        <f>HYPERLINK("#'Input - Solid waste'!A1", "Solid waste")</f>
        <v>Solid waste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A26" s="5" t="str">
        <f>HYPERLINK("#'Input - Data quality'!A1", "Data quality")</f>
        <v>Data quality</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6" t="s">
        <v>2</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HYPERLINK("#'5.1.1.1-2 Inorganic fert N2O'!A1", "5.1.1.1-2 Inorganic fert N2O")</f>
        <v>5.1.1.1-2 Inorganic fert N2O</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HYPERLINK("#'5.1.1.3-4 Inorganic fert CO2'!A1", "5.1.1.3-4 Inorganic fert CO2")</f>
        <v>5.1.1.3-4 Inorganic fert CO2</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HYPERLINK("#'5.2.1.1-2 Organic Fert N2O'!A1", "5.2.1.1-2 Organic fert N2O")</f>
        <v>5.2.1.1-2 Organic fert N2O</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HYPERLINK("#'5.3.1.1-2 Lime CO2'!A1", "5.3.1.1-2 Lime CO2")</f>
        <v>5.3.1.1-2 Lime CO2</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HYPERLINK("#'5.4.1.1-4 Atmos deposition'!A1", "5.4.1.1-4 Atmos. deposition")</f>
        <v>5.4.1.1-4 Atmos. deposition</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HYPERLINK("#'5.5.1.1-2 Leaching and runoff'!A1", "5.5.1.1-2 Leaching &amp; runoff")</f>
        <v>5.5.1.1-2 Leaching &amp; runoff</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HYPERLINK("#'6.2.1.1-2 Pasture residue N2O'!A1", "6.2.1.1-2 Pasture residue N2O")</f>
        <v>6.2.1.1-2 Pasture residue N2O</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HYPERLINK("#'6.3.1.1-2 Leach runoff pasture'!A1", "6.3.1.1-2 Leach &amp; runoff (pasture)")</f>
        <v>6.3.1.1-2 Leach &amp; runoff (pasture)</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HYPERLINK("#'8.1.1.1-2 Transport fuel'!A1", "8.1.1.1-2 Transport fuel")</f>
        <v>8.1.1.1-2 Transport fuel</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HYPERLINK("#'8.2.1.1-2 Stationary fuel'!A1", "8.2.1.1-2 Stationary fuel")</f>
        <v>8.2.1.1-2 Stationary fuel</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HYPERLINK("#'14.1.1-2 Purchased electricity'!A1", "14.1.1-2 Purchased electricity")</f>
        <v>14.1.1-2 Purchased electricity</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HYPERLINK("#'15 Scope 3'!A1", "15 Scope 3")</f>
        <v>15 Scope 3</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HYPERLINK("#'Calcs - Manure sent off-site'!A1", "Calcs - Manure sent off-site")</f>
        <v>Calcs - Manure sent off-site</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HYPERLINK("#'4.3.1.1-2 Methane'!A1", "4.3.1.1-2 Methane")</f>
        <v>4.3.1.1-2 Methane</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HYPERLINK("#'4.3.1.3-4 Direct N20'!A1", "4.3.1.3-4 Direct N20")</f>
        <v>4.3.1.3-4 Direct N20</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HYPERLINK("#'4.3.1.5 Atmos deposition'!A1", "4.3.1.5 Atmos deposition")</f>
        <v>4.3.1.5 Atmos deposition</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HYPERLINK("#'4.3.1.6-7 Leaching and runoff'!A1", "4.3.1.6-7 Leaching and runoff")</f>
        <v>4.3.1.6-7 Leaching and runoff</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HYPERLINK("#'4.3.1.8 Manure applied to soils'!A1", "4.3.1.8 Manure applied to soils")</f>
        <v>4.3.1.8 Manure applied to soils</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HYPERLINK("#'4.3.1.9 Soil direct N2O'!A1", "4.3.1.9 Soil direct N2O")</f>
        <v>4.3.1.9 Soil direct N2O</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HYPERLINK("#'4.3.1.10-11 Soil Atmos Dep'!A1", "4.3.1.10-11 Soil Atmos Dep")</f>
        <v>4.3.1.10-11 Soil Atmos Dep</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A50" s="5" t="str">
        <f>HYPERLINK("#'4.3.1.12-13 Soil leach runoff'!A1", "4.3.1.12-13 Soil leach runoff")</f>
        <v>4.3.1.12-13 Soil leach runoff</v>
      </c>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A51" s="5" t="str">
        <f>HYPERLINK("#'3.3.1.1-2 Enteric Methane'!A1", "3.3.1.1-2 Enteric Methane")</f>
        <v>3.3.1.1-2 Enteric Methane</v>
      </c>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A52" s="5" t="str">
        <f>HYPERLINK("#'10.1.1-2 Solid waste treatment'!A1", "10.1.1-2 Solid waste treatment")</f>
        <v>10.1.1-2 Solid waste treatment</v>
      </c>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100" t="s">
        <v>1</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Dairy'!A1", "Constants - Dairy")</f>
        <v>Constants - Dairy</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Ag Residue'!A1", "Constants - Ag residue")</f>
        <v>Constants - Ag residue</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Common Livestock'!A1", "Constants - Common Livestock")</f>
        <v>Constants - Common Livestock</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Electricity'!A1", "Constants - Electricity")</f>
        <v>Constants - Electricity</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Fertiliser'!A1", "Constants - Fertiliser")</f>
        <v>Constants - Fertiliser</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HYPERLINK("#'Constants - Fuel'!A1", "Constants - Fuel")</f>
        <v>Constants - Fuel</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HYPERLINK("#'Constants - Scope 3'!A1", "Constants - Scope 3")</f>
        <v>Constants - Scope 3</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ht="15.75" x14ac:dyDescent="0.25">
      <c r="A63" s="5" t="str">
        <f>HYPERLINK("#'Constants - Common'!A1", "Constants - Common")</f>
        <v>Constants - Common</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ht="15.75" x14ac:dyDescent="0.25">
      <c r="A64" s="5" t="str">
        <f>HYPERLINK("#'Acknowledgements'!A1", "Acknowledgements")</f>
        <v>Acknowledgements</v>
      </c>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1:64" ht="15.75" x14ac:dyDescent="0.25">
      <c r="A65" s="5" t="str">
        <f>HYPERLINK("#'Constants - Solid Waste'!A1", "Constants - Solid Waste")</f>
        <v>Constants - Solid Waste</v>
      </c>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1: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1: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1: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1: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1: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1: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1: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1: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1: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1: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1: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1: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1: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1: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1: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532C-8540-44E5-8090-E452C3E8BF20}">
  <sheetPr>
    <tabColor rgb="FFCC6600"/>
  </sheetPr>
  <dimension ref="A1:M65"/>
  <sheetViews>
    <sheetView showGridLines="0" tabSelected="1" workbookViewId="0" zoomScale="100" zoomScaleNormal="100">
      <selection activeCell="A64" sqref="A64"/>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197</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row>
    <row r="6" spans="1:13" x14ac:dyDescent="0.25">
      <c r="D6" s="94" t="s">
        <v>198</v>
      </c>
      <c r="E6" s="94" t="s">
        <v>199</v>
      </c>
      <c r="F6" s="94" t="s">
        <v>200</v>
      </c>
      <c r="G6" s="94" t="s">
        <v>201</v>
      </c>
      <c r="H6" s="94" t="s">
        <v>202</v>
      </c>
      <c r="I6" s="94" t="s">
        <v>203</v>
      </c>
      <c r="J6" s="94" t="s">
        <v>204</v>
      </c>
    </row>
    <row r="7" spans="1:13" x14ac:dyDescent="0.25">
      <c r="D7" s="95" t="s">
        <v>205</v>
      </c>
      <c r="E7" s="23" t="s">
        <v>206</v>
      </c>
      <c r="F7" s="23" t="s">
        <v>207</v>
      </c>
      <c r="G7" s="23" t="s">
        <v>208</v>
      </c>
      <c r="H7" s="95"/>
      <c r="I7" s="95"/>
      <c r="J7" s="25"/>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Dairy'!A1", "Dairy")</f>
        <v>Dairy</v>
      </c>
    </row>
    <row r="12" spans="1:13" x14ac:dyDescent="0.25">
      <c r="A12" s="5" t="str">
        <f>HYPERLINK("#'Input - Dairy (Enteric)'!A1", "Dairy (Enteric)")</f>
        <v>Dairy (Enteric)</v>
      </c>
    </row>
    <row r="13" spans="1:13" x14ac:dyDescent="0.25">
      <c r="A13" s="5" t="str">
        <f>HYPERLINK("#'Input - Livestock sales'!A1", "Livestock sales")</f>
        <v>Livestock sales</v>
      </c>
    </row>
    <row r="14" spans="1:13" x14ac:dyDescent="0.25">
      <c r="A14" s="5" t="str">
        <f>HYPERLINK("#'Input - Dairy cattle purchases'!A1", "Dairy cattle purchases")</f>
        <v>Dairy cattle purchases</v>
      </c>
    </row>
    <row r="15" spans="1:13" x14ac:dyDescent="0.25">
      <c r="A15" s="5" t="str">
        <f>HYPERLINK("#'Input - Pasture'!A1", "Pasture")</f>
        <v>Pasture</v>
      </c>
    </row>
    <row r="16" spans="1:13"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98" t="str">
        <f>HYPERLINK("#'Input - Data quality'!A1", "Data quality")</f>
        <v>Data quality</v>
      </c>
    </row>
    <row r="29" spans="1:1" x14ac:dyDescent="0.25">
      <c r="A29" s="6" t="s">
        <v>2</v>
      </c>
    </row>
    <row r="30" spans="1:1" x14ac:dyDescent="0.25">
      <c r="A30" s="5" t="str">
        <f>HYPERLINK("#'5.1.1.1-2 Inorganic fert N2O'!A1", "5.1.1.1-2 Inorganic fert N2O")</f>
        <v>5.1.1.1-2 Inorganic fert N2O</v>
      </c>
    </row>
    <row r="31" spans="1:1" x14ac:dyDescent="0.25">
      <c r="A31" s="5" t="str">
        <f>HYPERLINK("#'5.1.1.3-4 Inorganic fert CO2'!A1", "5.1.1.3-4 Inorganic fert CO2")</f>
        <v>5.1.1.3-4 Inorganic fert CO2</v>
      </c>
    </row>
    <row r="32" spans="1:1" x14ac:dyDescent="0.25">
      <c r="A32" s="5" t="str">
        <f>HYPERLINK("#'5.2.1.1-2 Organic Fert N2O'!A1", "5.2.1.1-2 Organic fert N2O")</f>
        <v>5.2.1.1-2 Organic fert N2O</v>
      </c>
    </row>
    <row r="33" spans="1:1" x14ac:dyDescent="0.25">
      <c r="A33" s="5" t="str">
        <f>HYPERLINK("#'5.3.1.1-2 Lime CO2'!A1", "5.3.1.1-2 Lime CO2")</f>
        <v>5.3.1.1-2 Lime CO2</v>
      </c>
    </row>
    <row r="34" spans="1:1" x14ac:dyDescent="0.25">
      <c r="A34" s="5" t="str">
        <f>HYPERLINK("#'5.4.1.1-4 Atmos deposition'!A1", "5.4.1.1-4 Atmos. deposition")</f>
        <v>5.4.1.1-4 Atmos. deposition</v>
      </c>
    </row>
    <row r="35" spans="1:1" x14ac:dyDescent="0.25">
      <c r="A35" s="5" t="str">
        <f>HYPERLINK("#'5.5.1.1-2 Leaching and runoff'!A1", "5.5.1.1-2 Leaching &amp; runoff")</f>
        <v>5.5.1.1-2 Leaching &amp; runoff</v>
      </c>
    </row>
    <row r="36" spans="1:1" x14ac:dyDescent="0.25">
      <c r="A36" s="5" t="str">
        <f>HYPERLINK("#'6.2.1.1-2 Pasture residue N2O'!A1", "6.2.1.1-2 Pasture residue N2O")</f>
        <v>6.2.1.1-2 Pasture residue N2O</v>
      </c>
    </row>
    <row r="37" spans="1:1" x14ac:dyDescent="0.25">
      <c r="A37" s="5" t="str">
        <f>HYPERLINK("#'6.3.1.1-2 Leach runoff pasture'!A1", "6.3.1.1-2 Leach &amp; runoff (pasture)")</f>
        <v>6.3.1.1-2 Leach &amp; runoff (pasture)</v>
      </c>
    </row>
    <row r="38" spans="1:1" x14ac:dyDescent="0.25">
      <c r="A38" s="5" t="str">
        <f>HYPERLINK("#'8.1.1.1-2 Transport fuel'!A1", "8.1.1.1-2 Transport fuel")</f>
        <v>8.1.1.1-2 Transport fuel</v>
      </c>
    </row>
    <row r="39" spans="1:1" x14ac:dyDescent="0.25">
      <c r="A39" s="5" t="str">
        <f>HYPERLINK("#'8.2.1.1-2 Stationary fuel'!A1", "8.2.1.1-2 Stationary fuel")</f>
        <v>8.2.1.1-2 Stationary fuel</v>
      </c>
    </row>
    <row r="40" spans="1:1" x14ac:dyDescent="0.25">
      <c r="A40" s="5" t="str">
        <f>HYPERLINK("#'14.1.1-2 Purchased electricity'!A1", "14.1.1-2 Purchased electricity")</f>
        <v>14.1.1-2 Purchased electricity</v>
      </c>
    </row>
    <row r="41" spans="1:1" x14ac:dyDescent="0.25">
      <c r="A41" s="5" t="str">
        <f>HYPERLINK("#'15 Scope 3'!A1", "15 Scope 3")</f>
        <v>15 Scope 3</v>
      </c>
    </row>
    <row r="42" spans="1:1" x14ac:dyDescent="0.25">
      <c r="A42" s="5" t="str">
        <f>HYPERLINK("#'Calcs - Manure sent off-site'!A1", "Calcs - Manure sent off-site")</f>
        <v>Calcs - Manure sent off-site</v>
      </c>
    </row>
    <row r="43" spans="1:1" x14ac:dyDescent="0.25">
      <c r="A43" s="5" t="str">
        <f>HYPERLINK("#'4.3.1.1-2 Methane'!A1", "4.3.1.1-2 Methane")</f>
        <v>4.3.1.1-2 Methane</v>
      </c>
    </row>
    <row r="44" spans="1:1" x14ac:dyDescent="0.25">
      <c r="A44" s="5" t="str">
        <f>HYPERLINK("#'4.3.1.3-4 Direct N20'!A1", "4.3.1.3-4 Direct N20")</f>
        <v>4.3.1.3-4 Direct N20</v>
      </c>
    </row>
    <row r="45" spans="1:1" x14ac:dyDescent="0.25">
      <c r="A45" s="5" t="str">
        <f>HYPERLINK("#'4.3.1.5 Atmos deposition'!A1", "4.3.1.5 Atmos deposition")</f>
        <v>4.3.1.5 Atmos deposition</v>
      </c>
    </row>
    <row r="46" spans="1:1" x14ac:dyDescent="0.25">
      <c r="A46" s="5" t="str">
        <f>HYPERLINK("#'4.3.1.6-7 Leaching and runoff'!A1", "4.3.1.6-7 Leaching and runoff")</f>
        <v>4.3.1.6-7 Leaching and runoff</v>
      </c>
    </row>
    <row r="47" spans="1:1" x14ac:dyDescent="0.25">
      <c r="A47" s="5" t="str">
        <f>HYPERLINK("#'4.3.1.8 Manure applied to soils'!A1", "4.3.1.8 Manure applied to soils")</f>
        <v>4.3.1.8 Manure applied to soils</v>
      </c>
    </row>
    <row r="48" spans="1:1" x14ac:dyDescent="0.25">
      <c r="A48" s="5" t="str">
        <f>HYPERLINK("#'4.3.1.9 Soil direct N2O'!A1", "4.3.1.9 Soil direct N2O")</f>
        <v>4.3.1.9 Soil direct N2O</v>
      </c>
    </row>
    <row r="49" spans="1:1" x14ac:dyDescent="0.25">
      <c r="A49" s="5" t="str">
        <f>HYPERLINK("#'4.3.1.10-11 Soil Atmos Dep'!A1", "4.3.1.10-11 Soil Atmos Dep")</f>
        <v>4.3.1.10-11 Soil Atmos Dep</v>
      </c>
    </row>
    <row r="50" spans="1:1" x14ac:dyDescent="0.25">
      <c r="A50" s="5" t="str">
        <f>HYPERLINK("#'4.3.1.12-13 Soil leach runoff'!A1", "4.3.1.12-13 Soil leach runoff")</f>
        <v>4.3.1.12-13 Soil leach runoff</v>
      </c>
    </row>
    <row r="51" spans="1:1" x14ac:dyDescent="0.25">
      <c r="A51" s="5" t="str">
        <f>HYPERLINK("#'3.3.1.1-2 Enteric Methane'!A1", "3.3.1.1-2 Enteric Methane")</f>
        <v>3.3.1.1-2 Enteric Methane</v>
      </c>
    </row>
    <row r="52" spans="1:1" x14ac:dyDescent="0.25">
      <c r="A52" s="5" t="str">
        <f>HYPERLINK("#'10.1.1-2 Solid waste treatment'!A1", "10.1.1-2 Solid waste treatment")</f>
        <v>10.1.1-2 Solid waste treatment</v>
      </c>
    </row>
    <row r="55" spans="1:1" x14ac:dyDescent="0.25">
      <c r="A55" s="100" t="s">
        <v>1</v>
      </c>
    </row>
    <row r="56" spans="1:1" x14ac:dyDescent="0.25">
      <c r="A56" s="5" t="str">
        <f>HYPERLINK("#'Constants - Dairy'!A1", "Constants - Dairy")</f>
        <v>Constants - Dairy</v>
      </c>
    </row>
    <row r="57" spans="1:1" x14ac:dyDescent="0.25">
      <c r="A57" s="5" t="str">
        <f>HYPERLINK("#'Constants - Ag Residue'!A1", "Constants - Ag residue")</f>
        <v>Constants - Ag residue</v>
      </c>
    </row>
    <row r="58" spans="1:1" x14ac:dyDescent="0.25">
      <c r="A58" s="5" t="str">
        <f>HYPERLINK("#'Constants - Common Livestock'!A1", "Constants - Common Livestock")</f>
        <v>Constants - Common Livestock</v>
      </c>
    </row>
    <row r="59" spans="1:1" x14ac:dyDescent="0.25">
      <c r="A59" s="5" t="str">
        <f>HYPERLINK("#'Constants - Electricity'!A1", "Constants - Electricity")</f>
        <v>Constants - Electricity</v>
      </c>
    </row>
    <row r="60" spans="1:1" x14ac:dyDescent="0.25">
      <c r="A60" s="5" t="str">
        <f>HYPERLINK("#'Constants - Fertiliser'!A1", "Constants - Fertiliser")</f>
        <v>Constants - Fertiliser</v>
      </c>
    </row>
    <row r="61" spans="1:1" x14ac:dyDescent="0.25">
      <c r="A61" s="5" t="str">
        <f>HYPERLINK("#'Constants - Fuel'!A1", "Constants - Fuel")</f>
        <v>Constants - Fuel</v>
      </c>
    </row>
    <row r="62" spans="1:1" x14ac:dyDescent="0.25">
      <c r="A62" s="5" t="str">
        <f>HYPERLINK("#'Constants - Scope 3'!A1", "Constants - Scope 3")</f>
        <v>Constants - Scope 3</v>
      </c>
    </row>
    <row r="63" spans="1:1" x14ac:dyDescent="0.25">
      <c r="A63" s="5" t="str">
        <f>HYPERLINK("#'Constants - Common'!A1", "Constants - Common")</f>
        <v>Constants - Common</v>
      </c>
    </row>
    <row r="64" spans="1:1" x14ac:dyDescent="0.25">
      <c r="A64" s="5" t="str">
        <f>HYPERLINK("#'Acknowledgements'!A1", "Acknowledgements")</f>
        <v>Acknowledgements</v>
      </c>
    </row>
    <row r="65" spans="1:1" x14ac:dyDescent="0.25">
      <c r="A65" s="5" t="str">
        <f>HYPERLINK("#'Constants - Solid Waste'!A1", "Constants - Solid Waste")</f>
        <v>Constants - Solid Waste</v>
      </c>
    </row>
  </sheetData>
  <dataValidations count="3">
    <dataValidation type="list" allowBlank="1" showInputMessage="1" showErrorMessage="1" sqref="G7" xr:uid="{023991CC-ACAB-4CCA-BF6E-5B4983A34A68}">
      <formula1>INDIRECT("Table_SourceData_DataQuality_SampleSize[ID]")</formula1>
    </dataValidation>
    <dataValidation type="list" allowBlank="1" showInputMessage="1" showErrorMessage="1" sqref="F7" xr:uid="{D85C1557-4D18-4B87-9B82-D7755813B359}">
      <formula1>INDIRECT("Table_SourceData_DataQuality_SpatialRepresentativeness[ID]")</formula1>
    </dataValidation>
    <dataValidation type="list" allowBlank="1" showInputMessage="1" showErrorMessage="1" sqref="E7" xr:uid="{D7C04A1D-8792-4527-94D7-0D838FC14D35}">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54</vt:i4>
      </vt:variant>
      <vt:variant>
        <vt:lpstr>Named Ranges</vt:lpstr>
      </vt:variant>
      <vt:variant>
        <vt:i4>441</vt:i4>
      </vt:variant>
    </vt:vector>
  </HeadingPairs>
  <TitlesOfParts>
    <vt:vector size="495"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Dairy cattle purchases'!VEERG_5_4_1_3__1_OrganicFertiliserAtmosphericDepositionN2OEmissions_Result_Method1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Dairy cattle purchases'!VEERG_5_5_1_1__1_FertiliserLeachingAndRunoffN2OEmissions_Result_Method1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2026-08-10T04:25:04Z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